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b199176\Desktop\Web files\"/>
    </mc:Choice>
  </mc:AlternateContent>
  <bookViews>
    <workbookView xWindow="0" yWindow="0" windowWidth="15390" windowHeight="7755" tabRatio="558" activeTab="3"/>
  </bookViews>
  <sheets>
    <sheet name="Hypothèses" sheetId="1" r:id="rId1"/>
    <sheet name="PA-Détails" sheetId="5" r:id="rId2"/>
    <sheet name="Capacités" sheetId="12" state="hidden" r:id="rId3"/>
    <sheet name="PA-Synthèse" sheetId="8" r:id="rId4"/>
    <sheet name="Editions" sheetId="14" state="hidden" r:id="rId5"/>
    <sheet name="H" sheetId="3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RZI1" localSheetId="2">S-[1]Rub!$A$1:$L$90</definedName>
    <definedName name="_RZI1" localSheetId="4">S-[1]Rub!$A$1:$L$90</definedName>
    <definedName name="_RZI1" localSheetId="5">S-[1]Rub!$A$1:$L$90</definedName>
    <definedName name="_RZI1" localSheetId="1">S-[1]Rub!$A$1:$L$90</definedName>
    <definedName name="_RZI1">S-[1]Rub!$A$1:$L$90</definedName>
    <definedName name="_RZI2" localSheetId="2">S-[1]Rub!$A$93:$L$182</definedName>
    <definedName name="_RZI2" localSheetId="4">S-[1]Rub!$A$93:$L$182</definedName>
    <definedName name="_RZI2" localSheetId="5">S-[1]Rub!$A$93:$L$182</definedName>
    <definedName name="_RZI2" localSheetId="1">S-[1]Rub!$A$93:$L$182</definedName>
    <definedName name="_RZI2">S-[1]Rub!$A$93:$L$182</definedName>
    <definedName name="_RZI3" localSheetId="2">S-[1]Rub!$A$185:$L$274</definedName>
    <definedName name="_RZI3" localSheetId="4">S-[1]Rub!$A$185:$L$274</definedName>
    <definedName name="_RZI3" localSheetId="5">S-[1]Rub!$A$185:$L$274</definedName>
    <definedName name="_RZI3" localSheetId="1">S-[1]Rub!$A$185:$L$274</definedName>
    <definedName name="_RZI3">S-[1]Rub!$A$185:$L$274</definedName>
    <definedName name="_RZI4" localSheetId="2">#REF!</definedName>
    <definedName name="_RZI4" localSheetId="4">#REF!</definedName>
    <definedName name="_RZI4" localSheetId="5">#REF!</definedName>
    <definedName name="_RZI4" localSheetId="1">#REF!</definedName>
    <definedName name="_RZI4">#REF!</definedName>
    <definedName name="BF_MEN" localSheetId="2">#REF!</definedName>
    <definedName name="BF_MEN" localSheetId="4">#REF!</definedName>
    <definedName name="BF_MEN" localSheetId="5">#REF!</definedName>
    <definedName name="BF_MEN" localSheetId="1">#REF!</definedName>
    <definedName name="BF_MEN">#REF!</definedName>
    <definedName name="BI_MEN" localSheetId="2">#REF!</definedName>
    <definedName name="BI_MEN" localSheetId="4">#REF!</definedName>
    <definedName name="BI_MEN" localSheetId="5">#REF!</definedName>
    <definedName name="BI_MEN" localSheetId="1">#REF!</definedName>
    <definedName name="BI_MEN">#REF!</definedName>
    <definedName name="Budget_AREF" localSheetId="2">#REF!</definedName>
    <definedName name="Budget_AREF" localSheetId="4">#REF!</definedName>
    <definedName name="Budget_AREF" localSheetId="5">#REF!</definedName>
    <definedName name="Budget_AREF" localSheetId="1">#REF!</definedName>
    <definedName name="Budget_AREF">#REF!</definedName>
    <definedName name="Catégorie" localSheetId="2">Hypothèses!#REF!</definedName>
    <definedName name="Catégorie">Hypothèses!#REF!</definedName>
    <definedName name="Cinternational" localSheetId="4">[2]Hypothèses!$C$7</definedName>
    <definedName name="Cinternational" localSheetId="5">[3]Hypothèses!$C$7</definedName>
    <definedName name="Cinternational">Hypothèses!$C$7</definedName>
    <definedName name="Construction_Cantine_au_Primaire">Hypothèses!$C$19</definedName>
    <definedName name="Construction_Salle_de_classe_au_Primaire">Hypothèses!$C$13</definedName>
    <definedName name="Coûts" localSheetId="4">[2]Hypothèses!$A$7:$G$306</definedName>
    <definedName name="Coûts" localSheetId="5">[3]Hypothèses!$A$7:$G$306</definedName>
    <definedName name="Coûts">Hypothèses!$A$7:$E$306</definedName>
    <definedName name="Équipement_Cantine_au_Primaire">Hypothèses!$C$22</definedName>
    <definedName name="Équipement_Salle_de_classe_au_Primaire">Hypothèses!$C$16</definedName>
    <definedName name="Études_et_supervision">Hypothèses!$C$12</definedName>
    <definedName name="Fonct_AREF" localSheetId="2">#REF!</definedName>
    <definedName name="Fonct_AREF" localSheetId="4">#REF!</definedName>
    <definedName name="Fonct_AREF" localSheetId="5">#REF!</definedName>
    <definedName name="Fonct_AREF" localSheetId="1">#REF!</definedName>
    <definedName name="Fonct_AREF">#REF!</definedName>
    <definedName name="Fonctionnement_des_écoles" localSheetId="2">#REF!</definedName>
    <definedName name="Fonctionnement_des_écoles" localSheetId="4">#REF!</definedName>
    <definedName name="Fonctionnement_des_écoles" localSheetId="5">#REF!</definedName>
    <definedName name="Fonctionnement_des_écoles" localSheetId="1">#REF!</definedName>
    <definedName name="Fonctionnement_des_écoles">#REF!</definedName>
    <definedName name="Impact_sur_coûts_récurrent" localSheetId="2">Hypothèses!#REF!</definedName>
    <definedName name="Impact_sur_coûts_récurrent" localSheetId="4">[2]Hypothèses!#REF!</definedName>
    <definedName name="Impact_sur_coûts_récurrent" localSheetId="5">[3]Hypothèses!#REF!</definedName>
    <definedName name="Impact_sur_coûts_récurrent" localSheetId="0">Hypothèses!#REF!</definedName>
    <definedName name="Impact_sur_coûts_récurrent" localSheetId="1">Hypothèses!#REF!</definedName>
    <definedName name="Impact_sur_coûts_récurrent">Hypothèses!#REF!</definedName>
    <definedName name="Invest_AREF" localSheetId="2">#REF!</definedName>
    <definedName name="Invest_AREF" localSheetId="4">#REF!</definedName>
    <definedName name="Invest_AREF" localSheetId="5">#REF!</definedName>
    <definedName name="Invest_AREF" localSheetId="1">#REF!</definedName>
    <definedName name="Invest_AREF">#REF!</definedName>
    <definedName name="Nomen_Eco" localSheetId="2">#REF!</definedName>
    <definedName name="Nomen_Eco" localSheetId="4">#REF!</definedName>
    <definedName name="Nomen_Eco" localSheetId="5">#REF!</definedName>
    <definedName name="Nomen_Eco" localSheetId="1">#REF!</definedName>
    <definedName name="Nomen_Eco">#REF!</definedName>
    <definedName name="P1_" localSheetId="2">#REF!</definedName>
    <definedName name="P1_" localSheetId="4">#REF!</definedName>
    <definedName name="P1_" localSheetId="5">#REF!</definedName>
    <definedName name="P1_" localSheetId="1">#REF!</definedName>
    <definedName name="P1_">#REF!</definedName>
    <definedName name="P10_" localSheetId="2">#REF!</definedName>
    <definedName name="P10_" localSheetId="4">#REF!</definedName>
    <definedName name="P10_" localSheetId="5">#REF!</definedName>
    <definedName name="P10_" localSheetId="1">#REF!</definedName>
    <definedName name="P10_">#REF!</definedName>
    <definedName name="P11_" localSheetId="2">#REF!</definedName>
    <definedName name="P11_" localSheetId="4">#REF!</definedName>
    <definedName name="P11_" localSheetId="5">#REF!</definedName>
    <definedName name="P11_" localSheetId="1">#REF!</definedName>
    <definedName name="P11_">#REF!</definedName>
    <definedName name="P12_" localSheetId="2">#REF!</definedName>
    <definedName name="P12_" localSheetId="4">#REF!</definedName>
    <definedName name="P12_" localSheetId="5">#REF!</definedName>
    <definedName name="P12_" localSheetId="1">#REF!</definedName>
    <definedName name="P12_">#REF!</definedName>
    <definedName name="P13_" localSheetId="2">#REF!</definedName>
    <definedName name="P13_" localSheetId="4">#REF!</definedName>
    <definedName name="P13_" localSheetId="5">#REF!</definedName>
    <definedName name="P13_" localSheetId="1">#REF!</definedName>
    <definedName name="P13_">#REF!</definedName>
    <definedName name="P14_" localSheetId="2">#REF!</definedName>
    <definedName name="P14_" localSheetId="4">#REF!</definedName>
    <definedName name="P14_" localSheetId="5">#REF!</definedName>
    <definedName name="P14_" localSheetId="1">#REF!</definedName>
    <definedName name="P14_">#REF!</definedName>
    <definedName name="P15_" localSheetId="2">#REF!</definedName>
    <definedName name="P15_" localSheetId="4">#REF!</definedName>
    <definedName name="P15_" localSheetId="5">#REF!</definedName>
    <definedName name="P15_" localSheetId="1">#REF!</definedName>
    <definedName name="P15_">#REF!</definedName>
    <definedName name="P16_" localSheetId="2">#REF!</definedName>
    <definedName name="P16_" localSheetId="4">#REF!</definedName>
    <definedName name="P16_" localSheetId="5">#REF!</definedName>
    <definedName name="P16_" localSheetId="1">#REF!</definedName>
    <definedName name="P16_">#REF!</definedName>
    <definedName name="P17_" localSheetId="2">#REF!</definedName>
    <definedName name="P17_" localSheetId="4">#REF!</definedName>
    <definedName name="P17_" localSheetId="5">#REF!</definedName>
    <definedName name="P17_" localSheetId="1">#REF!</definedName>
    <definedName name="P17_">#REF!</definedName>
    <definedName name="P18_" localSheetId="2">#REF!</definedName>
    <definedName name="P18_" localSheetId="4">#REF!</definedName>
    <definedName name="P18_" localSheetId="5">#REF!</definedName>
    <definedName name="P18_" localSheetId="1">#REF!</definedName>
    <definedName name="P18_">#REF!</definedName>
    <definedName name="P19_" localSheetId="2">#REF!</definedName>
    <definedName name="P19_" localSheetId="4">#REF!</definedName>
    <definedName name="P19_" localSheetId="5">#REF!</definedName>
    <definedName name="P19_" localSheetId="1">#REF!</definedName>
    <definedName name="P19_">#REF!</definedName>
    <definedName name="P2_" localSheetId="2">#REF!</definedName>
    <definedName name="P2_" localSheetId="4">#REF!</definedName>
    <definedName name="P2_" localSheetId="5">#REF!</definedName>
    <definedName name="P2_" localSheetId="1">#REF!</definedName>
    <definedName name="P2_">#REF!</definedName>
    <definedName name="P20_" localSheetId="2">#REF!</definedName>
    <definedName name="P20_" localSheetId="4">#REF!</definedName>
    <definedName name="P20_" localSheetId="5">#REF!</definedName>
    <definedName name="P20_" localSheetId="1">#REF!</definedName>
    <definedName name="P20_">#REF!</definedName>
    <definedName name="P21_" localSheetId="2">#REF!</definedName>
    <definedName name="P21_" localSheetId="4">#REF!</definedName>
    <definedName name="P21_" localSheetId="5">#REF!</definedName>
    <definedName name="P21_" localSheetId="1">#REF!</definedName>
    <definedName name="P21_">#REF!</definedName>
    <definedName name="P22_" localSheetId="2">#REF!</definedName>
    <definedName name="P22_" localSheetId="4">#REF!</definedName>
    <definedName name="P22_" localSheetId="5">#REF!</definedName>
    <definedName name="P22_" localSheetId="1">#REF!</definedName>
    <definedName name="P22_">#REF!</definedName>
    <definedName name="P23_" localSheetId="2">#REF!</definedName>
    <definedName name="P23_" localSheetId="4">#REF!</definedName>
    <definedName name="P23_" localSheetId="5">#REF!</definedName>
    <definedName name="P23_" localSheetId="1">#REF!</definedName>
    <definedName name="P23_">#REF!</definedName>
    <definedName name="P24_" localSheetId="2">#REF!</definedName>
    <definedName name="P24_" localSheetId="4">#REF!</definedName>
    <definedName name="P24_" localSheetId="5">#REF!</definedName>
    <definedName name="P24_" localSheetId="1">#REF!</definedName>
    <definedName name="P24_">#REF!</definedName>
    <definedName name="P3_" localSheetId="2">#REF!</definedName>
    <definedName name="P3_" localSheetId="4">#REF!</definedName>
    <definedName name="P3_" localSheetId="5">#REF!</definedName>
    <definedName name="P3_" localSheetId="1">#REF!</definedName>
    <definedName name="P3_">#REF!</definedName>
    <definedName name="P4_" localSheetId="2">#REF!</definedName>
    <definedName name="P4_" localSheetId="4">#REF!</definedName>
    <definedName name="P4_" localSheetId="5">#REF!</definedName>
    <definedName name="P4_" localSheetId="1">#REF!</definedName>
    <definedName name="P4_">#REF!</definedName>
    <definedName name="P5_" localSheetId="2">#REF!</definedName>
    <definedName name="P5_" localSheetId="4">#REF!</definedName>
    <definedName name="P5_" localSheetId="5">#REF!</definedName>
    <definedName name="P5_" localSheetId="1">#REF!</definedName>
    <definedName name="P5_">#REF!</definedName>
    <definedName name="P6_" localSheetId="2">#REF!</definedName>
    <definedName name="P6_" localSheetId="4">#REF!</definedName>
    <definedName name="P6_" localSheetId="5">#REF!</definedName>
    <definedName name="P6_" localSheetId="1">#REF!</definedName>
    <definedName name="P6_">#REF!</definedName>
    <definedName name="P7_" localSheetId="2">#REF!</definedName>
    <definedName name="P7_" localSheetId="4">#REF!</definedName>
    <definedName name="P7_" localSheetId="5">#REF!</definedName>
    <definedName name="P7_" localSheetId="1">#REF!</definedName>
    <definedName name="P7_">#REF!</definedName>
    <definedName name="P8_" localSheetId="2">#REF!</definedName>
    <definedName name="P8_" localSheetId="4">#REF!</definedName>
    <definedName name="P8_" localSheetId="5">#REF!</definedName>
    <definedName name="P8_" localSheetId="1">#REF!</definedName>
    <definedName name="P8_">#REF!</definedName>
    <definedName name="P9_" localSheetId="2">#REF!</definedName>
    <definedName name="P9_" localSheetId="4">#REF!</definedName>
    <definedName name="P9_" localSheetId="5">#REF!</definedName>
    <definedName name="P9_" localSheetId="1">#REF!</definedName>
    <definedName name="P9_">#REF!</definedName>
    <definedName name="PerDiem" localSheetId="0">Hypothèses!#REF!</definedName>
    <definedName name="PME" localSheetId="2">Hypothèses!#REF!</definedName>
    <definedName name="PME">Hypothèses!#REF!</definedName>
    <definedName name="_xlnm.Print_Area" localSheetId="0">Hypothèses!$A$1:$E$95</definedName>
    <definedName name="_xlnm.Print_Titles" localSheetId="0">Hypothèses!$5:$6</definedName>
    <definedName name="Projet_Secteur_AREF" localSheetId="2">#REF!</definedName>
    <definedName name="Projet_Secteur_AREF" localSheetId="4">#REF!</definedName>
    <definedName name="Projet_Secteur_AREF" localSheetId="5">#REF!</definedName>
    <definedName name="Projet_Secteur_AREF" localSheetId="1">#REF!</definedName>
    <definedName name="Projet_Secteur_AREF">#REF!</definedName>
    <definedName name="Projets_AREF" localSheetId="2">#REF!</definedName>
    <definedName name="Projets_AREF" localSheetId="4">#REF!</definedName>
    <definedName name="Projets_AREF" localSheetId="5">#REF!</definedName>
    <definedName name="Projets_AREF" localSheetId="1">#REF!</definedName>
    <definedName name="Projets_AREF">#REF!</definedName>
    <definedName name="Rapports">Hypothèses!$C$9</definedName>
    <definedName name="Secteurs" localSheetId="2">#REF!</definedName>
    <definedName name="Secteurs" localSheetId="4">#REF!</definedName>
    <definedName name="Secteurs" localSheetId="5">#REF!</definedName>
    <definedName name="Secteurs" localSheetId="1">#REF!</definedName>
    <definedName name="Secteurs">#REF!</definedName>
    <definedName name="Séminaire">Hypothèses!$C$10</definedName>
    <definedName name="Tchange" localSheetId="0">Hypothèses!$C$3</definedName>
    <definedName name="Tchange">[4]Hypothèses!$C$3</definedName>
    <definedName name="Z_16F311FB_A03A_407C_98DE_A6C8D1A31210_.wvu.Cols" localSheetId="0" hidden="1">Hypothèses!$F:$G</definedName>
    <definedName name="Z_16F311FB_A03A_407C_98DE_A6C8D1A31210_.wvu.PrintArea" localSheetId="0" hidden="1">Hypothèses!$A$1:$E$95</definedName>
    <definedName name="Z_16F311FB_A03A_407C_98DE_A6C8D1A31210_.wvu.PrintTitles" localSheetId="0" hidden="1">Hypothèses!$5:$6</definedName>
    <definedName name="Z_78FB95F1_5BFE_4EBA_A03F_865E18F9C8C8_.wvu.Cols" localSheetId="0" hidden="1">Hypothèses!$F:$G</definedName>
    <definedName name="Z_78FB95F1_5BFE_4EBA_A03F_865E18F9C8C8_.wvu.PrintArea" localSheetId="0" hidden="1">Hypothèses!$A$1:$E$95</definedName>
    <definedName name="Z_78FB95F1_5BFE_4EBA_A03F_865E18F9C8C8_.wvu.PrintTitles" localSheetId="0" hidden="1">Hypothèses!$5:$6</definedName>
    <definedName name="Z_7DCFC24B_AE2D_4244_9FC9_42CB2B15C505_.wvu.Cols" localSheetId="0" hidden="1">Hypothèses!$F:$G</definedName>
    <definedName name="Z_7DCFC24B_AE2D_4244_9FC9_42CB2B15C505_.wvu.PrintArea" localSheetId="0" hidden="1">Hypothèses!$A$1:$E$95</definedName>
    <definedName name="Z_7DCFC24B_AE2D_4244_9FC9_42CB2B15C505_.wvu.PrintTitles" localSheetId="0" hidden="1">Hypothèses!$5:$6</definedName>
  </definedNames>
  <calcPr calcId="152511"/>
  <customWorkbookViews>
    <customWorkbookView name="Thomas - Affichage personnalisé" guid="{16F311FB-A03A-407C-98DE-A6C8D1A31210}" mergeInterval="0" personalView="1" maximized="1" xWindow="1" yWindow="1" windowWidth="1362" windowHeight="538" tabRatio="356" activeSheetId="2"/>
    <customWorkbookView name="Hafedh - Affichage personnalisé" guid="{7DCFC24B-AE2D-4244-9FC9-42CB2B15C505}" mergeInterval="0" personalView="1" maximized="1" xWindow="-8" yWindow="-8" windowWidth="1040" windowHeight="744" tabRatio="356" activeSheetId="2"/>
    <customWorkbookView name="HP6530b - Affichage personnalisé" guid="{78FB95F1-5BFE-4EBA-A03F-865E18F9C8C8}" mergeInterval="0" personalView="1" maximized="1" xWindow="1" yWindow="1" windowWidth="1020" windowHeight="504" tabRatio="3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0" i="14" l="1"/>
  <c r="F250" i="14" s="1"/>
  <c r="G250" i="14" s="1"/>
  <c r="H250" i="14" s="1"/>
  <c r="K2514" i="5" l="1"/>
  <c r="J2514" i="5"/>
  <c r="K2513" i="5"/>
  <c r="J2513" i="5"/>
  <c r="K2512" i="5"/>
  <c r="J2512" i="5"/>
  <c r="K2511" i="5"/>
  <c r="J2511" i="5"/>
  <c r="K2510" i="5"/>
  <c r="J2510" i="5"/>
  <c r="K2509" i="5"/>
  <c r="J2509" i="5"/>
  <c r="K2508" i="5"/>
  <c r="J2508" i="5"/>
  <c r="E1228" i="5"/>
  <c r="H270" i="14" l="1"/>
  <c r="G270" i="14"/>
  <c r="F270" i="14"/>
  <c r="E270" i="14"/>
  <c r="D270" i="14"/>
  <c r="H269" i="14"/>
  <c r="G269" i="14"/>
  <c r="F269" i="14"/>
  <c r="D269" i="14"/>
  <c r="H268" i="14"/>
  <c r="G268" i="14"/>
  <c r="F268" i="14"/>
  <c r="E268" i="14"/>
  <c r="D268" i="14"/>
  <c r="H267" i="14"/>
  <c r="G267" i="14"/>
  <c r="F267" i="14"/>
  <c r="E267" i="14"/>
  <c r="H266" i="14"/>
  <c r="G266" i="14"/>
  <c r="F266" i="14"/>
  <c r="E266" i="14"/>
  <c r="D266" i="14"/>
  <c r="H265" i="14"/>
  <c r="G265" i="14"/>
  <c r="F265" i="14"/>
  <c r="D265" i="14"/>
  <c r="H264" i="14"/>
  <c r="G264" i="14"/>
  <c r="F264" i="14"/>
  <c r="E264" i="14"/>
  <c r="D264" i="14"/>
  <c r="G263" i="14"/>
  <c r="F263" i="14"/>
  <c r="E263" i="14"/>
  <c r="H262" i="14"/>
  <c r="F271" i="14"/>
  <c r="E262" i="14"/>
  <c r="D262" i="14"/>
  <c r="E207" i="14"/>
  <c r="F207" i="14" s="1"/>
  <c r="G207" i="14" s="1"/>
  <c r="H207" i="14" s="1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E175" i="14"/>
  <c r="F175" i="14" s="1"/>
  <c r="G175" i="14" s="1"/>
  <c r="H175" i="14" s="1"/>
  <c r="E155" i="14"/>
  <c r="F155" i="14" s="1"/>
  <c r="G155" i="14" s="1"/>
  <c r="H155" i="14" s="1"/>
  <c r="E130" i="14"/>
  <c r="F130" i="14" s="1"/>
  <c r="G130" i="14" s="1"/>
  <c r="H130" i="14" s="1"/>
  <c r="E108" i="14"/>
  <c r="F108" i="14" s="1"/>
  <c r="G108" i="14" s="1"/>
  <c r="H108" i="14" s="1"/>
  <c r="E79" i="14"/>
  <c r="F79" i="14" s="1"/>
  <c r="G79" i="14" s="1"/>
  <c r="H79" i="14" s="1"/>
  <c r="E49" i="14"/>
  <c r="F49" i="14" s="1"/>
  <c r="G49" i="14" s="1"/>
  <c r="H49" i="14" s="1"/>
  <c r="H43" i="14"/>
  <c r="G43" i="14"/>
  <c r="F43" i="14"/>
  <c r="E43" i="14"/>
  <c r="D43" i="14"/>
  <c r="H42" i="14"/>
  <c r="G42" i="14"/>
  <c r="F42" i="14"/>
  <c r="E42" i="14"/>
  <c r="D42" i="14"/>
  <c r="H41" i="14"/>
  <c r="G41" i="14"/>
  <c r="F41" i="14"/>
  <c r="E41" i="14"/>
  <c r="D41" i="14"/>
  <c r="H40" i="14"/>
  <c r="G40" i="14"/>
  <c r="F40" i="14"/>
  <c r="E40" i="14"/>
  <c r="D40" i="14"/>
  <c r="H39" i="14"/>
  <c r="G39" i="14"/>
  <c r="F39" i="14"/>
  <c r="E39" i="14"/>
  <c r="D39" i="14"/>
  <c r="H38" i="14"/>
  <c r="G38" i="14"/>
  <c r="F38" i="14"/>
  <c r="E38" i="14"/>
  <c r="D38" i="14"/>
  <c r="E29" i="14"/>
  <c r="F29" i="14" s="1"/>
  <c r="G29" i="14" s="1"/>
  <c r="H29" i="14" s="1"/>
  <c r="I24" i="14"/>
  <c r="H24" i="14"/>
  <c r="G24" i="14"/>
  <c r="F24" i="14"/>
  <c r="E24" i="14"/>
  <c r="D24" i="14"/>
  <c r="I23" i="14"/>
  <c r="H23" i="14"/>
  <c r="G23" i="14"/>
  <c r="F23" i="14"/>
  <c r="E23" i="14"/>
  <c r="D23" i="14"/>
  <c r="I22" i="14"/>
  <c r="H22" i="14"/>
  <c r="G22" i="14"/>
  <c r="F22" i="14"/>
  <c r="E22" i="14"/>
  <c r="D22" i="14"/>
  <c r="I21" i="14"/>
  <c r="H21" i="14"/>
  <c r="G21" i="14"/>
  <c r="F21" i="14"/>
  <c r="E21" i="14"/>
  <c r="D21" i="14"/>
  <c r="I20" i="14"/>
  <c r="H20" i="14"/>
  <c r="G20" i="14"/>
  <c r="F20" i="14"/>
  <c r="E20" i="14"/>
  <c r="D20" i="14"/>
  <c r="I19" i="14"/>
  <c r="H19" i="14"/>
  <c r="G19" i="14"/>
  <c r="F19" i="14"/>
  <c r="E19" i="14"/>
  <c r="D19" i="14"/>
  <c r="I18" i="14"/>
  <c r="H18" i="14"/>
  <c r="G18" i="14"/>
  <c r="F18" i="14"/>
  <c r="E18" i="14"/>
  <c r="D18" i="14"/>
  <c r="I17" i="14"/>
  <c r="H17" i="14"/>
  <c r="G17" i="14"/>
  <c r="F17" i="14"/>
  <c r="E17" i="14"/>
  <c r="D17" i="14"/>
  <c r="I16" i="14"/>
  <c r="H16" i="14"/>
  <c r="G16" i="14"/>
  <c r="F16" i="14"/>
  <c r="E16" i="14"/>
  <c r="D16" i="14"/>
  <c r="I15" i="14"/>
  <c r="H15" i="14"/>
  <c r="G15" i="14"/>
  <c r="F15" i="14"/>
  <c r="E15" i="14"/>
  <c r="D15" i="14"/>
  <c r="I14" i="14"/>
  <c r="H14" i="14"/>
  <c r="G14" i="14"/>
  <c r="F14" i="14"/>
  <c r="E14" i="14"/>
  <c r="D14" i="14"/>
  <c r="I13" i="14"/>
  <c r="H13" i="14"/>
  <c r="G13" i="14"/>
  <c r="F13" i="14"/>
  <c r="E13" i="14"/>
  <c r="D13" i="14"/>
  <c r="I12" i="14"/>
  <c r="H12" i="14"/>
  <c r="G12" i="14"/>
  <c r="F12" i="14"/>
  <c r="E12" i="14"/>
  <c r="D12" i="14"/>
  <c r="I11" i="14"/>
  <c r="H11" i="14"/>
  <c r="G11" i="14"/>
  <c r="F11" i="14"/>
  <c r="E11" i="14"/>
  <c r="D11" i="14"/>
  <c r="I10" i="14"/>
  <c r="H10" i="14"/>
  <c r="G10" i="14"/>
  <c r="F10" i="14"/>
  <c r="E10" i="14"/>
  <c r="D10" i="14"/>
  <c r="I9" i="14"/>
  <c r="H9" i="14"/>
  <c r="G9" i="14"/>
  <c r="F9" i="14"/>
  <c r="E9" i="14"/>
  <c r="D9" i="14"/>
  <c r="I8" i="14"/>
  <c r="H8" i="14"/>
  <c r="G8" i="14"/>
  <c r="F8" i="14"/>
  <c r="E8" i="14"/>
  <c r="D8" i="14"/>
  <c r="I7" i="14"/>
  <c r="H7" i="14"/>
  <c r="G7" i="14"/>
  <c r="F7" i="14"/>
  <c r="E7" i="14"/>
  <c r="D7" i="14"/>
  <c r="E6" i="14"/>
  <c r="F6" i="14" s="1"/>
  <c r="G6" i="14" s="1"/>
  <c r="H6" i="14" s="1"/>
  <c r="F44" i="14" l="1"/>
  <c r="D44" i="14"/>
  <c r="H25" i="14"/>
  <c r="D25" i="14"/>
  <c r="F262" i="14"/>
  <c r="E25" i="14"/>
  <c r="I25" i="14"/>
  <c r="G25" i="14"/>
  <c r="H44" i="14"/>
  <c r="D263" i="14"/>
  <c r="D271" i="14"/>
  <c r="H263" i="14"/>
  <c r="H271" i="14"/>
  <c r="F25" i="14"/>
  <c r="G44" i="14"/>
  <c r="E44" i="14"/>
  <c r="G271" i="14"/>
  <c r="G262" i="14"/>
  <c r="D267" i="14"/>
  <c r="E271" i="14"/>
  <c r="E265" i="14"/>
  <c r="E269" i="14"/>
  <c r="A239" i="12" l="1"/>
  <c r="A3" i="12"/>
  <c r="AA1738" i="5"/>
  <c r="AA1739" i="5"/>
  <c r="AA1740" i="5"/>
  <c r="AA1741" i="5"/>
  <c r="AA1742" i="5"/>
  <c r="AA1743" i="5"/>
  <c r="AA1744" i="5"/>
  <c r="AA1745" i="5"/>
  <c r="AA1746" i="5"/>
  <c r="AA1747" i="5"/>
  <c r="AA1748" i="5"/>
  <c r="Z1749" i="5"/>
  <c r="AA1749" i="5"/>
  <c r="Z1750" i="5"/>
  <c r="AA1750" i="5"/>
  <c r="Z1751" i="5"/>
  <c r="AA1751" i="5"/>
  <c r="Z1752" i="5"/>
  <c r="AA1752" i="5"/>
  <c r="Z1753" i="5"/>
  <c r="AA1753" i="5"/>
  <c r="Z1754" i="5"/>
  <c r="AA1754" i="5"/>
  <c r="Z1755" i="5"/>
  <c r="AA1755" i="5"/>
  <c r="Z1756" i="5"/>
  <c r="AA1756" i="5"/>
  <c r="Z1757" i="5"/>
  <c r="AA1757" i="5"/>
  <c r="Z1758" i="5"/>
  <c r="AA1758" i="5"/>
  <c r="Z1759" i="5"/>
  <c r="AA1759" i="5"/>
  <c r="Z1760" i="5"/>
  <c r="AA1760" i="5"/>
  <c r="Z1761" i="5"/>
  <c r="AA1761" i="5"/>
  <c r="Z1762" i="5"/>
  <c r="AA1762" i="5"/>
  <c r="Z1763" i="5"/>
  <c r="AA1763" i="5"/>
  <c r="Z1764" i="5"/>
  <c r="AA1764" i="5"/>
  <c r="Z1765" i="5"/>
  <c r="AA1765" i="5"/>
  <c r="Z1766" i="5"/>
  <c r="AA1766" i="5"/>
  <c r="Z1767" i="5"/>
  <c r="AA1767" i="5"/>
  <c r="Z1768" i="5"/>
  <c r="AA1768" i="5"/>
  <c r="Z1769" i="5"/>
  <c r="AA1769" i="5"/>
  <c r="Z1770" i="5"/>
  <c r="AA1770" i="5"/>
  <c r="Z1771" i="5"/>
  <c r="AA1771" i="5"/>
  <c r="Z1772" i="5"/>
  <c r="AA1772" i="5"/>
  <c r="Z1773" i="5"/>
  <c r="AA1773" i="5"/>
  <c r="Z1774" i="5"/>
  <c r="AA1774" i="5"/>
  <c r="Z1775" i="5"/>
  <c r="AA1775" i="5"/>
  <c r="Z1776" i="5"/>
  <c r="AA1776" i="5"/>
  <c r="Z1777" i="5"/>
  <c r="AA1777" i="5"/>
  <c r="Z1778" i="5"/>
  <c r="AA1778" i="5"/>
  <c r="Z1779" i="5"/>
  <c r="AA1779" i="5"/>
  <c r="Z1780" i="5"/>
  <c r="AA1780" i="5"/>
  <c r="Z1781" i="5"/>
  <c r="AA1781" i="5"/>
  <c r="Z1782" i="5"/>
  <c r="AA1782" i="5"/>
  <c r="Z1783" i="5"/>
  <c r="AA1783" i="5"/>
  <c r="Z1784" i="5"/>
  <c r="AA1784" i="5"/>
  <c r="Z1785" i="5"/>
  <c r="AA1785" i="5"/>
  <c r="Z1786" i="5"/>
  <c r="AA1786" i="5"/>
  <c r="Z1787" i="5"/>
  <c r="AA1787" i="5"/>
  <c r="Z1788" i="5"/>
  <c r="AA1788" i="5"/>
  <c r="Z1789" i="5"/>
  <c r="AA1789" i="5"/>
  <c r="Z1790" i="5"/>
  <c r="AA1790" i="5"/>
  <c r="Z1791" i="5"/>
  <c r="AA1791" i="5"/>
  <c r="Z1792" i="5"/>
  <c r="AA1792" i="5"/>
  <c r="Z1793" i="5"/>
  <c r="AA1793" i="5"/>
  <c r="Z1794" i="5"/>
  <c r="AA1794" i="5"/>
  <c r="Z1795" i="5"/>
  <c r="AA1795" i="5"/>
  <c r="Z1796" i="5"/>
  <c r="AA1796" i="5"/>
  <c r="Z1797" i="5"/>
  <c r="AA1797" i="5"/>
  <c r="Z1798" i="5"/>
  <c r="AA1798" i="5"/>
  <c r="Z1799" i="5"/>
  <c r="AA1799" i="5"/>
  <c r="Z1800" i="5"/>
  <c r="AA1800" i="5"/>
  <c r="Z1801" i="5"/>
  <c r="AA1801" i="5"/>
  <c r="Z1802" i="5"/>
  <c r="AA1802" i="5"/>
  <c r="Z1803" i="5"/>
  <c r="AA1803" i="5"/>
  <c r="Z1804" i="5"/>
  <c r="AA1804" i="5"/>
  <c r="Z1805" i="5"/>
  <c r="AA1805" i="5"/>
  <c r="Z1806" i="5"/>
  <c r="AA1806" i="5"/>
  <c r="Z1807" i="5"/>
  <c r="AA1807" i="5"/>
  <c r="Z1808" i="5"/>
  <c r="AA1808" i="5"/>
  <c r="Z1809" i="5"/>
  <c r="AA1809" i="5"/>
  <c r="Z1810" i="5"/>
  <c r="AA1810" i="5"/>
  <c r="Z1811" i="5"/>
  <c r="AA1811" i="5"/>
  <c r="AA1812" i="5"/>
  <c r="AA1813" i="5"/>
  <c r="AA1814" i="5"/>
  <c r="Z1815" i="5"/>
  <c r="AA1815" i="5"/>
  <c r="Z1816" i="5"/>
  <c r="AA1816" i="5"/>
  <c r="Z1817" i="5"/>
  <c r="AA1817" i="5"/>
  <c r="Z1818" i="5"/>
  <c r="AA1818" i="5"/>
  <c r="Z1819" i="5"/>
  <c r="AA1819" i="5"/>
  <c r="Z1820" i="5"/>
  <c r="AA1820" i="5"/>
  <c r="Z1821" i="5"/>
  <c r="AA1821" i="5"/>
  <c r="Z1822" i="5"/>
  <c r="AA1822" i="5"/>
  <c r="Z1823" i="5"/>
  <c r="AA1823" i="5"/>
  <c r="Z1824" i="5"/>
  <c r="AA1824" i="5"/>
  <c r="Z1825" i="5"/>
  <c r="AA1825" i="5"/>
  <c r="Z1826" i="5"/>
  <c r="AA1826" i="5"/>
  <c r="Z1827" i="5"/>
  <c r="AA1827" i="5"/>
  <c r="Z1828" i="5"/>
  <c r="AA1828" i="5"/>
  <c r="Z1829" i="5"/>
  <c r="AA1829" i="5"/>
  <c r="Z1830" i="5"/>
  <c r="AA1830" i="5"/>
  <c r="Z1831" i="5"/>
  <c r="AA1831" i="5"/>
  <c r="Z1832" i="5"/>
  <c r="AA1832" i="5"/>
  <c r="Z1833" i="5"/>
  <c r="AA1833" i="5"/>
  <c r="Z1834" i="5"/>
  <c r="AA1834" i="5"/>
  <c r="Z1835" i="5"/>
  <c r="AA1835" i="5"/>
  <c r="Z1836" i="5"/>
  <c r="AA1836" i="5"/>
  <c r="Z1837" i="5"/>
  <c r="AA1837" i="5"/>
  <c r="Z1838" i="5"/>
  <c r="AA1838" i="5"/>
  <c r="Z1839" i="5"/>
  <c r="AA1839" i="5"/>
  <c r="Z1840" i="5"/>
  <c r="AA1840" i="5"/>
  <c r="Z1841" i="5"/>
  <c r="AA1841" i="5"/>
  <c r="Z1842" i="5"/>
  <c r="AA1842" i="5"/>
  <c r="Z1843" i="5"/>
  <c r="AA1843" i="5"/>
  <c r="Z1844" i="5"/>
  <c r="AA1844" i="5"/>
  <c r="Z1845" i="5"/>
  <c r="AA1845" i="5"/>
  <c r="AA1846" i="5"/>
  <c r="AA1847" i="5"/>
  <c r="AA1848" i="5"/>
  <c r="AA1849" i="5"/>
  <c r="AA1850" i="5"/>
  <c r="AA1851" i="5"/>
  <c r="AA1852" i="5"/>
  <c r="AA1853" i="5"/>
  <c r="AA1854" i="5"/>
  <c r="AA1855" i="5"/>
  <c r="AA1856" i="5"/>
  <c r="AA1857" i="5"/>
  <c r="AA1858" i="5"/>
  <c r="AA1859" i="5"/>
  <c r="AA1860" i="5"/>
  <c r="AA1861" i="5"/>
  <c r="AA1862" i="5"/>
  <c r="AA1863" i="5"/>
  <c r="AA1864" i="5"/>
  <c r="AA1865" i="5"/>
  <c r="AA1866" i="5"/>
  <c r="AA1867" i="5"/>
  <c r="AA1868" i="5"/>
  <c r="AA1869" i="5"/>
  <c r="AA1870" i="5"/>
  <c r="AA1871" i="5"/>
  <c r="AA1872" i="5"/>
  <c r="Z1873" i="5"/>
  <c r="AA1873" i="5"/>
  <c r="Z1874" i="5"/>
  <c r="AA1874" i="5"/>
  <c r="Z1875" i="5"/>
  <c r="AA1875" i="5"/>
  <c r="Z1876" i="5"/>
  <c r="AA1876" i="5"/>
  <c r="Z1877" i="5"/>
  <c r="AA1877" i="5"/>
  <c r="Z1878" i="5"/>
  <c r="AA1878" i="5"/>
  <c r="Z1879" i="5"/>
  <c r="AA1879" i="5"/>
  <c r="Z1880" i="5"/>
  <c r="AA1880" i="5"/>
  <c r="Z1881" i="5"/>
  <c r="AA1881" i="5"/>
  <c r="Z1882" i="5"/>
  <c r="AA1882" i="5"/>
  <c r="Z1883" i="5"/>
  <c r="AA1883" i="5"/>
  <c r="Z1884" i="5"/>
  <c r="AA1884" i="5"/>
  <c r="Z1885" i="5"/>
  <c r="AA1885" i="5"/>
  <c r="Z1886" i="5"/>
  <c r="AA1886" i="5"/>
  <c r="Z1887" i="5"/>
  <c r="AA1887" i="5"/>
  <c r="Z1888" i="5"/>
  <c r="AA1888" i="5"/>
  <c r="Z1889" i="5"/>
  <c r="AA1889" i="5"/>
  <c r="Z1890" i="5"/>
  <c r="AA1890" i="5"/>
  <c r="Z1891" i="5"/>
  <c r="AA1891" i="5"/>
  <c r="Z1892" i="5"/>
  <c r="AA1892" i="5"/>
  <c r="Z1893" i="5"/>
  <c r="AA1893" i="5"/>
  <c r="Z1894" i="5"/>
  <c r="AA1894" i="5"/>
  <c r="Z1895" i="5"/>
  <c r="AA1895" i="5"/>
  <c r="Z1896" i="5"/>
  <c r="AA1896" i="5"/>
  <c r="Z1897" i="5"/>
  <c r="AA1897" i="5"/>
  <c r="Z1898" i="5"/>
  <c r="AA1898" i="5"/>
  <c r="Z1899" i="5"/>
  <c r="AA1899" i="5"/>
  <c r="Z1900" i="5"/>
  <c r="AA1900" i="5"/>
  <c r="Z1901" i="5"/>
  <c r="AA1901" i="5"/>
  <c r="Z1902" i="5"/>
  <c r="AA1902" i="5"/>
  <c r="Z1903" i="5"/>
  <c r="AA1903" i="5"/>
  <c r="Z1904" i="5"/>
  <c r="AA1904" i="5"/>
  <c r="Z1905" i="5"/>
  <c r="AA1905" i="5"/>
  <c r="Z1906" i="5"/>
  <c r="AA1906" i="5"/>
  <c r="Z1907" i="5"/>
  <c r="AA1907" i="5"/>
  <c r="Z1908" i="5"/>
  <c r="AA1908" i="5"/>
  <c r="Z1909" i="5"/>
  <c r="AA1909" i="5"/>
  <c r="Z1910" i="5"/>
  <c r="AA1910" i="5"/>
  <c r="Z1911" i="5"/>
  <c r="AA1911" i="5"/>
  <c r="Z1912" i="5"/>
  <c r="AA1912" i="5"/>
  <c r="AA1913" i="5"/>
  <c r="AA1914" i="5"/>
  <c r="Z1915" i="5"/>
  <c r="AA1915" i="5"/>
  <c r="Z1916" i="5"/>
  <c r="AA1916" i="5"/>
  <c r="Z1917" i="5"/>
  <c r="AA1917" i="5"/>
  <c r="Z1918" i="5"/>
  <c r="AA1918" i="5"/>
  <c r="Z1919" i="5"/>
  <c r="AA1919" i="5"/>
  <c r="Z1920" i="5"/>
  <c r="AA1920" i="5"/>
  <c r="Z1921" i="5"/>
  <c r="AA1921" i="5"/>
  <c r="Z1922" i="5"/>
  <c r="AA1922" i="5"/>
  <c r="Z1923" i="5"/>
  <c r="AA1923" i="5"/>
  <c r="Z1924" i="5"/>
  <c r="AA1924" i="5"/>
  <c r="Z1925" i="5"/>
  <c r="AA1925" i="5"/>
  <c r="Z1926" i="5"/>
  <c r="AA1926" i="5"/>
  <c r="Z1927" i="5"/>
  <c r="AA1927" i="5"/>
  <c r="Z1928" i="5"/>
  <c r="AA1928" i="5"/>
  <c r="Z1929" i="5"/>
  <c r="AA1929" i="5"/>
  <c r="Z1930" i="5"/>
  <c r="AA1930" i="5"/>
  <c r="Z1931" i="5"/>
  <c r="AA1931" i="5"/>
  <c r="Z1932" i="5"/>
  <c r="AA1932" i="5"/>
  <c r="Z1933" i="5"/>
  <c r="AA1933" i="5"/>
  <c r="Z1934" i="5"/>
  <c r="AA1934" i="5"/>
  <c r="Z1935" i="5"/>
  <c r="AA1935" i="5"/>
  <c r="Z1936" i="5"/>
  <c r="AA1936" i="5"/>
  <c r="Z1937" i="5"/>
  <c r="AA1937" i="5"/>
  <c r="Z1938" i="5"/>
  <c r="AA1938" i="5"/>
  <c r="Z1939" i="5"/>
  <c r="AA1939" i="5"/>
  <c r="Z1940" i="5"/>
  <c r="AA1940" i="5"/>
  <c r="Z1941" i="5"/>
  <c r="AA1941" i="5"/>
  <c r="Z1942" i="5"/>
  <c r="AA1942" i="5"/>
  <c r="Z1943" i="5"/>
  <c r="AA1943" i="5"/>
  <c r="Z1944" i="5"/>
  <c r="AA1944" i="5"/>
  <c r="Z1945" i="5"/>
  <c r="AA1945" i="5"/>
  <c r="AA1946" i="5"/>
  <c r="AA1947" i="5"/>
  <c r="AA1948" i="5"/>
  <c r="AA1949" i="5"/>
  <c r="AA1950" i="5"/>
  <c r="AA1951" i="5"/>
  <c r="AA1952" i="5"/>
  <c r="AA1953" i="5"/>
  <c r="AA1954" i="5"/>
  <c r="AA1955" i="5"/>
  <c r="Z1956" i="5"/>
  <c r="AA1956" i="5"/>
  <c r="Z1957" i="5"/>
  <c r="AA1957" i="5"/>
  <c r="Z1958" i="5"/>
  <c r="AA1958" i="5"/>
  <c r="Z1959" i="5"/>
  <c r="AA1959" i="5"/>
  <c r="Z1960" i="5"/>
  <c r="AA1960" i="5"/>
  <c r="Z1961" i="5"/>
  <c r="Z1962" i="5"/>
  <c r="Z1963" i="5"/>
  <c r="Z1964" i="5"/>
  <c r="Z1965" i="5"/>
  <c r="Z1966" i="5"/>
  <c r="Z1967" i="5"/>
  <c r="AA1967" i="5"/>
  <c r="Z1968" i="5"/>
  <c r="AA1968" i="5"/>
  <c r="Z1969" i="5"/>
  <c r="AA1969" i="5"/>
  <c r="AA1970" i="5"/>
  <c r="AA1971" i="5"/>
  <c r="AA1972" i="5"/>
  <c r="AA1973" i="5"/>
  <c r="Z1974" i="5"/>
  <c r="AA1974" i="5"/>
  <c r="Z1975" i="5"/>
  <c r="AA1975" i="5"/>
  <c r="Z1976" i="5"/>
  <c r="AA1976" i="5"/>
  <c r="Z1977" i="5"/>
  <c r="AA1977" i="5"/>
  <c r="Z1978" i="5"/>
  <c r="AA1978" i="5"/>
  <c r="Z1979" i="5"/>
  <c r="AA1979" i="5"/>
  <c r="Z1980" i="5"/>
  <c r="AA1980" i="5"/>
  <c r="Z1981" i="5"/>
  <c r="AA1981" i="5"/>
  <c r="Z1982" i="5"/>
  <c r="AA1982" i="5"/>
  <c r="Z1983" i="5"/>
  <c r="AA1983" i="5"/>
  <c r="Z1984" i="5"/>
  <c r="AA1984" i="5"/>
  <c r="Z1985" i="5"/>
  <c r="AA1985" i="5"/>
  <c r="Z1986" i="5"/>
  <c r="AA1986" i="5"/>
  <c r="Z1987" i="5"/>
  <c r="AA1987" i="5"/>
  <c r="Z1988" i="5"/>
  <c r="AA1988" i="5"/>
  <c r="Z1989" i="5"/>
  <c r="AA1989" i="5"/>
  <c r="Z1990" i="5"/>
  <c r="AA1990" i="5"/>
  <c r="Z1991" i="5"/>
  <c r="AA1991" i="5"/>
  <c r="Z1992" i="5"/>
  <c r="AA1992" i="5"/>
  <c r="Z1993" i="5"/>
  <c r="AA1993" i="5"/>
  <c r="Z1994" i="5"/>
  <c r="AA1994" i="5"/>
  <c r="Z1995" i="5"/>
  <c r="AA1995" i="5"/>
  <c r="Z1996" i="5"/>
  <c r="AA1996" i="5"/>
  <c r="Z1997" i="5"/>
  <c r="AA1997" i="5"/>
  <c r="Z1998" i="5"/>
  <c r="AA1998" i="5"/>
  <c r="Z1999" i="5"/>
  <c r="AA1999" i="5"/>
  <c r="Z2000" i="5"/>
  <c r="AA2000" i="5"/>
  <c r="Z2001" i="5"/>
  <c r="AA2001" i="5"/>
  <c r="Z2002" i="5"/>
  <c r="AA2002" i="5"/>
  <c r="Z2003" i="5"/>
  <c r="AA2003" i="5"/>
  <c r="Z2004" i="5"/>
  <c r="AA2004" i="5"/>
  <c r="Z2005" i="5"/>
  <c r="AA2005" i="5"/>
  <c r="Z2006" i="5"/>
  <c r="AA2006" i="5"/>
  <c r="Z2007" i="5"/>
  <c r="AA2007" i="5"/>
  <c r="Z2008" i="5"/>
  <c r="AA2008" i="5"/>
  <c r="Z2009" i="5"/>
  <c r="AA2009" i="5"/>
  <c r="Z2010" i="5"/>
  <c r="AA2010" i="5"/>
  <c r="Z2011" i="5"/>
  <c r="AA2011" i="5"/>
  <c r="Z2012" i="5"/>
  <c r="AA2012" i="5"/>
  <c r="Z2013" i="5"/>
  <c r="AA2013" i="5"/>
  <c r="Z2014" i="5"/>
  <c r="AA2014" i="5"/>
  <c r="Z2015" i="5"/>
  <c r="AA2015" i="5"/>
  <c r="Z2016" i="5"/>
  <c r="AA2016" i="5"/>
  <c r="Z2017" i="5"/>
  <c r="AA2017" i="5"/>
  <c r="Z2018" i="5"/>
  <c r="AA2018" i="5"/>
  <c r="Z2019" i="5"/>
  <c r="AA2019" i="5"/>
  <c r="Z2020" i="5"/>
  <c r="AA2020" i="5"/>
  <c r="Z2021" i="5"/>
  <c r="AA2021" i="5"/>
  <c r="AA2022" i="5"/>
  <c r="AA2023" i="5"/>
  <c r="AA2024" i="5"/>
  <c r="AA2025" i="5"/>
  <c r="AA2026" i="5"/>
  <c r="AA2027" i="5"/>
  <c r="AA2028" i="5"/>
  <c r="AA2029" i="5"/>
  <c r="AA2030" i="5"/>
  <c r="AA2031" i="5"/>
  <c r="AA2032" i="5"/>
  <c r="Z2033" i="5"/>
  <c r="AA2033" i="5"/>
  <c r="Z2034" i="5"/>
  <c r="AA2034" i="5"/>
  <c r="Z2035" i="5"/>
  <c r="AA2035" i="5"/>
  <c r="Z2036" i="5"/>
  <c r="AA2036" i="5"/>
  <c r="Z2037" i="5"/>
  <c r="AA2037" i="5"/>
  <c r="Z2038" i="5"/>
  <c r="AA2038" i="5"/>
  <c r="Z2039" i="5"/>
  <c r="AA2039" i="5"/>
  <c r="Z2040" i="5"/>
  <c r="AA2040" i="5"/>
  <c r="Z2041" i="5"/>
  <c r="AA2041" i="5"/>
  <c r="Z2042" i="5"/>
  <c r="AA2042" i="5"/>
  <c r="Z2043" i="5"/>
  <c r="AA2043" i="5"/>
  <c r="Z2044" i="5"/>
  <c r="AA2044" i="5"/>
  <c r="Z2045" i="5"/>
  <c r="AA2045" i="5"/>
  <c r="Z2046" i="5"/>
  <c r="AA2046" i="5"/>
  <c r="Z2047" i="5"/>
  <c r="AA2047" i="5"/>
  <c r="Z2048" i="5"/>
  <c r="AA2048" i="5"/>
  <c r="Z2049" i="5"/>
  <c r="AA2049" i="5"/>
  <c r="Z2050" i="5"/>
  <c r="AA2050" i="5"/>
  <c r="Z2051" i="5"/>
  <c r="AA2051" i="5"/>
  <c r="Z2052" i="5"/>
  <c r="AA2052" i="5"/>
  <c r="Z2053" i="5"/>
  <c r="AA2053" i="5"/>
  <c r="Z2054" i="5"/>
  <c r="AA2054" i="5"/>
  <c r="Z2055" i="5"/>
  <c r="AA2055" i="5"/>
  <c r="Z2056" i="5"/>
  <c r="AA2056" i="5"/>
  <c r="Z2057" i="5"/>
  <c r="AA2057" i="5"/>
  <c r="Z2058" i="5"/>
  <c r="AA2058" i="5"/>
  <c r="Z2059" i="5"/>
  <c r="AA2059" i="5"/>
  <c r="Z2060" i="5"/>
  <c r="AA2060" i="5"/>
  <c r="Z2061" i="5"/>
  <c r="AA2061" i="5"/>
  <c r="Z2062" i="5"/>
  <c r="AA2062" i="5"/>
  <c r="Z2063" i="5"/>
  <c r="AA2063" i="5"/>
  <c r="Z2064" i="5"/>
  <c r="AA2064" i="5"/>
  <c r="Z2065" i="5"/>
  <c r="AA2065" i="5"/>
  <c r="Z2066" i="5"/>
  <c r="AA2066" i="5"/>
  <c r="Z2067" i="5"/>
  <c r="AA2067" i="5"/>
  <c r="Z2068" i="5"/>
  <c r="AA2068" i="5"/>
  <c r="Z2069" i="5"/>
  <c r="AA2069" i="5"/>
  <c r="Z2070" i="5"/>
  <c r="AA2070" i="5"/>
  <c r="Z2071" i="5"/>
  <c r="AA2071" i="5"/>
  <c r="AA2072" i="5"/>
  <c r="AA2073" i="5"/>
  <c r="AA2074" i="5"/>
  <c r="AA2075" i="5"/>
  <c r="AA2076" i="5"/>
  <c r="AA2077" i="5"/>
  <c r="AA2078" i="5"/>
  <c r="AA2079" i="5"/>
  <c r="AA2080" i="5"/>
  <c r="AA2081" i="5"/>
  <c r="AA2082" i="5"/>
  <c r="AA2083" i="5"/>
  <c r="AA2084" i="5"/>
  <c r="AA2085" i="5"/>
  <c r="AA2086" i="5"/>
  <c r="AA2087" i="5"/>
  <c r="AA2088" i="5"/>
  <c r="AA2089" i="5"/>
  <c r="AA2090" i="5"/>
  <c r="AA2091" i="5"/>
  <c r="AA2092" i="5"/>
  <c r="AA2093" i="5"/>
  <c r="AA2094" i="5"/>
  <c r="AA2095" i="5"/>
  <c r="AA2096" i="5"/>
  <c r="AA2097" i="5"/>
  <c r="Z2098" i="5"/>
  <c r="AA2098" i="5"/>
  <c r="Z2099" i="5"/>
  <c r="AA2099" i="5"/>
  <c r="Z2100" i="5"/>
  <c r="AA2100" i="5"/>
  <c r="Z2101" i="5"/>
  <c r="AA2101" i="5"/>
  <c r="Z2102" i="5"/>
  <c r="AA2102" i="5"/>
  <c r="Z2103" i="5"/>
  <c r="AA2103" i="5"/>
  <c r="Z2104" i="5"/>
  <c r="AA2104" i="5"/>
  <c r="Z2105" i="5"/>
  <c r="AA2105" i="5"/>
  <c r="Z2106" i="5"/>
  <c r="AA2106" i="5"/>
  <c r="Z2107" i="5"/>
  <c r="AA2107" i="5"/>
  <c r="Z2108" i="5"/>
  <c r="AA2108" i="5"/>
  <c r="Z2109" i="5"/>
  <c r="AA2109" i="5"/>
  <c r="Z2110" i="5"/>
  <c r="AA2110" i="5"/>
  <c r="Z2111" i="5"/>
  <c r="AA2111" i="5"/>
  <c r="Z2112" i="5"/>
  <c r="AA2112" i="5"/>
  <c r="Z2113" i="5"/>
  <c r="AA2113" i="5"/>
  <c r="Z2114" i="5"/>
  <c r="AA2114" i="5"/>
  <c r="Z2115" i="5"/>
  <c r="AA2115" i="5"/>
  <c r="Z2116" i="5"/>
  <c r="AA2116" i="5"/>
  <c r="Z2117" i="5"/>
  <c r="AA2117" i="5"/>
  <c r="Z2118" i="5"/>
  <c r="AA2118" i="5"/>
  <c r="Z2119" i="5"/>
  <c r="AA2119" i="5"/>
  <c r="Z2120" i="5"/>
  <c r="AA2120" i="5"/>
  <c r="Z2121" i="5"/>
  <c r="AA2121" i="5"/>
  <c r="Z2122" i="5"/>
  <c r="AA2122" i="5"/>
  <c r="Z2123" i="5"/>
  <c r="AA2123" i="5"/>
  <c r="Z2124" i="5"/>
  <c r="AA2124" i="5"/>
  <c r="Z2125" i="5"/>
  <c r="AA2125" i="5"/>
  <c r="Z2126" i="5"/>
  <c r="AA2126" i="5"/>
  <c r="Z2127" i="5"/>
  <c r="AA2127" i="5"/>
  <c r="Z2128" i="5"/>
  <c r="AA2128" i="5"/>
  <c r="Z2129" i="5"/>
  <c r="AA2129" i="5"/>
  <c r="Z2130" i="5"/>
  <c r="AA2130" i="5"/>
  <c r="Z2131" i="5"/>
  <c r="AA2131" i="5"/>
  <c r="Z2132" i="5"/>
  <c r="AA2132" i="5"/>
  <c r="Z2133" i="5"/>
  <c r="AA2133" i="5"/>
  <c r="Z2134" i="5"/>
  <c r="AA2134" i="5"/>
  <c r="Z2135" i="5"/>
  <c r="AA2135" i="5"/>
  <c r="Z2136" i="5"/>
  <c r="AA2136" i="5"/>
  <c r="Z2137" i="5"/>
  <c r="AA2137" i="5"/>
  <c r="Z2138" i="5"/>
  <c r="AA2138" i="5"/>
  <c r="Z2139" i="5"/>
  <c r="AA2139" i="5"/>
  <c r="Z2140" i="5"/>
  <c r="AA2140" i="5"/>
  <c r="Z2141" i="5"/>
  <c r="AA2141" i="5"/>
  <c r="Z2142" i="5"/>
  <c r="AA2142" i="5"/>
  <c r="Z2143" i="5"/>
  <c r="AA2143" i="5"/>
  <c r="Z2144" i="5"/>
  <c r="AA2144" i="5"/>
  <c r="Z2145" i="5"/>
  <c r="AA2145" i="5"/>
  <c r="Z2146" i="5"/>
  <c r="AA2146" i="5"/>
  <c r="Z2147" i="5"/>
  <c r="AA2147" i="5"/>
  <c r="Z2148" i="5"/>
  <c r="AA2148" i="5"/>
  <c r="Z2149" i="5"/>
  <c r="AA2149" i="5"/>
  <c r="Z2150" i="5"/>
  <c r="AA2150" i="5"/>
  <c r="Z2151" i="5"/>
  <c r="AA2151" i="5"/>
  <c r="Z2152" i="5"/>
  <c r="AA2152" i="5"/>
  <c r="Z2153" i="5"/>
  <c r="AA2153" i="5"/>
  <c r="Z2154" i="5"/>
  <c r="AA2154" i="5"/>
  <c r="Z2155" i="5"/>
  <c r="AA2155" i="5"/>
  <c r="AA2156" i="5"/>
  <c r="AA2157" i="5"/>
  <c r="AA2158" i="5"/>
  <c r="AA2159" i="5"/>
  <c r="AA2160" i="5"/>
  <c r="AA2161" i="5"/>
  <c r="AA2162" i="5"/>
  <c r="Z2163" i="5"/>
  <c r="AA2163" i="5"/>
  <c r="Z2164" i="5"/>
  <c r="AA2164" i="5"/>
  <c r="AA2165" i="5"/>
  <c r="AA2166" i="5"/>
  <c r="AA2167" i="5"/>
  <c r="AA2168" i="5"/>
  <c r="AA2169" i="5"/>
  <c r="AA2170" i="5"/>
  <c r="AA2171" i="5"/>
  <c r="AA2172" i="5"/>
  <c r="AA2173" i="5"/>
  <c r="AA2174" i="5"/>
  <c r="Z2175" i="5"/>
  <c r="AA2175" i="5"/>
  <c r="Z2176" i="5"/>
  <c r="AA2176" i="5"/>
  <c r="Z2177" i="5"/>
  <c r="AA2177" i="5"/>
  <c r="Z2178" i="5"/>
  <c r="AA2178" i="5"/>
  <c r="Z2179" i="5"/>
  <c r="AA2179" i="5"/>
  <c r="Z2180" i="5"/>
  <c r="AA2180" i="5"/>
  <c r="Z2181" i="5"/>
  <c r="AA2181" i="5"/>
  <c r="Z2182" i="5"/>
  <c r="AA2182" i="5"/>
  <c r="Z2183" i="5"/>
  <c r="AA2183" i="5"/>
  <c r="Z2184" i="5"/>
  <c r="AA2184" i="5"/>
  <c r="Z2185" i="5"/>
  <c r="AA2185" i="5"/>
  <c r="Z2186" i="5"/>
  <c r="AA2186" i="5"/>
  <c r="Z2187" i="5"/>
  <c r="AA2187" i="5"/>
  <c r="Z2188" i="5"/>
  <c r="AA2188" i="5"/>
  <c r="Z2189" i="5"/>
  <c r="AA2189" i="5"/>
  <c r="Z2190" i="5"/>
  <c r="AA2190" i="5"/>
  <c r="Z2191" i="5"/>
  <c r="AA2191" i="5"/>
  <c r="Z2192" i="5"/>
  <c r="AA2192" i="5"/>
  <c r="Z2193" i="5"/>
  <c r="AA2193" i="5"/>
  <c r="Z2194" i="5"/>
  <c r="AA2194" i="5"/>
  <c r="Z2195" i="5"/>
  <c r="AA2195" i="5"/>
  <c r="Z2196" i="5"/>
  <c r="AA2196" i="5"/>
  <c r="Z2197" i="5"/>
  <c r="AA2197" i="5"/>
  <c r="Z2198" i="5"/>
  <c r="AA2198" i="5"/>
  <c r="Z2199" i="5"/>
  <c r="AA2199" i="5"/>
  <c r="Z2200" i="5"/>
  <c r="AA2200" i="5"/>
  <c r="Z2201" i="5"/>
  <c r="AA2201" i="5"/>
  <c r="Z2202" i="5"/>
  <c r="AA2202" i="5"/>
  <c r="Z2203" i="5"/>
  <c r="AA2203" i="5"/>
  <c r="Z2204" i="5"/>
  <c r="AA2204" i="5"/>
  <c r="Z2205" i="5"/>
  <c r="AA2205" i="5"/>
  <c r="Z2206" i="5"/>
  <c r="AA2206" i="5"/>
  <c r="Z2207" i="5"/>
  <c r="AA2207" i="5"/>
  <c r="Z2208" i="5"/>
  <c r="AA2208" i="5"/>
  <c r="Z2209" i="5"/>
  <c r="AA2209" i="5"/>
  <c r="Z2210" i="5"/>
  <c r="AA2210" i="5"/>
  <c r="AA2211" i="5"/>
  <c r="AA2212" i="5"/>
  <c r="Z2213" i="5"/>
  <c r="AA2213" i="5"/>
  <c r="Z2214" i="5"/>
  <c r="AA2214" i="5"/>
  <c r="Z2215" i="5"/>
  <c r="AA2215" i="5"/>
  <c r="Z2216" i="5"/>
  <c r="AA2216" i="5"/>
  <c r="Z2217" i="5"/>
  <c r="AA2217" i="5"/>
  <c r="Z2218" i="5"/>
  <c r="AA2218" i="5"/>
  <c r="Z2219" i="5"/>
  <c r="AA2219" i="5"/>
  <c r="Z2220" i="5"/>
  <c r="AA2220" i="5"/>
  <c r="Z2221" i="5"/>
  <c r="AA2221" i="5"/>
  <c r="Z2222" i="5"/>
  <c r="AA2222" i="5"/>
  <c r="Z2223" i="5"/>
  <c r="AA2223" i="5"/>
  <c r="Z2224" i="5"/>
  <c r="AA2224" i="5"/>
  <c r="Z2225" i="5"/>
  <c r="AA2225" i="5"/>
  <c r="Z2226" i="5"/>
  <c r="AA2226" i="5"/>
  <c r="Z2227" i="5"/>
  <c r="AA2227" i="5"/>
  <c r="Z2228" i="5"/>
  <c r="AA2228" i="5"/>
  <c r="Z2229" i="5"/>
  <c r="AA2229" i="5"/>
  <c r="Z2230" i="5"/>
  <c r="AA2230" i="5"/>
  <c r="Z2231" i="5"/>
  <c r="AA2231" i="5"/>
  <c r="Z2232" i="5"/>
  <c r="AA2232" i="5"/>
  <c r="Z2233" i="5"/>
  <c r="AA2233" i="5"/>
  <c r="Z2234" i="5"/>
  <c r="AA2234" i="5"/>
  <c r="Z2235" i="5"/>
  <c r="AA2235" i="5"/>
  <c r="Z2236" i="5"/>
  <c r="AA2236" i="5"/>
  <c r="Z2237" i="5"/>
  <c r="AA2237" i="5"/>
  <c r="Z2238" i="5"/>
  <c r="AA2238" i="5"/>
  <c r="AA2239" i="5"/>
  <c r="AA2240" i="5"/>
  <c r="AA2241" i="5"/>
  <c r="Z2242" i="5"/>
  <c r="AA2242" i="5"/>
  <c r="Z2243" i="5"/>
  <c r="AA2243" i="5"/>
  <c r="Z2244" i="5"/>
  <c r="AA2244" i="5"/>
  <c r="Z2245" i="5"/>
  <c r="AA2245" i="5"/>
  <c r="Z2246" i="5"/>
  <c r="AA2246" i="5"/>
  <c r="Z2247" i="5"/>
  <c r="AA2247" i="5"/>
  <c r="Z2248" i="5"/>
  <c r="AA2248" i="5"/>
  <c r="Z2249" i="5"/>
  <c r="AA2249" i="5"/>
  <c r="Z2250" i="5"/>
  <c r="AA2250" i="5"/>
  <c r="Z2251" i="5"/>
  <c r="AA2251" i="5"/>
  <c r="Z2252" i="5"/>
  <c r="AA2252" i="5"/>
  <c r="Z2253" i="5"/>
  <c r="Z2254" i="5"/>
  <c r="Z2255" i="5"/>
  <c r="Z2256" i="5"/>
  <c r="Z2257" i="5"/>
  <c r="Z2258" i="5"/>
  <c r="Z2259" i="5"/>
  <c r="Z2260" i="5"/>
  <c r="Z2261" i="5"/>
  <c r="Z2262" i="5"/>
  <c r="Z2263" i="5"/>
  <c r="Z2264" i="5"/>
  <c r="Z2265" i="5"/>
  <c r="Z2266" i="5"/>
  <c r="Z2267" i="5"/>
  <c r="Z2268" i="5"/>
  <c r="Z2269" i="5"/>
  <c r="Z2270" i="5"/>
  <c r="Z2271" i="5"/>
  <c r="Z2272" i="5"/>
  <c r="Z2273" i="5"/>
  <c r="Z2274" i="5"/>
  <c r="Z2275" i="5"/>
  <c r="Z2276" i="5"/>
  <c r="Z2277" i="5"/>
  <c r="Z2278" i="5"/>
  <c r="Z2279" i="5"/>
  <c r="Z2280" i="5"/>
  <c r="Z2281" i="5"/>
  <c r="Z2282" i="5"/>
  <c r="Z2283" i="5"/>
  <c r="Z2284" i="5"/>
  <c r="Z2285" i="5"/>
  <c r="Z2286" i="5"/>
  <c r="Z2287" i="5"/>
  <c r="Z2288" i="5"/>
  <c r="Z2289" i="5"/>
  <c r="Z2290" i="5"/>
  <c r="AA2290" i="5"/>
  <c r="Z2291" i="5"/>
  <c r="AA2291" i="5"/>
  <c r="Z2292" i="5"/>
  <c r="AA2292" i="5"/>
  <c r="Z2293" i="5"/>
  <c r="AA2293" i="5"/>
  <c r="Z2294" i="5"/>
  <c r="AA2294" i="5"/>
  <c r="Z2295" i="5"/>
  <c r="AA2295" i="5"/>
  <c r="Z2296" i="5"/>
  <c r="AA2296" i="5"/>
  <c r="Z2297" i="5"/>
  <c r="AA2297" i="5"/>
  <c r="Z2298" i="5"/>
  <c r="AA2298" i="5"/>
  <c r="Z2299" i="5"/>
  <c r="AA2299" i="5"/>
  <c r="Z2300" i="5"/>
  <c r="AA2300" i="5"/>
  <c r="Z2301" i="5"/>
  <c r="AA2301" i="5"/>
  <c r="Z2302" i="5"/>
  <c r="AA2302" i="5"/>
  <c r="Z2303" i="5"/>
  <c r="AA2303" i="5"/>
  <c r="Z2304" i="5"/>
  <c r="AA2304" i="5"/>
  <c r="Z2305" i="5"/>
  <c r="AA2305" i="5"/>
  <c r="Z2306" i="5"/>
  <c r="AA2306" i="5"/>
  <c r="Z2307" i="5"/>
  <c r="AA2307" i="5"/>
  <c r="Z2308" i="5"/>
  <c r="AA2308" i="5"/>
  <c r="Z2309" i="5"/>
  <c r="AA2309" i="5"/>
  <c r="Z2310" i="5"/>
  <c r="AA2310" i="5"/>
  <c r="Z2311" i="5"/>
  <c r="AA2311" i="5"/>
  <c r="Z2312" i="5"/>
  <c r="AA2312" i="5"/>
  <c r="Z2313" i="5"/>
  <c r="AA2313" i="5"/>
  <c r="Z2314" i="5"/>
  <c r="AA2314" i="5"/>
  <c r="Z2315" i="5"/>
  <c r="AA2315" i="5"/>
  <c r="Z2316" i="5"/>
  <c r="Z2317" i="5"/>
  <c r="Z2318" i="5"/>
  <c r="Z2319" i="5"/>
  <c r="Z2320" i="5"/>
  <c r="Z2321" i="5"/>
  <c r="Z2322" i="5"/>
  <c r="Z2323" i="5"/>
  <c r="Z2324" i="5"/>
  <c r="Z2325" i="5"/>
  <c r="Z2326" i="5"/>
  <c r="Z2327" i="5"/>
  <c r="Z2328" i="5"/>
  <c r="Z2329" i="5"/>
  <c r="Z2330" i="5"/>
  <c r="Z2331" i="5"/>
  <c r="AA2331" i="5"/>
  <c r="Z2332" i="5"/>
  <c r="AA2332" i="5"/>
  <c r="Z2333" i="5"/>
  <c r="AA2333" i="5"/>
  <c r="Z2334" i="5"/>
  <c r="AA2334" i="5"/>
  <c r="Z2335" i="5"/>
  <c r="AA2335" i="5"/>
  <c r="Z2336" i="5"/>
  <c r="AA2336" i="5"/>
  <c r="Z2337" i="5"/>
  <c r="AA2337" i="5"/>
  <c r="Z2338" i="5"/>
  <c r="AA2338" i="5"/>
  <c r="Z2339" i="5"/>
  <c r="AA2339" i="5"/>
  <c r="Z2340" i="5"/>
  <c r="AA2340" i="5"/>
  <c r="Z2341" i="5"/>
  <c r="AA2341" i="5"/>
  <c r="Z2342" i="5"/>
  <c r="AA2342" i="5"/>
  <c r="Z2343" i="5"/>
  <c r="AA2343" i="5"/>
  <c r="Z2344" i="5"/>
  <c r="AA2344" i="5"/>
  <c r="Z2345" i="5"/>
  <c r="Z2346" i="5"/>
  <c r="AA2346" i="5"/>
  <c r="Z2347" i="5"/>
  <c r="AA2347" i="5"/>
  <c r="Z2348" i="5"/>
  <c r="Z2349" i="5"/>
  <c r="Z2350" i="5"/>
  <c r="Z2351" i="5"/>
  <c r="Z2352" i="5"/>
  <c r="AA2352" i="5"/>
  <c r="Z2353" i="5"/>
  <c r="AA2353" i="5"/>
  <c r="Z2354" i="5"/>
  <c r="AA2354" i="5"/>
  <c r="Z2355" i="5"/>
  <c r="AA2355" i="5"/>
  <c r="Z2356" i="5"/>
  <c r="Z2357" i="5"/>
  <c r="Z2358" i="5"/>
  <c r="AA2358" i="5"/>
  <c r="Z2359" i="5"/>
  <c r="AA2359" i="5"/>
  <c r="Z2360" i="5"/>
  <c r="AA2360" i="5"/>
  <c r="Z2361" i="5"/>
  <c r="AA2361" i="5"/>
  <c r="Z2362" i="5"/>
  <c r="AA2362" i="5"/>
  <c r="Z2363" i="5"/>
  <c r="AA2363" i="5"/>
  <c r="Z2364" i="5"/>
  <c r="AA2364" i="5"/>
  <c r="Z2365" i="5"/>
  <c r="AA2365" i="5"/>
  <c r="Z2366" i="5"/>
  <c r="AA2366" i="5"/>
  <c r="AA2367" i="5"/>
  <c r="AA2368" i="5"/>
  <c r="AA2369" i="5"/>
  <c r="AA2370" i="5"/>
  <c r="Z2371" i="5"/>
  <c r="AA2371" i="5"/>
  <c r="Z2372" i="5"/>
  <c r="AA2372" i="5"/>
  <c r="Z2373" i="5"/>
  <c r="AA2373" i="5"/>
  <c r="Z2374" i="5"/>
  <c r="AA2374" i="5"/>
  <c r="Z2375" i="5"/>
  <c r="AA2375" i="5"/>
  <c r="Z2376" i="5"/>
  <c r="AA2376" i="5"/>
  <c r="Z2377" i="5"/>
  <c r="AA2377" i="5"/>
  <c r="Z2378" i="5"/>
  <c r="AA2378" i="5"/>
  <c r="Z2379" i="5"/>
  <c r="AA2379" i="5"/>
  <c r="Z2380" i="5"/>
  <c r="AA2380" i="5"/>
  <c r="Z2381" i="5"/>
  <c r="AA2381" i="5"/>
  <c r="AA2382" i="5"/>
  <c r="AA2383" i="5"/>
  <c r="Z2384" i="5"/>
  <c r="AA2384" i="5"/>
  <c r="Z2385" i="5"/>
  <c r="AA2385" i="5"/>
  <c r="Z2386" i="5"/>
  <c r="AA2386" i="5"/>
  <c r="Z2387" i="5"/>
  <c r="AA2387" i="5"/>
  <c r="Z2388" i="5"/>
  <c r="AA2388" i="5"/>
  <c r="Z2389" i="5"/>
  <c r="AA2389" i="5"/>
  <c r="Z2390" i="5"/>
  <c r="AA2390" i="5"/>
  <c r="Z2391" i="5"/>
  <c r="AA2391" i="5"/>
  <c r="Z2392" i="5"/>
  <c r="AA2392" i="5"/>
  <c r="Z2393" i="5"/>
  <c r="AA2393" i="5"/>
  <c r="Z2394" i="5"/>
  <c r="AA2394" i="5"/>
  <c r="Z2395" i="5"/>
  <c r="AA2395" i="5"/>
  <c r="Z2396" i="5"/>
  <c r="AA2396" i="5"/>
  <c r="Z2397" i="5"/>
  <c r="AA2397" i="5"/>
  <c r="Z2398" i="5"/>
  <c r="AA2398" i="5"/>
  <c r="Z2399" i="5"/>
  <c r="AA2399" i="5"/>
  <c r="Z2400" i="5"/>
  <c r="AA2400" i="5"/>
  <c r="Z2401" i="5"/>
  <c r="AA2401" i="5"/>
  <c r="Z2402" i="5"/>
  <c r="AA2402" i="5"/>
  <c r="Z2403" i="5"/>
  <c r="AA2403" i="5"/>
  <c r="Z2404" i="5"/>
  <c r="AA2404" i="5"/>
  <c r="Z2405" i="5"/>
  <c r="AA2405" i="5"/>
  <c r="Z2406" i="5"/>
  <c r="AA2406" i="5"/>
  <c r="Z2407" i="5"/>
  <c r="AA2407" i="5"/>
  <c r="Z2408" i="5"/>
  <c r="AA2408" i="5"/>
  <c r="Z2409" i="5"/>
  <c r="AA2409" i="5"/>
  <c r="Z2410" i="5"/>
  <c r="AA2410" i="5"/>
  <c r="Z2411" i="5"/>
  <c r="AA2411" i="5"/>
  <c r="Z2412" i="5"/>
  <c r="AA2412" i="5"/>
  <c r="Z2413" i="5"/>
  <c r="AA2413" i="5"/>
  <c r="Z2414" i="5"/>
  <c r="AA2414" i="5"/>
  <c r="Z2415" i="5"/>
  <c r="AA2415" i="5"/>
  <c r="Z2416" i="5"/>
  <c r="AA2416" i="5"/>
  <c r="Z2417" i="5"/>
  <c r="AA2417" i="5"/>
  <c r="Z2418" i="5"/>
  <c r="AA2418" i="5"/>
  <c r="Z2419" i="5"/>
  <c r="AA2419" i="5"/>
  <c r="Z2420" i="5"/>
  <c r="AA2420" i="5"/>
  <c r="Z2421" i="5"/>
  <c r="AA2421" i="5"/>
  <c r="Z2422" i="5"/>
  <c r="AA2422" i="5"/>
  <c r="Z2423" i="5"/>
  <c r="AA2423" i="5"/>
  <c r="Z2424" i="5"/>
  <c r="AA2424" i="5"/>
  <c r="Z2425" i="5"/>
  <c r="AA2425" i="5"/>
  <c r="Z2426" i="5"/>
  <c r="AA2426" i="5"/>
  <c r="Z2427" i="5"/>
  <c r="AA2427" i="5"/>
  <c r="Z2428" i="5"/>
  <c r="AA2428" i="5"/>
  <c r="Z2429" i="5"/>
  <c r="AA2429" i="5"/>
  <c r="Z2430" i="5"/>
  <c r="AA2430" i="5"/>
  <c r="Z2431" i="5"/>
  <c r="AA2431" i="5"/>
  <c r="Z2432" i="5"/>
  <c r="AA2432" i="5"/>
  <c r="Z2433" i="5"/>
  <c r="AA2433" i="5"/>
  <c r="Z2434" i="5"/>
  <c r="Z2435" i="5"/>
  <c r="Z2436" i="5"/>
  <c r="Z2437" i="5"/>
  <c r="Z2438" i="5"/>
  <c r="Z2439" i="5"/>
  <c r="Z2440" i="5"/>
  <c r="Z2441" i="5"/>
  <c r="Z2442" i="5"/>
  <c r="Z2443" i="5"/>
  <c r="Z2444" i="5"/>
  <c r="Z2445" i="5"/>
  <c r="Z2446" i="5"/>
  <c r="Z2447" i="5"/>
  <c r="Z2448" i="5"/>
  <c r="Z2449" i="5"/>
  <c r="Z2450" i="5"/>
  <c r="Z2451" i="5"/>
  <c r="Z2452" i="5"/>
  <c r="AA2452" i="5"/>
  <c r="Z2453" i="5"/>
  <c r="AA2453" i="5"/>
  <c r="Z2454" i="5"/>
  <c r="AA2454" i="5"/>
  <c r="Z2455" i="5"/>
  <c r="AA2455" i="5"/>
  <c r="Z2456" i="5"/>
  <c r="AA2456" i="5"/>
  <c r="Z2457" i="5"/>
  <c r="AA2457" i="5"/>
  <c r="Z2458" i="5"/>
  <c r="AA2458" i="5"/>
  <c r="Z2459" i="5"/>
  <c r="Z2460" i="5"/>
  <c r="Z2461" i="5"/>
  <c r="AA2461" i="5"/>
  <c r="Z2462" i="5"/>
  <c r="AA2462" i="5"/>
  <c r="Z2463" i="5"/>
  <c r="AA2463" i="5"/>
  <c r="Z2464" i="5"/>
  <c r="AA2464" i="5"/>
  <c r="Z2465" i="5"/>
  <c r="AA2465" i="5"/>
  <c r="Z2466" i="5"/>
  <c r="AA2466" i="5"/>
  <c r="Z2467" i="5"/>
  <c r="AA2467" i="5"/>
  <c r="Z2468" i="5"/>
  <c r="AA2468" i="5"/>
  <c r="Z2469" i="5"/>
  <c r="AA2469" i="5"/>
  <c r="Z2470" i="5"/>
  <c r="Z2471" i="5"/>
  <c r="Z2472" i="5"/>
  <c r="Z2473" i="5"/>
  <c r="AA2473" i="5"/>
  <c r="Z2474" i="5"/>
  <c r="AA2474" i="5"/>
  <c r="Z2475" i="5"/>
  <c r="AA2475" i="5"/>
  <c r="Z2476" i="5"/>
  <c r="AA2476" i="5"/>
  <c r="Z2477" i="5"/>
  <c r="AA2477" i="5"/>
  <c r="Z2478" i="5"/>
  <c r="AA2478" i="5"/>
  <c r="Z2479" i="5"/>
  <c r="AA2479" i="5"/>
  <c r="Z2480" i="5"/>
  <c r="AA2480" i="5"/>
  <c r="Z2481" i="5"/>
  <c r="AA2481" i="5"/>
  <c r="Z2482" i="5"/>
  <c r="AA2482" i="5"/>
  <c r="Z2483" i="5"/>
  <c r="AA2483" i="5"/>
  <c r="Z2484" i="5"/>
  <c r="AA2484" i="5"/>
  <c r="Z2485" i="5"/>
  <c r="AA2485" i="5"/>
  <c r="Z2486" i="5"/>
  <c r="Z2487" i="5"/>
  <c r="AA2487" i="5"/>
  <c r="Z2488" i="5"/>
  <c r="AA2488" i="5"/>
  <c r="Z2489" i="5"/>
  <c r="AA2489" i="5"/>
  <c r="Z2490" i="5"/>
  <c r="AA2490" i="5"/>
  <c r="Z2491" i="5"/>
  <c r="AA2491" i="5"/>
  <c r="Z2492" i="5"/>
  <c r="AA2492" i="5"/>
  <c r="Z2493" i="5"/>
  <c r="AA2493" i="5"/>
  <c r="Z2494" i="5"/>
  <c r="AA2494" i="5"/>
  <c r="Z2495" i="5"/>
  <c r="AA2495" i="5"/>
  <c r="Z2496" i="5"/>
  <c r="AA2496" i="5"/>
  <c r="Z2497" i="5"/>
  <c r="AA2497" i="5"/>
  <c r="Z2498" i="5"/>
  <c r="AA2498" i="5"/>
  <c r="Z2499" i="5"/>
  <c r="Z2500" i="5"/>
  <c r="Z2501" i="5"/>
  <c r="Z2502" i="5"/>
  <c r="AA2502" i="5"/>
  <c r="Z2503" i="5"/>
  <c r="AA2503" i="5"/>
  <c r="Z2504" i="5"/>
  <c r="AA2504" i="5"/>
  <c r="Z2505" i="5"/>
  <c r="AA2505" i="5"/>
  <c r="Z2506" i="5"/>
  <c r="Z2507" i="5"/>
  <c r="Z2508" i="5"/>
  <c r="Z2509" i="5"/>
  <c r="Z2510" i="5"/>
  <c r="Z2511" i="5"/>
  <c r="Z2512" i="5"/>
  <c r="Z2513" i="5"/>
  <c r="Z2514" i="5"/>
  <c r="Z1709" i="5"/>
  <c r="AA1709" i="5"/>
  <c r="Z1710" i="5"/>
  <c r="AA1710" i="5"/>
  <c r="Z1711" i="5"/>
  <c r="AA1711" i="5"/>
  <c r="Z1712" i="5"/>
  <c r="AA1712" i="5"/>
  <c r="Z1713" i="5"/>
  <c r="AA1713" i="5"/>
  <c r="Z1714" i="5"/>
  <c r="AA1714" i="5"/>
  <c r="Z1715" i="5"/>
  <c r="AA1715" i="5"/>
  <c r="Z1716" i="5"/>
  <c r="AA1716" i="5"/>
  <c r="Z1717" i="5"/>
  <c r="AA1717" i="5"/>
  <c r="Z1718" i="5"/>
  <c r="AA1718" i="5"/>
  <c r="Z1719" i="5"/>
  <c r="AA1719" i="5"/>
  <c r="Z1720" i="5"/>
  <c r="AA1720" i="5"/>
  <c r="Z1721" i="5"/>
  <c r="AA1721" i="5"/>
  <c r="Z1722" i="5"/>
  <c r="AA1722" i="5"/>
  <c r="Z1723" i="5"/>
  <c r="AA1723" i="5"/>
  <c r="Z1724" i="5"/>
  <c r="AA1724" i="5"/>
  <c r="Z1725" i="5"/>
  <c r="AA1725" i="5"/>
  <c r="Z1726" i="5"/>
  <c r="AA1726" i="5"/>
  <c r="Z1727" i="5"/>
  <c r="AA1727" i="5"/>
  <c r="Z1728" i="5"/>
  <c r="AA1728" i="5"/>
  <c r="Z1729" i="5"/>
  <c r="AA1729" i="5"/>
  <c r="Z1730" i="5"/>
  <c r="AA1730" i="5"/>
  <c r="Z1731" i="5"/>
  <c r="AA1731" i="5"/>
  <c r="Z1732" i="5"/>
  <c r="AA1732" i="5"/>
  <c r="Z1733" i="5"/>
  <c r="AA1733" i="5"/>
  <c r="Z1734" i="5"/>
  <c r="AA1734" i="5"/>
  <c r="Z1735" i="5"/>
  <c r="AA1735" i="5"/>
  <c r="Z1736" i="5"/>
  <c r="AA1736" i="5"/>
  <c r="AA1737" i="5"/>
  <c r="K1687" i="5"/>
  <c r="D1687" i="5"/>
  <c r="B1687" i="5"/>
  <c r="M1687" i="5" l="1"/>
  <c r="H1687" i="5"/>
  <c r="I1687" i="5" s="1"/>
  <c r="P1687" i="5" s="1"/>
  <c r="N1687" i="5"/>
  <c r="J1687" i="5"/>
  <c r="L1687" i="5"/>
  <c r="O1687" i="5" l="1"/>
  <c r="Q1687" i="5" s="1"/>
  <c r="L729" i="8" l="1"/>
  <c r="L720" i="8"/>
  <c r="L715" i="8"/>
  <c r="L709" i="8"/>
  <c r="S687" i="8"/>
  <c r="L730" i="8" s="1"/>
  <c r="M653" i="8"/>
  <c r="N653" i="8" s="1"/>
  <c r="O653" i="8" s="1"/>
  <c r="P653" i="8" s="1"/>
  <c r="S570" i="8"/>
  <c r="S569" i="8"/>
  <c r="S568" i="8"/>
  <c r="S567" i="8"/>
  <c r="S566" i="8"/>
  <c r="S564" i="8"/>
  <c r="S563" i="8"/>
  <c r="S562" i="8"/>
  <c r="S561" i="8"/>
  <c r="S559" i="8"/>
  <c r="S558" i="8"/>
  <c r="S557" i="8"/>
  <c r="S555" i="8"/>
  <c r="S552" i="8"/>
  <c r="S550" i="8"/>
  <c r="S549" i="8"/>
  <c r="S548" i="8"/>
  <c r="S547" i="8"/>
  <c r="S545" i="8"/>
  <c r="S658" i="8" s="1"/>
  <c r="L701" i="8" s="1"/>
  <c r="S544" i="8"/>
  <c r="S541" i="8"/>
  <c r="S540" i="8"/>
  <c r="S539" i="8"/>
  <c r="S538" i="8"/>
  <c r="S537" i="8"/>
  <c r="S536" i="8"/>
  <c r="S535" i="8"/>
  <c r="S533" i="8"/>
  <c r="S532" i="8"/>
  <c r="S531" i="8"/>
  <c r="S530" i="8"/>
  <c r="S656" i="8" s="1"/>
  <c r="L699" i="8" s="1"/>
  <c r="S529" i="8"/>
  <c r="S528" i="8"/>
  <c r="S527" i="8"/>
  <c r="S655" i="8" s="1"/>
  <c r="L698" i="8" s="1"/>
  <c r="S608" i="8"/>
  <c r="S607" i="8"/>
  <c r="S676" i="8" s="1"/>
  <c r="L719" i="8" s="1"/>
  <c r="S606" i="8"/>
  <c r="S605" i="8"/>
  <c r="S604" i="8"/>
  <c r="S603" i="8"/>
  <c r="S602" i="8"/>
  <c r="S601" i="8"/>
  <c r="S600" i="8"/>
  <c r="S599" i="8"/>
  <c r="S598" i="8"/>
  <c r="S597" i="8"/>
  <c r="S596" i="8"/>
  <c r="S595" i="8"/>
  <c r="S594" i="8"/>
  <c r="S593" i="8"/>
  <c r="S592" i="8"/>
  <c r="S591" i="8"/>
  <c r="S590" i="8"/>
  <c r="S589" i="8"/>
  <c r="S588" i="8"/>
  <c r="S587" i="8"/>
  <c r="S586" i="8"/>
  <c r="S585" i="8"/>
  <c r="S584" i="8"/>
  <c r="S583" i="8"/>
  <c r="S582" i="8"/>
  <c r="S581" i="8"/>
  <c r="S580" i="8"/>
  <c r="S579" i="8"/>
  <c r="S578" i="8"/>
  <c r="S669" i="8" s="1"/>
  <c r="L712" i="8" s="1"/>
  <c r="S577" i="8"/>
  <c r="S668" i="8" s="1"/>
  <c r="L711" i="8" s="1"/>
  <c r="S576" i="8"/>
  <c r="S671" i="8" s="1"/>
  <c r="L714" i="8" s="1"/>
  <c r="S575" i="8"/>
  <c r="S573" i="8"/>
  <c r="S572" i="8"/>
  <c r="S650" i="8"/>
  <c r="S649" i="8"/>
  <c r="S648" i="8"/>
  <c r="S647" i="8"/>
  <c r="S646" i="8"/>
  <c r="S645" i="8"/>
  <c r="S644" i="8"/>
  <c r="S643" i="8"/>
  <c r="S642" i="8"/>
  <c r="S641" i="8"/>
  <c r="S639" i="8"/>
  <c r="S638" i="8"/>
  <c r="S637" i="8"/>
  <c r="S636" i="8"/>
  <c r="S635" i="8"/>
  <c r="S634" i="8"/>
  <c r="S632" i="8"/>
  <c r="S631" i="8"/>
  <c r="S629" i="8"/>
  <c r="S628" i="8"/>
  <c r="S627" i="8"/>
  <c r="S625" i="8"/>
  <c r="S624" i="8"/>
  <c r="S623" i="8"/>
  <c r="S685" i="8" s="1"/>
  <c r="L728" i="8" s="1"/>
  <c r="S622" i="8"/>
  <c r="S621" i="8"/>
  <c r="S684" i="8" s="1"/>
  <c r="L727" i="8" s="1"/>
  <c r="S620" i="8"/>
  <c r="S619" i="8"/>
  <c r="S618" i="8"/>
  <c r="S617" i="8"/>
  <c r="S616" i="8"/>
  <c r="S615" i="8"/>
  <c r="S612" i="8"/>
  <c r="S609" i="8"/>
  <c r="S610" i="8"/>
  <c r="S683" i="8" s="1"/>
  <c r="L726" i="8" s="1"/>
  <c r="S633" i="8"/>
  <c r="S640" i="8"/>
  <c r="S565" i="8"/>
  <c r="S571" i="8"/>
  <c r="S574" i="8"/>
  <c r="S611" i="8"/>
  <c r="S613" i="8"/>
  <c r="S614" i="8"/>
  <c r="S543" i="8"/>
  <c r="S551" i="8"/>
  <c r="S553" i="8"/>
  <c r="S554" i="8"/>
  <c r="S556" i="8"/>
  <c r="S560" i="8"/>
  <c r="T548" i="8"/>
  <c r="T549" i="8"/>
  <c r="T550" i="8"/>
  <c r="T551" i="8"/>
  <c r="T552" i="8"/>
  <c r="T553" i="8"/>
  <c r="T554" i="8"/>
  <c r="T555" i="8"/>
  <c r="T556" i="8"/>
  <c r="T557" i="8"/>
  <c r="T558" i="8"/>
  <c r="T559" i="8"/>
  <c r="T560" i="8"/>
  <c r="T561" i="8"/>
  <c r="T562" i="8"/>
  <c r="T563" i="8"/>
  <c r="T564" i="8"/>
  <c r="T565" i="8"/>
  <c r="T566" i="8"/>
  <c r="T567" i="8"/>
  <c r="T568" i="8"/>
  <c r="T569" i="8"/>
  <c r="T570" i="8"/>
  <c r="T571" i="8"/>
  <c r="T572" i="8"/>
  <c r="T573" i="8"/>
  <c r="T574" i="8"/>
  <c r="T575" i="8"/>
  <c r="T576" i="8"/>
  <c r="T577" i="8"/>
  <c r="T578" i="8"/>
  <c r="T579" i="8"/>
  <c r="T580" i="8"/>
  <c r="T581" i="8"/>
  <c r="T582" i="8"/>
  <c r="T583" i="8"/>
  <c r="T584" i="8"/>
  <c r="T585" i="8"/>
  <c r="T586" i="8"/>
  <c r="T587" i="8"/>
  <c r="T588" i="8"/>
  <c r="T589" i="8"/>
  <c r="T590" i="8"/>
  <c r="T591" i="8"/>
  <c r="T592" i="8"/>
  <c r="T593" i="8"/>
  <c r="T594" i="8"/>
  <c r="T595" i="8"/>
  <c r="T596" i="8"/>
  <c r="T597" i="8"/>
  <c r="T598" i="8"/>
  <c r="T599" i="8"/>
  <c r="T600" i="8"/>
  <c r="T601" i="8"/>
  <c r="T602" i="8"/>
  <c r="T603" i="8"/>
  <c r="T604" i="8"/>
  <c r="T605" i="8"/>
  <c r="T606" i="8"/>
  <c r="T607" i="8"/>
  <c r="T608" i="8"/>
  <c r="T609" i="8"/>
  <c r="T610" i="8"/>
  <c r="T611" i="8"/>
  <c r="T612" i="8"/>
  <c r="T613" i="8"/>
  <c r="T614" i="8"/>
  <c r="T615" i="8"/>
  <c r="T616" i="8"/>
  <c r="T617" i="8"/>
  <c r="T618" i="8"/>
  <c r="T619" i="8"/>
  <c r="T620" i="8"/>
  <c r="T621" i="8"/>
  <c r="T622" i="8"/>
  <c r="T623" i="8"/>
  <c r="T624" i="8"/>
  <c r="T625" i="8"/>
  <c r="T626" i="8"/>
  <c r="T627" i="8"/>
  <c r="T628" i="8"/>
  <c r="T629" i="8"/>
  <c r="T630" i="8"/>
  <c r="T631" i="8"/>
  <c r="T632" i="8"/>
  <c r="T633" i="8"/>
  <c r="T634" i="8"/>
  <c r="T635" i="8"/>
  <c r="T636" i="8"/>
  <c r="T637" i="8"/>
  <c r="T638" i="8"/>
  <c r="T639" i="8"/>
  <c r="T640" i="8"/>
  <c r="T641" i="8"/>
  <c r="T642" i="8"/>
  <c r="T643" i="8"/>
  <c r="T644" i="8"/>
  <c r="T645" i="8"/>
  <c r="T646" i="8"/>
  <c r="T647" i="8"/>
  <c r="T648" i="8"/>
  <c r="T649" i="8"/>
  <c r="T650" i="8"/>
  <c r="T528" i="8"/>
  <c r="T529" i="8"/>
  <c r="T530" i="8"/>
  <c r="T531" i="8"/>
  <c r="T532" i="8"/>
  <c r="T533" i="8"/>
  <c r="T534" i="8"/>
  <c r="T535" i="8"/>
  <c r="T536" i="8"/>
  <c r="T537" i="8"/>
  <c r="T538" i="8"/>
  <c r="T539" i="8"/>
  <c r="T540" i="8"/>
  <c r="T541" i="8"/>
  <c r="T542" i="8"/>
  <c r="T543" i="8"/>
  <c r="T544" i="8"/>
  <c r="T545" i="8"/>
  <c r="T546" i="8"/>
  <c r="T547" i="8"/>
  <c r="T527" i="8"/>
  <c r="S542" i="8"/>
  <c r="S534" i="8"/>
  <c r="S2514" i="5"/>
  <c r="S2513" i="5"/>
  <c r="S2511" i="5"/>
  <c r="R2511" i="5"/>
  <c r="S2509" i="5"/>
  <c r="S2508" i="5"/>
  <c r="S2507" i="5" s="1"/>
  <c r="R2508" i="5"/>
  <c r="S2505" i="5"/>
  <c r="S2504" i="5" s="1"/>
  <c r="R2505" i="5"/>
  <c r="R2504" i="5" s="1"/>
  <c r="S2503" i="5"/>
  <c r="S2502" i="5" s="1"/>
  <c r="R2503" i="5"/>
  <c r="R2502" i="5" s="1"/>
  <c r="S2501" i="5"/>
  <c r="R2501" i="5"/>
  <c r="S2500" i="5"/>
  <c r="R2500" i="5"/>
  <c r="S2499" i="5"/>
  <c r="R2499" i="5"/>
  <c r="S2498" i="5"/>
  <c r="R2498" i="5"/>
  <c r="S2497" i="5"/>
  <c r="R2497" i="5"/>
  <c r="S2496" i="5"/>
  <c r="R2496" i="5"/>
  <c r="S2495" i="5"/>
  <c r="R2495" i="5"/>
  <c r="S2494" i="5"/>
  <c r="R2494" i="5"/>
  <c r="S2493" i="5"/>
  <c r="S2492" i="5" s="1"/>
  <c r="R2493" i="5"/>
  <c r="R2492" i="5" s="1"/>
  <c r="S2491" i="5"/>
  <c r="R2491" i="5"/>
  <c r="S2490" i="5"/>
  <c r="R2490" i="5"/>
  <c r="S2489" i="5"/>
  <c r="R2489" i="5"/>
  <c r="S2488" i="5"/>
  <c r="R2488" i="5"/>
  <c r="R2487" i="5" s="1"/>
  <c r="R2486" i="5" s="1"/>
  <c r="S2485" i="5"/>
  <c r="R2485" i="5"/>
  <c r="S2484" i="5"/>
  <c r="S2483" i="5" s="1"/>
  <c r="R2484" i="5"/>
  <c r="R2483" i="5"/>
  <c r="S2482" i="5"/>
  <c r="R2482" i="5"/>
  <c r="S2481" i="5"/>
  <c r="R2481" i="5"/>
  <c r="R2480" i="5" s="1"/>
  <c r="S2479" i="5"/>
  <c r="S2478" i="5" s="1"/>
  <c r="R2479" i="5"/>
  <c r="R2478" i="5" s="1"/>
  <c r="S2477" i="5"/>
  <c r="R2477" i="5"/>
  <c r="S2476" i="5"/>
  <c r="S2475" i="5" s="1"/>
  <c r="R2476" i="5"/>
  <c r="R2475" i="5"/>
  <c r="S2474" i="5"/>
  <c r="S2473" i="5" s="1"/>
  <c r="R2474" i="5"/>
  <c r="R2473" i="5"/>
  <c r="S2472" i="5"/>
  <c r="R2472" i="5"/>
  <c r="S2471" i="5"/>
  <c r="R2471" i="5"/>
  <c r="R2470" i="5" s="1"/>
  <c r="S2469" i="5"/>
  <c r="R2469" i="5"/>
  <c r="S2468" i="5"/>
  <c r="R2468" i="5"/>
  <c r="S2467" i="5"/>
  <c r="S2465" i="5" s="1"/>
  <c r="R2467" i="5"/>
  <c r="S2466" i="5"/>
  <c r="R2466" i="5"/>
  <c r="S2464" i="5"/>
  <c r="S2463" i="5" s="1"/>
  <c r="R2464" i="5"/>
  <c r="R2463" i="5"/>
  <c r="S2462" i="5"/>
  <c r="S2461" i="5" s="1"/>
  <c r="R2462" i="5"/>
  <c r="R2461" i="5"/>
  <c r="S2460" i="5"/>
  <c r="S2459" i="5" s="1"/>
  <c r="R2460" i="5"/>
  <c r="R2459" i="5"/>
  <c r="S2458" i="5"/>
  <c r="R2458" i="5"/>
  <c r="S2457" i="5"/>
  <c r="S2455" i="5"/>
  <c r="S2454" i="5" s="1"/>
  <c r="R2455" i="5"/>
  <c r="R2454" i="5" s="1"/>
  <c r="S2453" i="5"/>
  <c r="S2452" i="5" s="1"/>
  <c r="R2453" i="5"/>
  <c r="R2452" i="5" s="1"/>
  <c r="S2450" i="5"/>
  <c r="R2450" i="5"/>
  <c r="S2449" i="5"/>
  <c r="R2449" i="5"/>
  <c r="R2448" i="5" s="1"/>
  <c r="S2447" i="5"/>
  <c r="R2447" i="5"/>
  <c r="S2446" i="5"/>
  <c r="R2446" i="5"/>
  <c r="R2445" i="5" s="1"/>
  <c r="S2445" i="5"/>
  <c r="S2444" i="5"/>
  <c r="R2444" i="5"/>
  <c r="S2443" i="5"/>
  <c r="S2442" i="5" s="1"/>
  <c r="R2443" i="5"/>
  <c r="S2441" i="5"/>
  <c r="R2441" i="5"/>
  <c r="S2440" i="5"/>
  <c r="S2439" i="5" s="1"/>
  <c r="R2440" i="5"/>
  <c r="R2439" i="5"/>
  <c r="S2438" i="5"/>
  <c r="R2438" i="5"/>
  <c r="S2437" i="5"/>
  <c r="R2437" i="5"/>
  <c r="S2436" i="5"/>
  <c r="S2435" i="5" s="1"/>
  <c r="R2436" i="5"/>
  <c r="R2435" i="5"/>
  <c r="S2433" i="5"/>
  <c r="S2432" i="5" s="1"/>
  <c r="R2433" i="5"/>
  <c r="R2432" i="5" s="1"/>
  <c r="S2431" i="5"/>
  <c r="S2430" i="5" s="1"/>
  <c r="R2431" i="5"/>
  <c r="R2430" i="5" s="1"/>
  <c r="S2429" i="5"/>
  <c r="S2427" i="5" s="1"/>
  <c r="S2426" i="5" s="1"/>
  <c r="R2429" i="5"/>
  <c r="S2428" i="5"/>
  <c r="R2428" i="5"/>
  <c r="R2427" i="5" s="1"/>
  <c r="R2426" i="5" s="1"/>
  <c r="S2425" i="5"/>
  <c r="R2425" i="5"/>
  <c r="S2424" i="5"/>
  <c r="R2424" i="5"/>
  <c r="S2423" i="5"/>
  <c r="R2423" i="5"/>
  <c r="S2422" i="5"/>
  <c r="S2421" i="5" s="1"/>
  <c r="R2422" i="5"/>
  <c r="R2421" i="5"/>
  <c r="S2420" i="5"/>
  <c r="R2420" i="5"/>
  <c r="S2419" i="5"/>
  <c r="R2419" i="5"/>
  <c r="R2418" i="5" s="1"/>
  <c r="S2417" i="5"/>
  <c r="R2417" i="5"/>
  <c r="S2416" i="5"/>
  <c r="R2416" i="5"/>
  <c r="R2415" i="5" s="1"/>
  <c r="S2415" i="5"/>
  <c r="S2414" i="5"/>
  <c r="S2413" i="5"/>
  <c r="S2411" i="5" s="1"/>
  <c r="S2412" i="5"/>
  <c r="R2412" i="5"/>
  <c r="S2410" i="5"/>
  <c r="S2409" i="5"/>
  <c r="S2407" i="5" s="1"/>
  <c r="S2408" i="5"/>
  <c r="R2408" i="5"/>
  <c r="S2405" i="5"/>
  <c r="R2405" i="5"/>
  <c r="S2404" i="5"/>
  <c r="S2403" i="5" s="1"/>
  <c r="R2404" i="5"/>
  <c r="R2403" i="5"/>
  <c r="S2402" i="5"/>
  <c r="S2401" i="5" s="1"/>
  <c r="R2402" i="5"/>
  <c r="R2401" i="5"/>
  <c r="S2400" i="5"/>
  <c r="S2399" i="5" s="1"/>
  <c r="R2400" i="5"/>
  <c r="R2399" i="5"/>
  <c r="S2398" i="5"/>
  <c r="R2398" i="5"/>
  <c r="S2397" i="5"/>
  <c r="R2397" i="5"/>
  <c r="R2396" i="5" s="1"/>
  <c r="R2395" i="5" s="1"/>
  <c r="S2394" i="5"/>
  <c r="R2394" i="5"/>
  <c r="R2393" i="5" s="1"/>
  <c r="S2393" i="5"/>
  <c r="S2392" i="5"/>
  <c r="R2392" i="5"/>
  <c r="S2391" i="5"/>
  <c r="R2391" i="5"/>
  <c r="S2390" i="5"/>
  <c r="R2390" i="5"/>
  <c r="S2389" i="5"/>
  <c r="S2388" i="5" s="1"/>
  <c r="R2389" i="5"/>
  <c r="S2387" i="5"/>
  <c r="R2387" i="5"/>
  <c r="S2386" i="5"/>
  <c r="S2385" i="5" s="1"/>
  <c r="R2386" i="5"/>
  <c r="R2385" i="5"/>
  <c r="S2383" i="5"/>
  <c r="S2382" i="5" s="1"/>
  <c r="R2383" i="5"/>
  <c r="R2382" i="5" s="1"/>
  <c r="S2381" i="5"/>
  <c r="R2381" i="5"/>
  <c r="S2380" i="5"/>
  <c r="S2379" i="5" s="1"/>
  <c r="R2380" i="5"/>
  <c r="R2379" i="5"/>
  <c r="S2378" i="5"/>
  <c r="R2378" i="5"/>
  <c r="S2377" i="5"/>
  <c r="R2377" i="5"/>
  <c r="S2376" i="5"/>
  <c r="S2375" i="5" s="1"/>
  <c r="R2376" i="5"/>
  <c r="R2375" i="5"/>
  <c r="S2374" i="5"/>
  <c r="R2374" i="5"/>
  <c r="S2373" i="5"/>
  <c r="R2373" i="5"/>
  <c r="S2372" i="5"/>
  <c r="S2371" i="5" s="1"/>
  <c r="R2372" i="5"/>
  <c r="R2371" i="5"/>
  <c r="S2370" i="5"/>
  <c r="R2370" i="5"/>
  <c r="S2369" i="5"/>
  <c r="R2369" i="5"/>
  <c r="R2368" i="5" s="1"/>
  <c r="R2367" i="5" s="1"/>
  <c r="S2366" i="5"/>
  <c r="R2366" i="5"/>
  <c r="S2364" i="5"/>
  <c r="R2364" i="5"/>
  <c r="S2363" i="5"/>
  <c r="R2363" i="5"/>
  <c r="R2362" i="5" s="1"/>
  <c r="S2361" i="5"/>
  <c r="R2361" i="5"/>
  <c r="S2360" i="5"/>
  <c r="R2360" i="5"/>
  <c r="R2359" i="5" s="1"/>
  <c r="S2359" i="5"/>
  <c r="S2357" i="5"/>
  <c r="S2356" i="5" s="1"/>
  <c r="R2357" i="5"/>
  <c r="R2356" i="5" s="1"/>
  <c r="S2355" i="5"/>
  <c r="S2354" i="5" s="1"/>
  <c r="R2355" i="5"/>
  <c r="R2354" i="5" s="1"/>
  <c r="S2353" i="5"/>
  <c r="S2352" i="5" s="1"/>
  <c r="R2353" i="5"/>
  <c r="R2352" i="5" s="1"/>
  <c r="R2351" i="5" s="1"/>
  <c r="S2350" i="5"/>
  <c r="R2350" i="5"/>
  <c r="S2349" i="5"/>
  <c r="R2349" i="5"/>
  <c r="R2348" i="5" s="1"/>
  <c r="S2347" i="5"/>
  <c r="S2346" i="5" s="1"/>
  <c r="R2347" i="5"/>
  <c r="R2346" i="5" s="1"/>
  <c r="S2344" i="5"/>
  <c r="R2344" i="5"/>
  <c r="R2343" i="5" s="1"/>
  <c r="S2343" i="5"/>
  <c r="S2342" i="5"/>
  <c r="R2342" i="5"/>
  <c r="S2341" i="5"/>
  <c r="R2341" i="5"/>
  <c r="S2340" i="5"/>
  <c r="R2340" i="5"/>
  <c r="R2339" i="5" s="1"/>
  <c r="S2339" i="5"/>
  <c r="S2338" i="5" s="1"/>
  <c r="S2337" i="5"/>
  <c r="S2336" i="5" s="1"/>
  <c r="R2337" i="5"/>
  <c r="R2336" i="5" s="1"/>
  <c r="S2335" i="5"/>
  <c r="S2334" i="5" s="1"/>
  <c r="S2333" i="5"/>
  <c r="S2332" i="5"/>
  <c r="S2331" i="5" s="1"/>
  <c r="R2332" i="5"/>
  <c r="S2330" i="5"/>
  <c r="R2330" i="5"/>
  <c r="S2329" i="5"/>
  <c r="R2329" i="5"/>
  <c r="R2328" i="5" s="1"/>
  <c r="S2326" i="5"/>
  <c r="R2326" i="5"/>
  <c r="S2325" i="5"/>
  <c r="R2325" i="5"/>
  <c r="R2324" i="5" s="1"/>
  <c r="S2323" i="5"/>
  <c r="R2323" i="5"/>
  <c r="R443" i="8" s="1"/>
  <c r="S2320" i="5"/>
  <c r="R2320" i="5"/>
  <c r="S2319" i="5"/>
  <c r="R2319" i="5"/>
  <c r="S2318" i="5"/>
  <c r="R2318" i="5"/>
  <c r="R2317" i="5" s="1"/>
  <c r="R2316" i="5" s="1"/>
  <c r="S2317" i="5"/>
  <c r="S2316" i="5" s="1"/>
  <c r="S2315" i="5"/>
  <c r="S2314" i="5" s="1"/>
  <c r="S2313" i="5"/>
  <c r="S2312" i="5" s="1"/>
  <c r="S2311" i="5" s="1"/>
  <c r="R2313" i="5"/>
  <c r="R2312" i="5" s="1"/>
  <c r="S2310" i="5"/>
  <c r="S2309" i="5" s="1"/>
  <c r="R2310" i="5"/>
  <c r="R2309" i="5"/>
  <c r="S2308" i="5"/>
  <c r="S2307" i="5" s="1"/>
  <c r="S2306" i="5" s="1"/>
  <c r="R2308" i="5"/>
  <c r="R2307" i="5"/>
  <c r="R2306" i="5" s="1"/>
  <c r="S2305" i="5"/>
  <c r="R2305" i="5"/>
  <c r="S2304" i="5"/>
  <c r="R2304" i="5"/>
  <c r="S2303" i="5"/>
  <c r="R2303" i="5"/>
  <c r="S2302" i="5"/>
  <c r="R2302" i="5"/>
  <c r="R2301" i="5" s="1"/>
  <c r="S2301" i="5"/>
  <c r="S2300" i="5"/>
  <c r="R2300" i="5"/>
  <c r="S2299" i="5"/>
  <c r="R2299" i="5"/>
  <c r="S2298" i="5"/>
  <c r="R2298" i="5"/>
  <c r="S2297" i="5"/>
  <c r="S2296" i="5" s="1"/>
  <c r="R2297" i="5"/>
  <c r="S2295" i="5"/>
  <c r="R2295" i="5"/>
  <c r="S2294" i="5"/>
  <c r="R2294" i="5"/>
  <c r="S2293" i="5"/>
  <c r="R2293" i="5"/>
  <c r="S2292" i="5"/>
  <c r="S2291" i="5" s="1"/>
  <c r="S2290" i="5" s="1"/>
  <c r="R2292" i="5"/>
  <c r="R2291" i="5"/>
  <c r="S2288" i="5"/>
  <c r="S2287" i="5" s="1"/>
  <c r="R2288" i="5"/>
  <c r="R2287" i="5"/>
  <c r="S2286" i="5"/>
  <c r="S2285" i="5" s="1"/>
  <c r="R2286" i="5"/>
  <c r="R2285" i="5"/>
  <c r="S2284" i="5"/>
  <c r="R2284" i="5"/>
  <c r="S2283" i="5"/>
  <c r="R2283" i="5"/>
  <c r="R2282" i="5" s="1"/>
  <c r="S2281" i="5"/>
  <c r="S2280" i="5" s="1"/>
  <c r="R2281" i="5"/>
  <c r="R2280" i="5" s="1"/>
  <c r="S2278" i="5"/>
  <c r="R2278" i="5"/>
  <c r="R2277" i="5" s="1"/>
  <c r="S2277" i="5"/>
  <c r="S2276" i="5"/>
  <c r="R2276" i="5"/>
  <c r="S2275" i="5"/>
  <c r="R2275" i="5"/>
  <c r="S2274" i="5"/>
  <c r="R2274" i="5"/>
  <c r="R2273" i="5" s="1"/>
  <c r="S2273" i="5"/>
  <c r="S2272" i="5"/>
  <c r="R2272" i="5"/>
  <c r="S2271" i="5"/>
  <c r="S2269" i="5" s="1"/>
  <c r="S2268" i="5" s="1"/>
  <c r="R2271" i="5"/>
  <c r="S2270" i="5"/>
  <c r="R2270" i="5"/>
  <c r="R2269" i="5" s="1"/>
  <c r="R2268" i="5" s="1"/>
  <c r="S2267" i="5"/>
  <c r="S2263" i="5" s="1"/>
  <c r="R2267" i="5"/>
  <c r="S2266" i="5"/>
  <c r="R2266" i="5"/>
  <c r="S2265" i="5"/>
  <c r="R2265" i="5"/>
  <c r="S2264" i="5"/>
  <c r="R2264" i="5"/>
  <c r="R2263" i="5"/>
  <c r="S2262" i="5"/>
  <c r="R2262" i="5"/>
  <c r="S2261" i="5"/>
  <c r="S2260" i="5" s="1"/>
  <c r="R2261" i="5"/>
  <c r="R2260" i="5" s="1"/>
  <c r="S2259" i="5"/>
  <c r="S2258" i="5" s="1"/>
  <c r="R2259" i="5"/>
  <c r="R2258" i="5" s="1"/>
  <c r="S2257" i="5"/>
  <c r="S2256" i="5" s="1"/>
  <c r="R2257" i="5"/>
  <c r="R2256" i="5" s="1"/>
  <c r="R2253" i="5" s="1"/>
  <c r="S2255" i="5"/>
  <c r="R2255" i="5"/>
  <c r="R2254" i="5" s="1"/>
  <c r="S2254" i="5"/>
  <c r="S2253" i="5" s="1"/>
  <c r="S2252" i="5"/>
  <c r="R2252" i="5"/>
  <c r="S2251" i="5"/>
  <c r="S2250" i="5" s="1"/>
  <c r="R2251" i="5"/>
  <c r="S2249" i="5"/>
  <c r="R2249" i="5"/>
  <c r="R2247" i="5" s="1"/>
  <c r="S2248" i="5"/>
  <c r="S2247" i="5" s="1"/>
  <c r="R2248" i="5"/>
  <c r="S2245" i="5"/>
  <c r="R2245" i="5"/>
  <c r="S2244" i="5"/>
  <c r="R2244" i="5"/>
  <c r="S2243" i="5"/>
  <c r="S2242" i="5" s="1"/>
  <c r="R2243" i="5"/>
  <c r="S2241" i="5"/>
  <c r="R2241" i="5"/>
  <c r="R2239" i="5" s="1"/>
  <c r="S2240" i="5"/>
  <c r="R2240" i="5"/>
  <c r="S2238" i="5"/>
  <c r="R2238" i="5"/>
  <c r="S2237" i="5"/>
  <c r="R2237" i="5"/>
  <c r="R2236" i="5" s="1"/>
  <c r="S2236" i="5"/>
  <c r="S2235" i="5"/>
  <c r="R2235" i="5"/>
  <c r="S2234" i="5"/>
  <c r="S2233" i="5" s="1"/>
  <c r="R2234" i="5"/>
  <c r="R2233" i="5" s="1"/>
  <c r="S2231" i="5"/>
  <c r="R2231" i="5"/>
  <c r="S2230" i="5"/>
  <c r="R2230" i="5"/>
  <c r="S2229" i="5"/>
  <c r="R2229" i="5"/>
  <c r="S2228" i="5"/>
  <c r="R2228" i="5"/>
  <c r="S2227" i="5"/>
  <c r="R2227" i="5"/>
  <c r="S2226" i="5"/>
  <c r="R2226" i="5"/>
  <c r="S2225" i="5"/>
  <c r="S2224" i="5" s="1"/>
  <c r="S2223" i="5" s="1"/>
  <c r="R2225" i="5"/>
  <c r="R2224" i="5" s="1"/>
  <c r="R2223" i="5" s="1"/>
  <c r="S2222" i="5"/>
  <c r="R2222" i="5"/>
  <c r="S2221" i="5"/>
  <c r="S2220" i="5" s="1"/>
  <c r="R2221" i="5"/>
  <c r="S2219" i="5"/>
  <c r="R2219" i="5"/>
  <c r="S2218" i="5"/>
  <c r="R2218" i="5"/>
  <c r="S2217" i="5"/>
  <c r="R2217" i="5"/>
  <c r="R2216" i="5" s="1"/>
  <c r="S2214" i="5"/>
  <c r="R2214" i="5"/>
  <c r="S2213" i="5"/>
  <c r="R2213" i="5"/>
  <c r="S2212" i="5"/>
  <c r="R2212" i="5"/>
  <c r="S2211" i="5"/>
  <c r="R2211" i="5"/>
  <c r="S2210" i="5"/>
  <c r="R2210" i="5"/>
  <c r="S2209" i="5"/>
  <c r="R2209" i="5"/>
  <c r="S2208" i="5"/>
  <c r="R2208" i="5"/>
  <c r="S2207" i="5"/>
  <c r="S2206" i="5" s="1"/>
  <c r="S2205" i="5" s="1"/>
  <c r="R2207" i="5"/>
  <c r="R2206" i="5" s="1"/>
  <c r="R2205" i="5" s="1"/>
  <c r="S2204" i="5"/>
  <c r="R2204" i="5"/>
  <c r="S2203" i="5"/>
  <c r="S2202" i="5" s="1"/>
  <c r="R2203" i="5"/>
  <c r="S2201" i="5"/>
  <c r="R2201" i="5"/>
  <c r="S2200" i="5"/>
  <c r="S2199" i="5" s="1"/>
  <c r="S2198" i="5" s="1"/>
  <c r="R2200" i="5"/>
  <c r="R2199" i="5" s="1"/>
  <c r="S2197" i="5"/>
  <c r="R2197" i="5"/>
  <c r="R2195" i="5" s="1"/>
  <c r="S2196" i="5"/>
  <c r="R2196" i="5"/>
  <c r="S2194" i="5"/>
  <c r="R2194" i="5"/>
  <c r="S2193" i="5"/>
  <c r="R2193" i="5"/>
  <c r="S2192" i="5"/>
  <c r="S2191" i="5" s="1"/>
  <c r="R2192" i="5"/>
  <c r="R2191" i="5" s="1"/>
  <c r="R2190" i="5" s="1"/>
  <c r="S2189" i="5"/>
  <c r="R2189" i="5"/>
  <c r="S2188" i="5"/>
  <c r="R2188" i="5"/>
  <c r="S2187" i="5"/>
  <c r="S2186" i="5" s="1"/>
  <c r="R2187" i="5"/>
  <c r="R2186" i="5" s="1"/>
  <c r="R2183" i="5" s="1"/>
  <c r="S2185" i="5"/>
  <c r="S2184" i="5" s="1"/>
  <c r="R2185" i="5"/>
  <c r="R2184" i="5" s="1"/>
  <c r="S2182" i="5"/>
  <c r="S2180" i="5" s="1"/>
  <c r="S2179" i="5" s="1"/>
  <c r="R2182" i="5"/>
  <c r="S2181" i="5"/>
  <c r="R2181" i="5"/>
  <c r="R2180" i="5" s="1"/>
  <c r="R2179" i="5" s="1"/>
  <c r="S2178" i="5"/>
  <c r="S2177" i="5" s="1"/>
  <c r="S2176" i="5" s="1"/>
  <c r="R2178" i="5"/>
  <c r="R2177" i="5" s="1"/>
  <c r="R2176" i="5" s="1"/>
  <c r="S2174" i="5"/>
  <c r="R2174" i="5"/>
  <c r="S2173" i="5"/>
  <c r="R2173" i="5"/>
  <c r="R2172" i="5" s="1"/>
  <c r="S2171" i="5"/>
  <c r="S2170" i="5" s="1"/>
  <c r="R2171" i="5"/>
  <c r="R2170" i="5" s="1"/>
  <c r="S2169" i="5"/>
  <c r="R2169" i="5"/>
  <c r="R2168" i="5" s="1"/>
  <c r="S2168" i="5"/>
  <c r="S2167" i="5"/>
  <c r="R2167" i="5"/>
  <c r="R2166" i="5" s="1"/>
  <c r="S2166" i="5"/>
  <c r="S2164" i="5"/>
  <c r="R2164" i="5"/>
  <c r="S2162" i="5"/>
  <c r="R2162" i="5"/>
  <c r="S2161" i="5"/>
  <c r="S2160" i="5" s="1"/>
  <c r="R2161" i="5"/>
  <c r="S2159" i="5"/>
  <c r="R2159" i="5"/>
  <c r="R2157" i="5" s="1"/>
  <c r="S2158" i="5"/>
  <c r="R2158" i="5"/>
  <c r="S2155" i="5"/>
  <c r="R2155" i="5"/>
  <c r="R2154" i="5" s="1"/>
  <c r="S2154" i="5"/>
  <c r="S2153" i="5"/>
  <c r="R2153" i="5"/>
  <c r="S2152" i="5"/>
  <c r="R2152" i="5"/>
  <c r="S2151" i="5"/>
  <c r="R2151" i="5"/>
  <c r="S2150" i="5"/>
  <c r="S2149" i="5"/>
  <c r="S2148" i="5" s="1"/>
  <c r="R2149" i="5"/>
  <c r="R2148" i="5" s="1"/>
  <c r="S2147" i="5"/>
  <c r="S2146" i="5" s="1"/>
  <c r="R2147" i="5"/>
  <c r="R2146" i="5" s="1"/>
  <c r="S2144" i="5"/>
  <c r="S2143" i="5" s="1"/>
  <c r="R2144" i="5"/>
  <c r="R2143" i="5"/>
  <c r="S2142" i="5"/>
  <c r="S2140" i="5" s="1"/>
  <c r="R2142" i="5"/>
  <c r="S2141" i="5"/>
  <c r="R2141" i="5"/>
  <c r="R2140" i="5" s="1"/>
  <c r="S2139" i="5"/>
  <c r="R2139" i="5"/>
  <c r="S2138" i="5"/>
  <c r="R2138" i="5"/>
  <c r="R2137" i="5"/>
  <c r="S2136" i="5"/>
  <c r="R2136" i="5"/>
  <c r="S2135" i="5"/>
  <c r="S2134" i="5" s="1"/>
  <c r="R2135" i="5"/>
  <c r="R2134" i="5" s="1"/>
  <c r="R2133" i="5" s="1"/>
  <c r="S2132" i="5"/>
  <c r="R2132" i="5"/>
  <c r="S2131" i="5"/>
  <c r="S2130" i="5" s="1"/>
  <c r="R2131" i="5"/>
  <c r="S2129" i="5"/>
  <c r="S2128" i="5" s="1"/>
  <c r="R2129" i="5"/>
  <c r="R2128" i="5" s="1"/>
  <c r="S2126" i="5"/>
  <c r="S2125" i="5" s="1"/>
  <c r="R2126" i="5"/>
  <c r="R2125" i="5" s="1"/>
  <c r="S2124" i="5"/>
  <c r="R2124" i="5"/>
  <c r="S2123" i="5"/>
  <c r="R2123" i="5"/>
  <c r="S2122" i="5"/>
  <c r="S2121" i="5" s="1"/>
  <c r="S2120" i="5" s="1"/>
  <c r="R2122" i="5"/>
  <c r="S2119" i="5"/>
  <c r="R2119" i="5"/>
  <c r="R2117" i="5" s="1"/>
  <c r="S2118" i="5"/>
  <c r="S2117" i="5" s="1"/>
  <c r="R2118" i="5"/>
  <c r="S2116" i="5"/>
  <c r="S2115" i="5" s="1"/>
  <c r="R2116" i="5"/>
  <c r="R2115" i="5" s="1"/>
  <c r="S2114" i="5"/>
  <c r="S2113" i="5" s="1"/>
  <c r="R2114" i="5"/>
  <c r="R2113" i="5"/>
  <c r="S2112" i="5"/>
  <c r="S2111" i="5" s="1"/>
  <c r="R2112" i="5"/>
  <c r="R2111" i="5"/>
  <c r="S2110" i="5"/>
  <c r="S2109" i="5" s="1"/>
  <c r="R2110" i="5"/>
  <c r="R2109" i="5" s="1"/>
  <c r="S2108" i="5"/>
  <c r="S2107" i="5" s="1"/>
  <c r="R2108" i="5"/>
  <c r="R2107" i="5" s="1"/>
  <c r="S2106" i="5"/>
  <c r="S2105" i="5" s="1"/>
  <c r="R2106" i="5"/>
  <c r="R2105" i="5"/>
  <c r="S2102" i="5"/>
  <c r="R2102" i="5"/>
  <c r="S2101" i="5"/>
  <c r="R2101" i="5"/>
  <c r="S2100" i="5"/>
  <c r="R2100" i="5"/>
  <c r="S2099" i="5"/>
  <c r="S2098" i="5" s="1"/>
  <c r="R2099" i="5"/>
  <c r="R2098" i="5" s="1"/>
  <c r="S2097" i="5"/>
  <c r="R2097" i="5"/>
  <c r="S2095" i="5"/>
  <c r="R2095" i="5"/>
  <c r="S2093" i="5"/>
  <c r="R2093" i="5"/>
  <c r="S2090" i="5"/>
  <c r="R2090" i="5"/>
  <c r="S2089" i="5"/>
  <c r="R2089" i="5"/>
  <c r="S2087" i="5"/>
  <c r="R2087" i="5"/>
  <c r="R2085" i="5" s="1"/>
  <c r="S2086" i="5"/>
  <c r="R2086" i="5"/>
  <c r="S2085" i="5"/>
  <c r="S2084" i="5"/>
  <c r="R2084" i="5"/>
  <c r="S2083" i="5"/>
  <c r="R2083" i="5"/>
  <c r="R2081" i="5" s="1"/>
  <c r="S2082" i="5"/>
  <c r="S2081" i="5" s="1"/>
  <c r="R2082" i="5"/>
  <c r="S2080" i="5"/>
  <c r="S2079" i="5" s="1"/>
  <c r="R2080" i="5"/>
  <c r="R2079" i="5" s="1"/>
  <c r="S2078" i="5"/>
  <c r="S2077" i="5" s="1"/>
  <c r="R2078" i="5"/>
  <c r="R2077" i="5" s="1"/>
  <c r="S2075" i="5"/>
  <c r="R2075" i="5"/>
  <c r="S2074" i="5"/>
  <c r="R2074" i="5"/>
  <c r="S2073" i="5"/>
  <c r="S2072" i="5" s="1"/>
  <c r="R2073" i="5"/>
  <c r="R2072" i="5" s="1"/>
  <c r="S2071" i="5"/>
  <c r="S2070" i="5" s="1"/>
  <c r="R2071" i="5"/>
  <c r="R2070" i="5" s="1"/>
  <c r="S2069" i="5"/>
  <c r="S2068" i="5" s="1"/>
  <c r="S2067" i="5" s="1"/>
  <c r="R2069" i="5"/>
  <c r="R2068" i="5" s="1"/>
  <c r="S2066" i="5"/>
  <c r="R2066" i="5"/>
  <c r="S2065" i="5"/>
  <c r="R2065" i="5"/>
  <c r="R2063" i="5" s="1"/>
  <c r="S2064" i="5"/>
  <c r="R2064" i="5"/>
  <c r="S2063" i="5"/>
  <c r="S2062" i="5"/>
  <c r="R2062" i="5"/>
  <c r="S2061" i="5"/>
  <c r="R2061" i="5"/>
  <c r="R2059" i="5" s="1"/>
  <c r="S2060" i="5"/>
  <c r="S2059" i="5" s="1"/>
  <c r="S2058" i="5" s="1"/>
  <c r="R2060" i="5"/>
  <c r="S2057" i="5"/>
  <c r="S2056" i="5" s="1"/>
  <c r="R2057" i="5"/>
  <c r="R2056" i="5" s="1"/>
  <c r="S2055" i="5"/>
  <c r="R2055" i="5"/>
  <c r="S2054" i="5"/>
  <c r="R2054" i="5"/>
  <c r="S2053" i="5"/>
  <c r="R2053" i="5"/>
  <c r="R2052" i="5" s="1"/>
  <c r="S2051" i="5"/>
  <c r="R2051" i="5"/>
  <c r="S2050" i="5"/>
  <c r="R2050" i="5"/>
  <c r="R2049" i="5" s="1"/>
  <c r="S2049" i="5"/>
  <c r="S2047" i="5"/>
  <c r="S2046" i="5" s="1"/>
  <c r="R2047" i="5"/>
  <c r="R2046" i="5" s="1"/>
  <c r="R2043" i="5" s="1"/>
  <c r="S2045" i="5"/>
  <c r="S2044" i="5" s="1"/>
  <c r="S2043" i="5" s="1"/>
  <c r="R2045" i="5"/>
  <c r="R2044" i="5" s="1"/>
  <c r="S2042" i="5"/>
  <c r="R2042" i="5"/>
  <c r="S2041" i="5"/>
  <c r="R2041" i="5"/>
  <c r="S2040" i="5"/>
  <c r="S2039" i="5" s="1"/>
  <c r="S2038" i="5" s="1"/>
  <c r="R2040" i="5"/>
  <c r="R2039" i="5" s="1"/>
  <c r="R2038" i="5" s="1"/>
  <c r="S2037" i="5"/>
  <c r="S2035" i="5" s="1"/>
  <c r="S2034" i="5" s="1"/>
  <c r="R2037" i="5"/>
  <c r="R2035" i="5" s="1"/>
  <c r="R2034" i="5" s="1"/>
  <c r="S2036" i="5"/>
  <c r="R2036" i="5"/>
  <c r="S2032" i="5"/>
  <c r="S2031" i="5" s="1"/>
  <c r="R2032" i="5"/>
  <c r="R2031" i="5" s="1"/>
  <c r="S2030" i="5"/>
  <c r="S2029" i="5" s="1"/>
  <c r="R2030" i="5"/>
  <c r="R2029" i="5" s="1"/>
  <c r="S2028" i="5"/>
  <c r="S2027" i="5" s="1"/>
  <c r="S2026" i="5" s="1"/>
  <c r="R2028" i="5"/>
  <c r="R2027" i="5" s="1"/>
  <c r="S2025" i="5"/>
  <c r="S2023" i="5" s="1"/>
  <c r="S2022" i="5" s="1"/>
  <c r="R2025" i="5"/>
  <c r="R2023" i="5" s="1"/>
  <c r="R2022" i="5" s="1"/>
  <c r="S2024" i="5"/>
  <c r="R2024" i="5"/>
  <c r="S2021" i="5"/>
  <c r="R2021" i="5"/>
  <c r="S2020" i="5"/>
  <c r="R2020" i="5"/>
  <c r="S2019" i="5"/>
  <c r="S2018" i="5" s="1"/>
  <c r="R2019" i="5"/>
  <c r="S2017" i="5"/>
  <c r="R2017" i="5"/>
  <c r="S2016" i="5"/>
  <c r="R2016" i="5"/>
  <c r="R2015" i="5" s="1"/>
  <c r="S2014" i="5"/>
  <c r="S2013" i="5" s="1"/>
  <c r="R2014" i="5"/>
  <c r="R2013" i="5" s="1"/>
  <c r="S2011" i="5"/>
  <c r="S2010" i="5" s="1"/>
  <c r="R2011" i="5"/>
  <c r="R2010" i="5" s="1"/>
  <c r="S2009" i="5"/>
  <c r="R2009" i="5"/>
  <c r="S2008" i="5"/>
  <c r="R2008" i="5"/>
  <c r="S2007" i="5"/>
  <c r="R2007" i="5"/>
  <c r="S2005" i="5"/>
  <c r="R2005" i="5"/>
  <c r="S2004" i="5"/>
  <c r="R2004" i="5"/>
  <c r="S2003" i="5"/>
  <c r="R2003" i="5"/>
  <c r="S2001" i="5"/>
  <c r="S2000" i="5" s="1"/>
  <c r="R2001" i="5"/>
  <c r="R2000" i="5" s="1"/>
  <c r="S1999" i="5"/>
  <c r="S1997" i="5" s="1"/>
  <c r="R1999" i="5"/>
  <c r="R1997" i="5" s="1"/>
  <c r="R1996" i="5" s="1"/>
  <c r="S1998" i="5"/>
  <c r="R1998" i="5"/>
  <c r="S1995" i="5"/>
  <c r="S1994" i="5" s="1"/>
  <c r="S1993" i="5" s="1"/>
  <c r="R1995" i="5"/>
  <c r="R1994" i="5" s="1"/>
  <c r="R1993" i="5" s="1"/>
  <c r="S1992" i="5"/>
  <c r="R1992" i="5"/>
  <c r="S1991" i="5"/>
  <c r="R1991" i="5"/>
  <c r="S1989" i="5"/>
  <c r="S1988" i="5" s="1"/>
  <c r="R1989" i="5"/>
  <c r="R1988" i="5" s="1"/>
  <c r="S1987" i="5"/>
  <c r="S1986" i="5" s="1"/>
  <c r="R1987" i="5"/>
  <c r="R1986" i="5" s="1"/>
  <c r="S1985" i="5"/>
  <c r="S1984" i="5" s="1"/>
  <c r="R1985" i="5"/>
  <c r="R1984" i="5" s="1"/>
  <c r="S1983" i="5"/>
  <c r="S1982" i="5" s="1"/>
  <c r="R1983" i="5"/>
  <c r="R1982" i="5" s="1"/>
  <c r="S1979" i="5"/>
  <c r="S1978" i="5" s="1"/>
  <c r="R1979" i="5"/>
  <c r="R1978" i="5" s="1"/>
  <c r="S1977" i="5"/>
  <c r="R1977" i="5"/>
  <c r="S1976" i="5"/>
  <c r="S1975" i="5" s="1"/>
  <c r="S1974" i="5" s="1"/>
  <c r="R1976" i="5"/>
  <c r="R1975" i="5"/>
  <c r="S1973" i="5"/>
  <c r="R1973" i="5"/>
  <c r="S1972" i="5"/>
  <c r="R1972" i="5"/>
  <c r="S1971" i="5"/>
  <c r="S1970" i="5" s="1"/>
  <c r="S1969" i="5"/>
  <c r="R1969" i="5"/>
  <c r="S1968" i="5"/>
  <c r="R1968" i="5"/>
  <c r="R1967" i="5" s="1"/>
  <c r="S1966" i="5"/>
  <c r="R1966" i="5"/>
  <c r="S1965" i="5"/>
  <c r="S1964" i="5" s="1"/>
  <c r="R1965" i="5"/>
  <c r="S1963" i="5"/>
  <c r="S1962" i="5" s="1"/>
  <c r="R1963" i="5"/>
  <c r="R1962" i="5" s="1"/>
  <c r="S1960" i="5"/>
  <c r="S1959" i="5" s="1"/>
  <c r="S1958" i="5" s="1"/>
  <c r="R1960" i="5"/>
  <c r="R1959" i="5"/>
  <c r="R1958" i="5" s="1"/>
  <c r="S1957" i="5"/>
  <c r="S1956" i="5" s="1"/>
  <c r="R1957" i="5"/>
  <c r="R1956" i="5" s="1"/>
  <c r="S1955" i="5"/>
  <c r="S1954" i="5" s="1"/>
  <c r="R1955" i="5"/>
  <c r="R1954" i="5" s="1"/>
  <c r="S1953" i="5"/>
  <c r="R1953" i="5"/>
  <c r="S1952" i="5"/>
  <c r="R1952" i="5"/>
  <c r="S1951" i="5"/>
  <c r="S1950" i="5" s="1"/>
  <c r="S1949" i="5" s="1"/>
  <c r="R1951" i="5"/>
  <c r="S1948" i="5"/>
  <c r="R1948" i="5"/>
  <c r="S1947" i="5"/>
  <c r="R1947" i="5"/>
  <c r="S1945" i="5"/>
  <c r="S1944" i="5" s="1"/>
  <c r="R1945" i="5"/>
  <c r="R1944" i="5" s="1"/>
  <c r="S1943" i="5"/>
  <c r="S1942" i="5" s="1"/>
  <c r="R1943" i="5"/>
  <c r="R1942" i="5" s="1"/>
  <c r="S1940" i="5"/>
  <c r="S1939" i="5" s="1"/>
  <c r="R1940" i="5"/>
  <c r="R1939" i="5"/>
  <c r="S1938" i="5"/>
  <c r="R1938" i="5"/>
  <c r="S1937" i="5"/>
  <c r="R1937" i="5"/>
  <c r="R1936" i="5" s="1"/>
  <c r="R1933" i="5" s="1"/>
  <c r="S1935" i="5"/>
  <c r="S1934" i="5" s="1"/>
  <c r="R1935" i="5"/>
  <c r="R1934" i="5" s="1"/>
  <c r="S1932" i="5"/>
  <c r="R1932" i="5"/>
  <c r="S1931" i="5"/>
  <c r="R1931" i="5"/>
  <c r="S1930" i="5"/>
  <c r="R1930" i="5"/>
  <c r="R1929" i="5"/>
  <c r="S1928" i="5"/>
  <c r="R1928" i="5"/>
  <c r="S1927" i="5"/>
  <c r="S1926" i="5" s="1"/>
  <c r="R1927" i="5"/>
  <c r="R1926" i="5" s="1"/>
  <c r="S1925" i="5"/>
  <c r="R1925" i="5"/>
  <c r="R1923" i="5" s="1"/>
  <c r="S1924" i="5"/>
  <c r="S1923" i="5" s="1"/>
  <c r="R1924" i="5"/>
  <c r="S1922" i="5"/>
  <c r="R1922" i="5"/>
  <c r="S1921" i="5"/>
  <c r="R1921" i="5"/>
  <c r="S1920" i="5"/>
  <c r="R1920" i="5"/>
  <c r="S1919" i="5"/>
  <c r="R1919" i="5"/>
  <c r="S1918" i="5"/>
  <c r="R1918" i="5"/>
  <c r="S1917" i="5"/>
  <c r="R1917" i="5"/>
  <c r="S1914" i="5"/>
  <c r="S1913" i="5" s="1"/>
  <c r="R1914" i="5"/>
  <c r="R1913" i="5"/>
  <c r="S1912" i="5"/>
  <c r="S1911" i="5" s="1"/>
  <c r="R1912" i="5"/>
  <c r="R1911" i="5"/>
  <c r="S1909" i="5"/>
  <c r="S1908" i="5" s="1"/>
  <c r="R1909" i="5"/>
  <c r="R1908" i="5" s="1"/>
  <c r="S1907" i="5"/>
  <c r="R1907" i="5"/>
  <c r="S1906" i="5"/>
  <c r="R1906" i="5"/>
  <c r="S1905" i="5"/>
  <c r="R1905" i="5"/>
  <c r="R1904" i="5" s="1"/>
  <c r="S1903" i="5"/>
  <c r="R1903" i="5"/>
  <c r="R1902" i="5" s="1"/>
  <c r="S1902" i="5"/>
  <c r="S1901" i="5"/>
  <c r="S1900" i="5" s="1"/>
  <c r="R1901" i="5"/>
  <c r="R1900" i="5" s="1"/>
  <c r="S1898" i="5"/>
  <c r="R1898" i="5"/>
  <c r="S1897" i="5"/>
  <c r="R1897" i="5"/>
  <c r="S1896" i="5"/>
  <c r="S1895" i="5" s="1"/>
  <c r="R1896" i="5"/>
  <c r="S1894" i="5"/>
  <c r="S1893" i="5" s="1"/>
  <c r="R1894" i="5"/>
  <c r="R1893" i="5"/>
  <c r="S1892" i="5"/>
  <c r="R1892" i="5"/>
  <c r="S1891" i="5"/>
  <c r="R1891" i="5"/>
  <c r="R1889" i="5" s="1"/>
  <c r="S1890" i="5"/>
  <c r="S1889" i="5" s="1"/>
  <c r="R1890" i="5"/>
  <c r="S1888" i="5"/>
  <c r="R1888" i="5"/>
  <c r="S1887" i="5"/>
  <c r="R1887" i="5"/>
  <c r="S1886" i="5"/>
  <c r="R1886" i="5"/>
  <c r="S1882" i="5"/>
  <c r="S1881" i="5" s="1"/>
  <c r="R1882" i="5"/>
  <c r="R1881" i="5" s="1"/>
  <c r="S1880" i="5"/>
  <c r="S1879" i="5" s="1"/>
  <c r="R1880" i="5"/>
  <c r="R1879" i="5" s="1"/>
  <c r="S1877" i="5"/>
  <c r="R1877" i="5"/>
  <c r="R1876" i="5" s="1"/>
  <c r="S1876" i="5"/>
  <c r="S1875" i="5"/>
  <c r="R1875" i="5"/>
  <c r="R1874" i="5" s="1"/>
  <c r="S1874" i="5"/>
  <c r="S1872" i="5"/>
  <c r="R1872" i="5"/>
  <c r="R1870" i="5"/>
  <c r="S1868" i="5"/>
  <c r="R1869" i="5"/>
  <c r="R1867" i="5"/>
  <c r="R1865" i="5" s="1"/>
  <c r="R1866" i="5"/>
  <c r="S1862" i="5"/>
  <c r="R1864" i="5"/>
  <c r="R1863" i="5"/>
  <c r="S1860" i="5"/>
  <c r="S1859" i="5" s="1"/>
  <c r="R1860" i="5"/>
  <c r="R1859" i="5" s="1"/>
  <c r="S1858" i="5"/>
  <c r="R1858" i="5"/>
  <c r="S1857" i="5"/>
  <c r="R1857" i="5"/>
  <c r="S1856" i="5"/>
  <c r="S1855" i="5"/>
  <c r="S1854" i="5" s="1"/>
  <c r="R1855" i="5"/>
  <c r="R1854" i="5" s="1"/>
  <c r="S1853" i="5"/>
  <c r="R1853" i="5"/>
  <c r="S1852" i="5"/>
  <c r="R1852" i="5"/>
  <c r="S1851" i="5"/>
  <c r="R1851" i="5"/>
  <c r="S1850" i="5"/>
  <c r="R1850" i="5"/>
  <c r="S1849" i="5"/>
  <c r="R1849" i="5"/>
  <c r="S1848" i="5"/>
  <c r="R1848" i="5"/>
  <c r="S1845" i="5"/>
  <c r="R1845" i="5"/>
  <c r="S1844" i="5"/>
  <c r="R1844" i="5"/>
  <c r="S1843" i="5"/>
  <c r="S1842" i="5" s="1"/>
  <c r="R1843" i="5"/>
  <c r="R1842" i="5" s="1"/>
  <c r="S1841" i="5"/>
  <c r="R1841" i="5"/>
  <c r="R1839" i="5" s="1"/>
  <c r="S1840" i="5"/>
  <c r="S1839" i="5" s="1"/>
  <c r="R1840" i="5"/>
  <c r="S1838" i="5"/>
  <c r="S1836" i="5" s="1"/>
  <c r="R1838" i="5"/>
  <c r="S1837" i="5"/>
  <c r="R1837" i="5"/>
  <c r="S1835" i="5"/>
  <c r="R1835" i="5"/>
  <c r="S1834" i="5"/>
  <c r="R1834" i="5"/>
  <c r="R1833" i="5"/>
  <c r="S1832" i="5"/>
  <c r="R1832" i="5"/>
  <c r="S1831" i="5"/>
  <c r="S1830" i="5" s="1"/>
  <c r="R1831" i="5"/>
  <c r="S1829" i="5"/>
  <c r="R1829" i="5"/>
  <c r="S1828" i="5"/>
  <c r="S1827" i="5" s="1"/>
  <c r="R1828" i="5"/>
  <c r="R1827" i="5" s="1"/>
  <c r="S1825" i="5"/>
  <c r="R1825" i="5"/>
  <c r="R1823" i="5" s="1"/>
  <c r="S1824" i="5"/>
  <c r="R1824" i="5"/>
  <c r="S1822" i="5"/>
  <c r="R1822" i="5"/>
  <c r="S1821" i="5"/>
  <c r="R1821" i="5"/>
  <c r="S1820" i="5"/>
  <c r="S1819" i="5" s="1"/>
  <c r="R1820" i="5"/>
  <c r="S1818" i="5"/>
  <c r="R1818" i="5"/>
  <c r="S1817" i="5"/>
  <c r="R1817" i="5"/>
  <c r="R1815" i="5" s="1"/>
  <c r="S1816" i="5"/>
  <c r="R1816" i="5"/>
  <c r="S1814" i="5"/>
  <c r="S1813" i="5" s="1"/>
  <c r="R1814" i="5"/>
  <c r="R1813" i="5" s="1"/>
  <c r="S1811" i="5"/>
  <c r="R1811" i="5"/>
  <c r="R1810" i="5" s="1"/>
  <c r="S1810" i="5"/>
  <c r="S1809" i="5"/>
  <c r="R1809" i="5"/>
  <c r="S1808" i="5"/>
  <c r="S1807" i="5" s="1"/>
  <c r="R1808" i="5"/>
  <c r="S1806" i="5"/>
  <c r="R1806" i="5"/>
  <c r="S1805" i="5"/>
  <c r="R1805" i="5"/>
  <c r="R1803" i="5" s="1"/>
  <c r="S1804" i="5"/>
  <c r="R1804" i="5"/>
  <c r="S1802" i="5"/>
  <c r="R1802" i="5"/>
  <c r="S1801" i="5"/>
  <c r="R1801" i="5"/>
  <c r="S1800" i="5"/>
  <c r="S1799" i="5"/>
  <c r="R1799" i="5"/>
  <c r="S1798" i="5"/>
  <c r="R1798" i="5"/>
  <c r="R1797" i="5"/>
  <c r="S1795" i="5"/>
  <c r="R1795" i="5"/>
  <c r="S1794" i="5"/>
  <c r="S1793" i="5" s="1"/>
  <c r="R1794" i="5"/>
  <c r="S1792" i="5"/>
  <c r="R1792" i="5"/>
  <c r="S1791" i="5"/>
  <c r="S1790" i="5" s="1"/>
  <c r="R1791" i="5"/>
  <c r="R1790" i="5" s="1"/>
  <c r="S1789" i="5"/>
  <c r="R1789" i="5"/>
  <c r="S1788" i="5"/>
  <c r="S1787" i="5" s="1"/>
  <c r="R1788" i="5"/>
  <c r="R1787" i="5" s="1"/>
  <c r="S1785" i="5"/>
  <c r="R1785" i="5"/>
  <c r="R1783" i="5" s="1"/>
  <c r="S1784" i="5"/>
  <c r="R1784" i="5"/>
  <c r="S1782" i="5"/>
  <c r="R1782" i="5"/>
  <c r="S1781" i="5"/>
  <c r="R1781" i="5"/>
  <c r="S1780" i="5"/>
  <c r="S1779" i="5" s="1"/>
  <c r="R1780" i="5"/>
  <c r="S1778" i="5"/>
  <c r="R1778" i="5"/>
  <c r="S1777" i="5"/>
  <c r="S1776" i="5" s="1"/>
  <c r="R1777" i="5"/>
  <c r="R1776" i="5" s="1"/>
  <c r="S1775" i="5"/>
  <c r="R1775" i="5"/>
  <c r="S1774" i="5"/>
  <c r="S1773" i="5" s="1"/>
  <c r="R1774" i="5"/>
  <c r="R1773" i="5" s="1"/>
  <c r="S1772" i="5"/>
  <c r="S1770" i="5" s="1"/>
  <c r="R1772" i="5"/>
  <c r="S1771" i="5"/>
  <c r="R1771" i="5"/>
  <c r="S1768" i="5"/>
  <c r="S1767" i="5" s="1"/>
  <c r="R1768" i="5"/>
  <c r="R1767" i="5"/>
  <c r="S1766" i="5"/>
  <c r="S1765" i="5" s="1"/>
  <c r="R1766" i="5"/>
  <c r="R1765" i="5" s="1"/>
  <c r="R1764" i="5" s="1"/>
  <c r="S1763" i="5"/>
  <c r="R1763" i="5"/>
  <c r="S1762" i="5"/>
  <c r="S1760" i="5" s="1"/>
  <c r="R1762" i="5"/>
  <c r="S1761" i="5"/>
  <c r="R1761" i="5"/>
  <c r="R1760" i="5" s="1"/>
  <c r="S1759" i="5"/>
  <c r="R1759" i="5"/>
  <c r="S1758" i="5"/>
  <c r="R1758" i="5"/>
  <c r="S1757" i="5"/>
  <c r="R1757" i="5"/>
  <c r="S1754" i="5"/>
  <c r="S1753" i="5" s="1"/>
  <c r="R1754" i="5"/>
  <c r="R1753" i="5"/>
  <c r="S1752" i="5"/>
  <c r="S1751" i="5" s="1"/>
  <c r="S1750" i="5" s="1"/>
  <c r="R1752" i="5"/>
  <c r="R1751" i="5"/>
  <c r="S1748" i="5"/>
  <c r="S1747" i="5" s="1"/>
  <c r="R1748" i="5"/>
  <c r="R1747" i="5" s="1"/>
  <c r="S1746" i="5"/>
  <c r="S1745" i="5" s="1"/>
  <c r="R1746" i="5"/>
  <c r="R1745" i="5" s="1"/>
  <c r="R1744" i="5" s="1"/>
  <c r="S1743" i="5"/>
  <c r="R1743" i="5"/>
  <c r="R1741" i="5" s="1"/>
  <c r="S1742" i="5"/>
  <c r="S1741" i="5" s="1"/>
  <c r="R1742" i="5"/>
  <c r="S1740" i="5"/>
  <c r="R1740" i="5"/>
  <c r="S1739" i="5"/>
  <c r="S1738" i="5" s="1"/>
  <c r="R1739" i="5"/>
  <c r="S1736" i="5"/>
  <c r="S1734" i="5" s="1"/>
  <c r="R1736" i="5"/>
  <c r="S1735" i="5"/>
  <c r="R1735" i="5"/>
  <c r="S1733" i="5"/>
  <c r="S1732" i="5" s="1"/>
  <c r="R1733" i="5"/>
  <c r="R1732" i="5" s="1"/>
  <c r="S1730" i="5"/>
  <c r="S1729" i="5" s="1"/>
  <c r="R1730" i="5"/>
  <c r="R1729" i="5"/>
  <c r="S1728" i="5"/>
  <c r="R1728" i="5"/>
  <c r="S1727" i="5"/>
  <c r="R1727" i="5"/>
  <c r="R1726" i="5" s="1"/>
  <c r="R1725" i="5" s="1"/>
  <c r="S1724" i="5"/>
  <c r="R1724" i="5"/>
  <c r="S1723" i="5"/>
  <c r="S1722" i="5" s="1"/>
  <c r="R1723" i="5"/>
  <c r="R1722" i="5" s="1"/>
  <c r="S1721" i="5"/>
  <c r="R1721" i="5"/>
  <c r="R1719" i="5" s="1"/>
  <c r="S1720" i="5"/>
  <c r="S1719" i="5" s="1"/>
  <c r="R1720" i="5"/>
  <c r="S1718" i="5"/>
  <c r="S1717" i="5" s="1"/>
  <c r="R1718" i="5"/>
  <c r="R1717" i="5" s="1"/>
  <c r="S1715" i="5"/>
  <c r="R1715" i="5"/>
  <c r="S1714" i="5"/>
  <c r="R1714" i="5"/>
  <c r="S1713" i="5"/>
  <c r="R1713" i="5"/>
  <c r="S1712" i="5"/>
  <c r="R1712" i="5"/>
  <c r="R1711" i="5" s="1"/>
  <c r="R1710" i="5" s="1"/>
  <c r="M526" i="8"/>
  <c r="N526" i="8" s="1"/>
  <c r="O526" i="8" s="1"/>
  <c r="P526" i="8" s="1"/>
  <c r="I378" i="5"/>
  <c r="H378" i="5"/>
  <c r="F1265" i="5"/>
  <c r="G1265" i="5" s="1"/>
  <c r="H1265" i="5" s="1"/>
  <c r="I1265" i="5" s="1"/>
  <c r="I1264" i="5"/>
  <c r="H1264" i="5"/>
  <c r="G1264" i="5"/>
  <c r="F1264" i="5"/>
  <c r="D1264" i="5"/>
  <c r="B1264" i="5"/>
  <c r="S667" i="8" l="1"/>
  <c r="L710" i="8" s="1"/>
  <c r="S663" i="8"/>
  <c r="L706" i="8" s="1"/>
  <c r="R1878" i="5"/>
  <c r="R2246" i="5"/>
  <c r="R2026" i="5"/>
  <c r="R2338" i="5"/>
  <c r="R1961" i="5"/>
  <c r="S1711" i="5"/>
  <c r="S1710" i="5" s="1"/>
  <c r="R1731" i="5"/>
  <c r="R2104" i="5"/>
  <c r="S2133" i="5"/>
  <c r="J1264" i="5"/>
  <c r="R1750" i="5"/>
  <c r="S1873" i="5"/>
  <c r="R1910" i="5"/>
  <c r="R1734" i="5"/>
  <c r="S1756" i="5"/>
  <c r="R1770" i="5"/>
  <c r="R1769" i="5" s="1"/>
  <c r="R1779" i="5"/>
  <c r="R1793" i="5"/>
  <c r="S1797" i="5"/>
  <c r="R1800" i="5"/>
  <c r="R1796" i="5" s="1"/>
  <c r="R1807" i="5"/>
  <c r="R1819" i="5"/>
  <c r="S1833" i="5"/>
  <c r="R1836" i="5"/>
  <c r="R1856" i="5"/>
  <c r="R1862" i="5"/>
  <c r="R1873" i="5"/>
  <c r="S1885" i="5"/>
  <c r="S1884" i="5" s="1"/>
  <c r="R1895" i="5"/>
  <c r="S1916" i="5"/>
  <c r="S1929" i="5"/>
  <c r="S1936" i="5"/>
  <c r="S1933" i="5" s="1"/>
  <c r="R1946" i="5"/>
  <c r="R1941" i="5" s="1"/>
  <c r="R1990" i="5"/>
  <c r="R1981" i="5" s="1"/>
  <c r="R2006" i="5"/>
  <c r="R2002" i="5" s="1"/>
  <c r="S2015" i="5"/>
  <c r="S2052" i="5"/>
  <c r="S2048" i="5" s="1"/>
  <c r="R2067" i="5"/>
  <c r="R2088" i="5"/>
  <c r="R2076" i="5" s="1"/>
  <c r="R2121" i="5"/>
  <c r="R2120" i="5" s="1"/>
  <c r="S2127" i="5"/>
  <c r="S2137" i="5"/>
  <c r="R2150" i="5"/>
  <c r="R2145" i="5" s="1"/>
  <c r="S2157" i="5"/>
  <c r="S2172" i="5"/>
  <c r="S2165" i="5" s="1"/>
  <c r="S2282" i="5"/>
  <c r="S2279" i="5" s="1"/>
  <c r="S2324" i="5"/>
  <c r="S2328" i="5"/>
  <c r="S2327" i="5" s="1"/>
  <c r="S2348" i="5"/>
  <c r="S2345" i="5" s="1"/>
  <c r="S2351" i="5"/>
  <c r="S2362" i="5"/>
  <c r="S2368" i="5"/>
  <c r="S2367" i="5" s="1"/>
  <c r="S2396" i="5"/>
  <c r="S2395" i="5" s="1"/>
  <c r="S2418" i="5"/>
  <c r="S2406" i="5" s="1"/>
  <c r="S2448" i="5"/>
  <c r="S2456" i="5"/>
  <c r="S2470" i="5"/>
  <c r="S2480" i="5"/>
  <c r="S1786" i="5"/>
  <c r="S1826" i="5"/>
  <c r="S1726" i="5"/>
  <c r="S1725" i="5" s="1"/>
  <c r="R1738" i="5"/>
  <c r="R1756" i="5"/>
  <c r="R1755" i="5" s="1"/>
  <c r="S1783" i="5"/>
  <c r="S1803" i="5"/>
  <c r="S1815" i="5"/>
  <c r="S1812" i="5" s="1"/>
  <c r="S1823" i="5"/>
  <c r="S1865" i="5"/>
  <c r="R1868" i="5"/>
  <c r="R1885" i="5"/>
  <c r="R1884" i="5" s="1"/>
  <c r="R1899" i="5"/>
  <c r="S1904" i="5"/>
  <c r="S1910" i="5"/>
  <c r="R1916" i="5"/>
  <c r="R1915" i="5" s="1"/>
  <c r="S1941" i="5"/>
  <c r="S1946" i="5"/>
  <c r="R1950" i="5"/>
  <c r="R1949" i="5" s="1"/>
  <c r="R1964" i="5"/>
  <c r="S1967" i="5"/>
  <c r="S1961" i="5" s="1"/>
  <c r="R1971" i="5"/>
  <c r="R1970" i="5" s="1"/>
  <c r="S1990" i="5"/>
  <c r="S1981" i="5" s="1"/>
  <c r="S2006" i="5"/>
  <c r="R2018" i="5"/>
  <c r="R2012" i="5" s="1"/>
  <c r="R1980" i="5" s="1"/>
  <c r="S2088" i="5"/>
  <c r="S2104" i="5"/>
  <c r="R2130" i="5"/>
  <c r="R2127" i="5" s="1"/>
  <c r="R2160" i="5"/>
  <c r="S2195" i="5"/>
  <c r="S2190" i="5" s="1"/>
  <c r="R2202" i="5"/>
  <c r="R2198" i="5" s="1"/>
  <c r="S2216" i="5"/>
  <c r="S2215" i="5" s="1"/>
  <c r="R2220" i="5"/>
  <c r="R2215" i="5" s="1"/>
  <c r="S2239" i="5"/>
  <c r="S2232" i="5" s="1"/>
  <c r="R2242" i="5"/>
  <c r="R2250" i="5"/>
  <c r="R2279" i="5"/>
  <c r="R2296" i="5"/>
  <c r="R2345" i="5"/>
  <c r="R2388" i="5"/>
  <c r="R2442" i="5"/>
  <c r="R2434" i="5" s="1"/>
  <c r="R2465" i="5"/>
  <c r="S2487" i="5"/>
  <c r="S2486" i="5" s="1"/>
  <c r="S2512" i="5"/>
  <c r="S665" i="8"/>
  <c r="L708" i="8" s="1"/>
  <c r="S660" i="8"/>
  <c r="L703" i="8" s="1"/>
  <c r="S680" i="8"/>
  <c r="L723" i="8" s="1"/>
  <c r="S675" i="8"/>
  <c r="L718" i="8" s="1"/>
  <c r="S662" i="8"/>
  <c r="L705" i="8" s="1"/>
  <c r="S659" i="8"/>
  <c r="L702" i="8" s="1"/>
  <c r="S681" i="8"/>
  <c r="L724" i="8" s="1"/>
  <c r="S657" i="8"/>
  <c r="L700" i="8" s="1"/>
  <c r="S670" i="8"/>
  <c r="L713" i="8" s="1"/>
  <c r="S661" i="8"/>
  <c r="L704" i="8" s="1"/>
  <c r="S682" i="8"/>
  <c r="L725" i="8" s="1"/>
  <c r="S674" i="8"/>
  <c r="L717" i="8" s="1"/>
  <c r="S689" i="8"/>
  <c r="L732" i="8" s="1"/>
  <c r="S679" i="8"/>
  <c r="L722" i="8" s="1"/>
  <c r="S678" i="8"/>
  <c r="L721" i="8" s="1"/>
  <c r="S688" i="8"/>
  <c r="L731" i="8" s="1"/>
  <c r="S673" i="8"/>
  <c r="L716" i="8" s="1"/>
  <c r="S664" i="8"/>
  <c r="L707" i="8" s="1"/>
  <c r="R2290" i="5"/>
  <c r="R1830" i="5"/>
  <c r="S1744" i="5"/>
  <c r="S1769" i="5"/>
  <c r="S1737" i="5"/>
  <c r="S1755" i="5"/>
  <c r="R1786" i="5"/>
  <c r="S1796" i="5"/>
  <c r="R1826" i="5"/>
  <c r="S1878" i="5"/>
  <c r="S1716" i="5"/>
  <c r="S1764" i="5"/>
  <c r="R1716" i="5"/>
  <c r="S1731" i="5"/>
  <c r="R1737" i="5"/>
  <c r="R1812" i="5"/>
  <c r="S1899" i="5"/>
  <c r="S1915" i="5"/>
  <c r="R2058" i="5"/>
  <c r="S1996" i="5"/>
  <c r="S2002" i="5"/>
  <c r="S1980" i="5" s="1"/>
  <c r="S2076" i="5"/>
  <c r="S2012" i="5"/>
  <c r="S2451" i="5"/>
  <c r="R1974" i="5"/>
  <c r="R2048" i="5"/>
  <c r="S2145" i="5"/>
  <c r="R2165" i="5"/>
  <c r="S2183" i="5"/>
  <c r="S2246" i="5"/>
  <c r="R2384" i="5"/>
  <c r="R2232" i="5"/>
  <c r="S2384" i="5"/>
  <c r="S2434" i="5"/>
  <c r="R2175" i="5" l="1"/>
  <c r="S2175" i="5"/>
  <c r="R1883" i="5"/>
  <c r="S2289" i="5"/>
  <c r="S1883" i="5"/>
  <c r="T236" i="8" l="1"/>
  <c r="T235" i="8"/>
  <c r="C24" i="1"/>
  <c r="C79" i="1"/>
  <c r="C70" i="1"/>
  <c r="E153" i="3"/>
  <c r="F153" i="3" s="1"/>
  <c r="G153" i="3" s="1"/>
  <c r="D153" i="3"/>
  <c r="D149" i="3"/>
  <c r="B149" i="3" s="1"/>
  <c r="F149" i="3" l="1"/>
  <c r="G149" i="3" s="1"/>
  <c r="F152" i="3"/>
  <c r="G152" i="3" s="1"/>
  <c r="T2366" i="5"/>
  <c r="K2366" i="5"/>
  <c r="J2366" i="5"/>
  <c r="C2366" i="5"/>
  <c r="A2366" i="5"/>
  <c r="S297" i="8"/>
  <c r="A2365" i="5"/>
  <c r="T2365" i="5"/>
  <c r="T297" i="8" s="1"/>
  <c r="K2365" i="5"/>
  <c r="K297" i="8" s="1"/>
  <c r="J2365" i="5"/>
  <c r="J297" i="8" s="1"/>
  <c r="C2365" i="5"/>
  <c r="C297" i="8" s="1"/>
  <c r="T2514" i="5"/>
  <c r="T2513" i="5"/>
  <c r="T2512" i="5"/>
  <c r="T353" i="8" s="1"/>
  <c r="S353" i="8"/>
  <c r="T2511" i="5"/>
  <c r="T2510" i="5"/>
  <c r="S352" i="8"/>
  <c r="T2509" i="5"/>
  <c r="U351" i="8" s="1"/>
  <c r="T2508" i="5"/>
  <c r="T2507" i="5"/>
  <c r="T351" i="8" s="1"/>
  <c r="S351" i="8"/>
  <c r="C2514" i="5"/>
  <c r="C2513" i="5"/>
  <c r="C2512" i="5"/>
  <c r="C2511" i="5"/>
  <c r="K352" i="8"/>
  <c r="J352" i="8"/>
  <c r="C2510" i="5"/>
  <c r="C352" i="8" s="1"/>
  <c r="C2509" i="5"/>
  <c r="C2508" i="5"/>
  <c r="K2507" i="5"/>
  <c r="K351" i="8" s="1"/>
  <c r="J2507" i="5"/>
  <c r="J351" i="8" s="1"/>
  <c r="C2507" i="5"/>
  <c r="C351" i="8" s="1"/>
  <c r="E1684" i="5"/>
  <c r="E1685" i="5" s="1"/>
  <c r="A2509" i="5"/>
  <c r="A2508" i="5"/>
  <c r="A2507" i="5"/>
  <c r="A2511" i="5"/>
  <c r="A2510" i="5"/>
  <c r="K2378" i="5"/>
  <c r="J2378" i="5"/>
  <c r="C2378" i="5"/>
  <c r="Q2377" i="5"/>
  <c r="I2377" i="5" s="1"/>
  <c r="K2377" i="5"/>
  <c r="J2377" i="5"/>
  <c r="C2377" i="5"/>
  <c r="K2376" i="5"/>
  <c r="C2376" i="5"/>
  <c r="A2378" i="5"/>
  <c r="A2377" i="5"/>
  <c r="A2376" i="5"/>
  <c r="A2375" i="5"/>
  <c r="T2378" i="5"/>
  <c r="T2377" i="5"/>
  <c r="T2376" i="5"/>
  <c r="T2375" i="5"/>
  <c r="T301" i="8" s="1"/>
  <c r="C2375" i="5"/>
  <c r="C301" i="8" s="1"/>
  <c r="T2330" i="5"/>
  <c r="K2330" i="5"/>
  <c r="C2330" i="5"/>
  <c r="T2329" i="5"/>
  <c r="K2329" i="5"/>
  <c r="C2329" i="5"/>
  <c r="A2329" i="5"/>
  <c r="A2330" i="5"/>
  <c r="T2326" i="5"/>
  <c r="K2326" i="5"/>
  <c r="C2326" i="5"/>
  <c r="T2325" i="5"/>
  <c r="K2325" i="5"/>
  <c r="C2325" i="5"/>
  <c r="T2324" i="5"/>
  <c r="T278" i="8" s="1"/>
  <c r="S278" i="8"/>
  <c r="K2324" i="5"/>
  <c r="K278" i="8" s="1"/>
  <c r="C2324" i="5"/>
  <c r="C278" i="8" s="1"/>
  <c r="T2323" i="5"/>
  <c r="K2323" i="5"/>
  <c r="C2323" i="5"/>
  <c r="T2322" i="5"/>
  <c r="T277" i="8" s="1"/>
  <c r="S277" i="8"/>
  <c r="S444" i="8" s="1"/>
  <c r="R444" i="8"/>
  <c r="K2322" i="5"/>
  <c r="K277" i="8" s="1"/>
  <c r="C2322" i="5"/>
  <c r="C277" i="8" s="1"/>
  <c r="A2326" i="5"/>
  <c r="A2325" i="5"/>
  <c r="A2324" i="5"/>
  <c r="A2323" i="5"/>
  <c r="A2322" i="5"/>
  <c r="A2321" i="5"/>
  <c r="T2321" i="5"/>
  <c r="T276" i="8" s="1"/>
  <c r="C2321" i="5"/>
  <c r="C276" i="8" s="1"/>
  <c r="C440" i="8" s="1"/>
  <c r="T2090" i="5"/>
  <c r="K2090" i="5"/>
  <c r="J2090" i="5"/>
  <c r="C2090" i="5"/>
  <c r="T2089" i="5"/>
  <c r="K2089" i="5"/>
  <c r="C2089" i="5"/>
  <c r="T2088" i="5"/>
  <c r="T174" i="8" s="1"/>
  <c r="S174" i="8"/>
  <c r="K2088" i="5"/>
  <c r="K174" i="8" s="1"/>
  <c r="C2088" i="5"/>
  <c r="C174" i="8" s="1"/>
  <c r="T2087" i="5"/>
  <c r="K2087" i="5"/>
  <c r="C2087" i="5"/>
  <c r="T2086" i="5"/>
  <c r="K2086" i="5"/>
  <c r="C2086" i="5"/>
  <c r="T2085" i="5"/>
  <c r="T173" i="8" s="1"/>
  <c r="S173" i="8"/>
  <c r="K2085" i="5"/>
  <c r="K173" i="8" s="1"/>
  <c r="C2085" i="5"/>
  <c r="C173" i="8" s="1"/>
  <c r="T2084" i="5"/>
  <c r="K2084" i="5"/>
  <c r="J2084" i="5"/>
  <c r="C2084" i="5"/>
  <c r="T2083" i="5"/>
  <c r="K2083" i="5"/>
  <c r="C2083" i="5"/>
  <c r="T2082" i="5"/>
  <c r="K2082" i="5"/>
  <c r="C2082" i="5"/>
  <c r="T2081" i="5"/>
  <c r="T172" i="8" s="1"/>
  <c r="S172" i="8"/>
  <c r="K2081" i="5"/>
  <c r="K172" i="8" s="1"/>
  <c r="J2081" i="5"/>
  <c r="J172" i="8" s="1"/>
  <c r="C2081" i="5"/>
  <c r="C172" i="8" s="1"/>
  <c r="T2080" i="5"/>
  <c r="K2080" i="5"/>
  <c r="J2080" i="5"/>
  <c r="C2080" i="5"/>
  <c r="T2079" i="5"/>
  <c r="T171" i="8" s="1"/>
  <c r="S171" i="8"/>
  <c r="K2079" i="5"/>
  <c r="K171" i="8" s="1"/>
  <c r="J2079" i="5"/>
  <c r="J171" i="8" s="1"/>
  <c r="C2079" i="5"/>
  <c r="C171" i="8" s="1"/>
  <c r="T2078" i="5"/>
  <c r="K2078" i="5"/>
  <c r="C2078" i="5"/>
  <c r="T2077" i="5"/>
  <c r="T170" i="8" s="1"/>
  <c r="S170" i="8"/>
  <c r="K2077" i="5"/>
  <c r="K170" i="8" s="1"/>
  <c r="C2077" i="5"/>
  <c r="C170" i="8" s="1"/>
  <c r="A2090" i="5"/>
  <c r="A2089" i="5"/>
  <c r="A2088" i="5"/>
  <c r="A2087" i="5"/>
  <c r="A2086" i="5"/>
  <c r="A2085" i="5"/>
  <c r="A2084" i="5"/>
  <c r="A2083" i="5"/>
  <c r="A2082" i="5"/>
  <c r="A2081" i="5"/>
  <c r="A2080" i="5"/>
  <c r="A2079" i="5"/>
  <c r="A2078" i="5"/>
  <c r="A2077" i="5"/>
  <c r="A2076" i="5"/>
  <c r="T2076" i="5"/>
  <c r="T169" i="8" s="1"/>
  <c r="C2076" i="5"/>
  <c r="C169" i="8" s="1"/>
  <c r="C410" i="8" s="1"/>
  <c r="K1872" i="5"/>
  <c r="C1872" i="5"/>
  <c r="K1871" i="5"/>
  <c r="K74" i="8" s="1"/>
  <c r="C1871" i="5"/>
  <c r="C74" i="8" s="1"/>
  <c r="K1870" i="5"/>
  <c r="J1870" i="5"/>
  <c r="C1870" i="5"/>
  <c r="K1869" i="5"/>
  <c r="J1869" i="5"/>
  <c r="C1869" i="5"/>
  <c r="K1868" i="5"/>
  <c r="K73" i="8" s="1"/>
  <c r="J1868" i="5"/>
  <c r="J73" i="8" s="1"/>
  <c r="C1868" i="5"/>
  <c r="C73" i="8" s="1"/>
  <c r="K1867" i="5"/>
  <c r="J1867" i="5"/>
  <c r="C1867" i="5"/>
  <c r="K1866" i="5"/>
  <c r="J1866" i="5"/>
  <c r="C1866" i="5"/>
  <c r="K1865" i="5"/>
  <c r="K72" i="8" s="1"/>
  <c r="J1865" i="5"/>
  <c r="J72" i="8" s="1"/>
  <c r="C1865" i="5"/>
  <c r="C72" i="8" s="1"/>
  <c r="K1864" i="5"/>
  <c r="C1864" i="5"/>
  <c r="K1863" i="5"/>
  <c r="C1863" i="5"/>
  <c r="K1862" i="5"/>
  <c r="K71" i="8" s="1"/>
  <c r="C1862" i="5"/>
  <c r="C71" i="8" s="1"/>
  <c r="A1872" i="5"/>
  <c r="A1871" i="5"/>
  <c r="A1870" i="5"/>
  <c r="A1869" i="5"/>
  <c r="A1868" i="5"/>
  <c r="A1867" i="5"/>
  <c r="T1867" i="5"/>
  <c r="A1866" i="5"/>
  <c r="A1865" i="5"/>
  <c r="A1864" i="5"/>
  <c r="A1863" i="5"/>
  <c r="A1862" i="5"/>
  <c r="A1861" i="5"/>
  <c r="T1872" i="5"/>
  <c r="T1871" i="5"/>
  <c r="T74" i="8" s="1"/>
  <c r="T379" i="8" s="1"/>
  <c r="S74" i="8"/>
  <c r="S379" i="8" s="1"/>
  <c r="R379" i="8"/>
  <c r="T1870" i="5"/>
  <c r="T1869" i="5"/>
  <c r="T1868" i="5"/>
  <c r="T73" i="8" s="1"/>
  <c r="S73" i="8"/>
  <c r="T1866" i="5"/>
  <c r="T1865" i="5"/>
  <c r="T72" i="8" s="1"/>
  <c r="S72" i="8"/>
  <c r="T1864" i="5"/>
  <c r="U74" i="8" s="1"/>
  <c r="T1863" i="5"/>
  <c r="T1862" i="5"/>
  <c r="T71" i="8" s="1"/>
  <c r="S71" i="8"/>
  <c r="T1861" i="5"/>
  <c r="C1861" i="5"/>
  <c r="C70" i="8" s="1"/>
  <c r="C379" i="8" s="1"/>
  <c r="H1274" i="5"/>
  <c r="I1274" i="5"/>
  <c r="G1274" i="5"/>
  <c r="G1273" i="5"/>
  <c r="H1273" i="5" s="1"/>
  <c r="I1273" i="5" s="1"/>
  <c r="D1273" i="5"/>
  <c r="B1273" i="5"/>
  <c r="D1274" i="5"/>
  <c r="B1274" i="5"/>
  <c r="J1272" i="5"/>
  <c r="D1272" i="5"/>
  <c r="B1272" i="5"/>
  <c r="J1271" i="5"/>
  <c r="J2330" i="5" s="1"/>
  <c r="G1694" i="5"/>
  <c r="H1694" i="5" s="1"/>
  <c r="I1694" i="5" s="1"/>
  <c r="J1694" i="5" s="1"/>
  <c r="F1693" i="5"/>
  <c r="G1693" i="5" s="1"/>
  <c r="H1693" i="5" s="1"/>
  <c r="P1691" i="5"/>
  <c r="O1691" i="5"/>
  <c r="N1691" i="5"/>
  <c r="M1691" i="5"/>
  <c r="L1691" i="5"/>
  <c r="K1694" i="5"/>
  <c r="M1694" i="5" s="1"/>
  <c r="D1694" i="5"/>
  <c r="B1694" i="5"/>
  <c r="D1693" i="5"/>
  <c r="B1693" i="5"/>
  <c r="J1692" i="5"/>
  <c r="E1689" i="5"/>
  <c r="C227" i="1"/>
  <c r="K1274" i="5" s="1"/>
  <c r="M1274" i="5" s="1"/>
  <c r="E1688" i="5"/>
  <c r="F1689" i="5"/>
  <c r="G1689" i="5" s="1"/>
  <c r="D1689" i="5"/>
  <c r="B1689" i="5"/>
  <c r="D1688" i="5"/>
  <c r="B1688" i="5"/>
  <c r="E1690" i="5"/>
  <c r="F1690" i="5" s="1"/>
  <c r="G1690" i="5" s="1"/>
  <c r="H1690" i="5" s="1"/>
  <c r="E1686" i="5"/>
  <c r="F1686" i="5" s="1"/>
  <c r="G1686" i="5" s="1"/>
  <c r="H1686" i="5" s="1"/>
  <c r="D1690" i="5"/>
  <c r="B1690" i="5"/>
  <c r="D1686" i="5"/>
  <c r="B1686" i="5"/>
  <c r="K1685" i="5"/>
  <c r="D1685" i="5"/>
  <c r="B1685" i="5"/>
  <c r="R1683" i="5"/>
  <c r="C136" i="1"/>
  <c r="C135" i="1"/>
  <c r="A73" i="8" l="1"/>
  <c r="A44" i="12"/>
  <c r="A185" i="12"/>
  <c r="A235" i="12"/>
  <c r="R1696" i="5"/>
  <c r="R2509" i="5"/>
  <c r="R2507" i="5" s="1"/>
  <c r="A40" i="12"/>
  <c r="A43" i="12"/>
  <c r="A74" i="8"/>
  <c r="A47" i="12"/>
  <c r="A93" i="12"/>
  <c r="A97" i="12"/>
  <c r="A101" i="12"/>
  <c r="A105" i="12"/>
  <c r="A276" i="8"/>
  <c r="A440" i="8" s="1"/>
  <c r="C212" i="14" s="1"/>
  <c r="A180" i="12"/>
  <c r="A184" i="12"/>
  <c r="A352" i="8"/>
  <c r="A234" i="12"/>
  <c r="A233" i="12"/>
  <c r="A70" i="8"/>
  <c r="A379" i="8" s="1"/>
  <c r="C59" i="14" s="1"/>
  <c r="A37" i="12"/>
  <c r="A48" i="12"/>
  <c r="A171" i="8"/>
  <c r="A94" i="12"/>
  <c r="A102" i="12"/>
  <c r="A297" i="8"/>
  <c r="K1688" i="5"/>
  <c r="L1688" i="5" s="1"/>
  <c r="A71" i="8"/>
  <c r="A38" i="12"/>
  <c r="A42" i="12"/>
  <c r="A45" i="12"/>
  <c r="A169" i="8"/>
  <c r="A410" i="8" s="1"/>
  <c r="C138" i="14" s="1"/>
  <c r="A91" i="12"/>
  <c r="A95" i="12"/>
  <c r="A99" i="12"/>
  <c r="A174" i="8"/>
  <c r="A103" i="12"/>
  <c r="A182" i="12"/>
  <c r="A188" i="12"/>
  <c r="A351" i="8"/>
  <c r="A231" i="12"/>
  <c r="F150" i="3"/>
  <c r="F151" i="3" s="1"/>
  <c r="G151" i="3" s="1"/>
  <c r="A72" i="8"/>
  <c r="A41" i="12"/>
  <c r="A98" i="12"/>
  <c r="A277" i="8"/>
  <c r="A181" i="12"/>
  <c r="A189" i="12"/>
  <c r="A39" i="12"/>
  <c r="A46" i="12"/>
  <c r="A170" i="8"/>
  <c r="A92" i="12"/>
  <c r="A172" i="8"/>
  <c r="A96" i="12"/>
  <c r="A173" i="8"/>
  <c r="A100" i="12"/>
  <c r="A104" i="12"/>
  <c r="A278" i="8"/>
  <c r="A183" i="12"/>
  <c r="A301" i="8"/>
  <c r="A232" i="12"/>
  <c r="K2321" i="5"/>
  <c r="K276" i="8" s="1"/>
  <c r="K440" i="8" s="1"/>
  <c r="S276" i="8"/>
  <c r="S443" i="8" s="1"/>
  <c r="K2375" i="5"/>
  <c r="K301" i="8" s="1"/>
  <c r="S301" i="8"/>
  <c r="J2076" i="5"/>
  <c r="J169" i="8" s="1"/>
  <c r="J410" i="8" s="1"/>
  <c r="K2076" i="5"/>
  <c r="K169" i="8" s="1"/>
  <c r="K410" i="8" s="1"/>
  <c r="S169" i="8"/>
  <c r="J2375" i="5"/>
  <c r="J301" i="8" s="1"/>
  <c r="T352" i="8"/>
  <c r="U352" i="8"/>
  <c r="J2321" i="5"/>
  <c r="J276" i="8" s="1"/>
  <c r="J440" i="8" s="1"/>
  <c r="J1861" i="5"/>
  <c r="J70" i="8" s="1"/>
  <c r="J379" i="8" s="1"/>
  <c r="K1861" i="5"/>
  <c r="K70" i="8" s="1"/>
  <c r="K379" i="8" s="1"/>
  <c r="S70" i="8"/>
  <c r="U73" i="8"/>
  <c r="T70" i="8"/>
  <c r="G150" i="3"/>
  <c r="G154" i="3" s="1"/>
  <c r="G155" i="3" s="1"/>
  <c r="G156" i="3" s="1"/>
  <c r="G157" i="3" s="1"/>
  <c r="C80" i="1" s="1"/>
  <c r="J1274" i="5"/>
  <c r="J1273" i="5"/>
  <c r="N1274" i="5"/>
  <c r="O1274" i="5"/>
  <c r="L1274" i="5"/>
  <c r="P1274" i="5"/>
  <c r="F1684" i="5"/>
  <c r="F1685" i="5" s="1"/>
  <c r="I1693" i="5"/>
  <c r="J1693" i="5" s="1"/>
  <c r="N1694" i="5"/>
  <c r="O1694" i="5"/>
  <c r="L1694" i="5"/>
  <c r="P1694" i="5"/>
  <c r="H1689" i="5"/>
  <c r="I1689" i="5" s="1"/>
  <c r="F1688" i="5"/>
  <c r="I1690" i="5"/>
  <c r="J1690" i="5" s="1"/>
  <c r="I1686" i="5"/>
  <c r="J1686" i="5" s="1"/>
  <c r="L1685" i="5"/>
  <c r="R1699" i="5" l="1"/>
  <c r="R2514" i="5" s="1"/>
  <c r="R2513" i="5"/>
  <c r="M1685" i="5"/>
  <c r="Q1274" i="5"/>
  <c r="G1684" i="5"/>
  <c r="G1685" i="5" s="1"/>
  <c r="Q1694" i="5"/>
  <c r="G1688" i="5"/>
  <c r="M1688" i="5"/>
  <c r="J1689" i="5"/>
  <c r="R2512" i="5" l="1"/>
  <c r="H1684" i="5"/>
  <c r="H1685" i="5" s="1"/>
  <c r="N1685" i="5"/>
  <c r="H1688" i="5"/>
  <c r="N1688" i="5"/>
  <c r="I1684" i="5" l="1"/>
  <c r="I1685" i="5" s="1"/>
  <c r="O1685" i="5"/>
  <c r="I1688" i="5"/>
  <c r="P1688" i="5" s="1"/>
  <c r="O1688" i="5"/>
  <c r="J1685" i="5" l="1"/>
  <c r="J1688" i="5"/>
  <c r="Q1688" i="5"/>
  <c r="P1685" i="5" l="1"/>
  <c r="Q1685" i="5" s="1"/>
  <c r="J1684" i="5" l="1"/>
  <c r="D1684" i="5"/>
  <c r="B1684" i="5"/>
  <c r="K1682" i="5"/>
  <c r="M1682" i="5" s="1"/>
  <c r="J1682" i="5"/>
  <c r="D1682" i="5"/>
  <c r="B1682" i="5"/>
  <c r="K1681" i="5"/>
  <c r="O1681" i="5" s="1"/>
  <c r="J1681" i="5"/>
  <c r="D1681" i="5"/>
  <c r="B1681" i="5"/>
  <c r="J1680" i="5"/>
  <c r="P1679" i="5"/>
  <c r="O1679" i="5"/>
  <c r="N1679" i="5"/>
  <c r="M1679" i="5"/>
  <c r="L1679" i="5"/>
  <c r="J1363" i="5"/>
  <c r="D1363" i="5"/>
  <c r="B1363" i="5"/>
  <c r="J1362" i="5"/>
  <c r="D1362" i="5"/>
  <c r="B1362" i="5"/>
  <c r="D1361" i="5"/>
  <c r="B1361" i="5"/>
  <c r="K1360" i="5"/>
  <c r="N1360" i="5" s="1"/>
  <c r="J1360" i="5"/>
  <c r="D1360" i="5"/>
  <c r="B1360" i="5"/>
  <c r="J1359" i="5"/>
  <c r="P1358" i="5"/>
  <c r="O1358" i="5"/>
  <c r="N1358" i="5"/>
  <c r="M1358" i="5"/>
  <c r="L1358" i="5"/>
  <c r="J1358" i="5"/>
  <c r="J1431" i="5"/>
  <c r="L1431" i="5"/>
  <c r="M1431" i="5"/>
  <c r="N1431" i="5"/>
  <c r="O1431" i="5"/>
  <c r="P1431" i="5"/>
  <c r="J1432" i="5"/>
  <c r="L1432" i="5"/>
  <c r="M1432" i="5"/>
  <c r="N1432" i="5"/>
  <c r="O1432" i="5"/>
  <c r="P1432" i="5"/>
  <c r="J1433" i="5"/>
  <c r="B1434" i="5"/>
  <c r="D1434" i="5"/>
  <c r="J1434" i="5"/>
  <c r="K1434" i="5"/>
  <c r="L1434" i="5" s="1"/>
  <c r="B1435" i="5"/>
  <c r="D1435" i="5"/>
  <c r="E1435" i="5"/>
  <c r="J1435" i="5" s="1"/>
  <c r="J1436" i="5"/>
  <c r="B1437" i="5"/>
  <c r="D1437" i="5"/>
  <c r="J1437" i="5"/>
  <c r="K1437" i="5"/>
  <c r="L1437" i="5" s="1"/>
  <c r="L1436" i="5" s="1"/>
  <c r="J1438" i="5"/>
  <c r="L1438" i="5"/>
  <c r="M1438" i="5"/>
  <c r="N1438" i="5"/>
  <c r="O1438" i="5"/>
  <c r="P1438" i="5"/>
  <c r="J1439" i="5"/>
  <c r="B1440" i="5"/>
  <c r="D1440" i="5"/>
  <c r="J1440" i="5"/>
  <c r="J1441" i="5"/>
  <c r="L1441" i="5"/>
  <c r="M1441" i="5"/>
  <c r="N1441" i="5"/>
  <c r="O1441" i="5"/>
  <c r="P1441" i="5"/>
  <c r="B1443" i="5"/>
  <c r="D1443" i="5"/>
  <c r="J1443" i="5"/>
  <c r="J1444" i="5"/>
  <c r="L1444" i="5"/>
  <c r="M1444" i="5"/>
  <c r="N1444" i="5"/>
  <c r="O1444" i="5"/>
  <c r="P1444" i="5"/>
  <c r="J1445" i="5"/>
  <c r="B1446" i="5"/>
  <c r="D1446" i="5"/>
  <c r="J1446" i="5"/>
  <c r="B1447" i="5"/>
  <c r="D1447" i="5"/>
  <c r="J1447" i="5"/>
  <c r="J1448" i="5"/>
  <c r="B1449" i="5"/>
  <c r="D1449" i="5"/>
  <c r="G1449" i="5"/>
  <c r="J1449" i="5" s="1"/>
  <c r="K1449" i="5"/>
  <c r="M1449" i="5" s="1"/>
  <c r="C26" i="1"/>
  <c r="G1262" i="5"/>
  <c r="H1262" i="5" s="1"/>
  <c r="I1262" i="5" s="1"/>
  <c r="K1263" i="5"/>
  <c r="M1263" i="5" s="1"/>
  <c r="J1263" i="5"/>
  <c r="D1263" i="5"/>
  <c r="B1263" i="5"/>
  <c r="G1260" i="5"/>
  <c r="H1260" i="5" s="1"/>
  <c r="I1260" i="5" s="1"/>
  <c r="J1260" i="5" s="1"/>
  <c r="C224" i="1"/>
  <c r="K1265" i="5"/>
  <c r="D1265" i="5"/>
  <c r="B1265" i="5"/>
  <c r="D1262" i="5"/>
  <c r="B1262" i="5"/>
  <c r="J1261" i="5"/>
  <c r="J2326" i="5" s="1"/>
  <c r="P1258" i="5"/>
  <c r="O1258" i="5"/>
  <c r="N1258" i="5"/>
  <c r="M1258" i="5"/>
  <c r="L1258" i="5"/>
  <c r="J1258" i="5"/>
  <c r="J2324" i="5" s="1"/>
  <c r="J278" i="8" s="1"/>
  <c r="K1260" i="5"/>
  <c r="M1260" i="5" s="1"/>
  <c r="M1259" i="5" s="1"/>
  <c r="M2325" i="5" s="1"/>
  <c r="E2325" i="5" s="1"/>
  <c r="D1260" i="5"/>
  <c r="B1260" i="5"/>
  <c r="I1248" i="5"/>
  <c r="G1248" i="5"/>
  <c r="E1248" i="5"/>
  <c r="D1248" i="5"/>
  <c r="B1248" i="5"/>
  <c r="J1247" i="5"/>
  <c r="D1247" i="5"/>
  <c r="B1247" i="5"/>
  <c r="E1256" i="5"/>
  <c r="J1256" i="5" s="1"/>
  <c r="D1256" i="5"/>
  <c r="B1256" i="5"/>
  <c r="R1240" i="5"/>
  <c r="R2315" i="5" s="1"/>
  <c r="R2314" i="5" s="1"/>
  <c r="R2311" i="5" s="1"/>
  <c r="K1247" i="5"/>
  <c r="O1247" i="5" s="1"/>
  <c r="J1259" i="5"/>
  <c r="J2325" i="5" s="1"/>
  <c r="E1257" i="5"/>
  <c r="D1257" i="5"/>
  <c r="B1257" i="5"/>
  <c r="J1255" i="5"/>
  <c r="J2323" i="5" s="1"/>
  <c r="P1254" i="5"/>
  <c r="O1254" i="5"/>
  <c r="N1254" i="5"/>
  <c r="M1254" i="5"/>
  <c r="L1254" i="5"/>
  <c r="J1254" i="5"/>
  <c r="J2322" i="5" s="1"/>
  <c r="J277" i="8" s="1"/>
  <c r="P1253" i="5"/>
  <c r="O1253" i="5"/>
  <c r="N1253" i="5"/>
  <c r="M1253" i="5"/>
  <c r="L1253" i="5"/>
  <c r="J1253" i="5"/>
  <c r="S355" i="8"/>
  <c r="S356" i="8" s="1"/>
  <c r="T355" i="8"/>
  <c r="T356" i="8" s="1"/>
  <c r="U355" i="8"/>
  <c r="U356" i="8" s="1"/>
  <c r="C127" i="1"/>
  <c r="N1682" i="5" l="1"/>
  <c r="L1681" i="5"/>
  <c r="N1681" i="5"/>
  <c r="P1681" i="5"/>
  <c r="M1681" i="5"/>
  <c r="M1680" i="5" s="1"/>
  <c r="M2508" i="5" s="1"/>
  <c r="O1682" i="5"/>
  <c r="O1680" i="5" s="1"/>
  <c r="O2508" i="5" s="1"/>
  <c r="L1682" i="5"/>
  <c r="P1682" i="5"/>
  <c r="J1265" i="5"/>
  <c r="O1437" i="5"/>
  <c r="O1436" i="5" s="1"/>
  <c r="O1434" i="5"/>
  <c r="P1265" i="5"/>
  <c r="N1437" i="5"/>
  <c r="N1436" i="5" s="1"/>
  <c r="N1434" i="5"/>
  <c r="Q1431" i="5"/>
  <c r="P1449" i="5"/>
  <c r="M1434" i="5"/>
  <c r="Q1358" i="5"/>
  <c r="L1449" i="5"/>
  <c r="P1434" i="5"/>
  <c r="O1360" i="5"/>
  <c r="M1437" i="5"/>
  <c r="M1436" i="5" s="1"/>
  <c r="L1360" i="5"/>
  <c r="P1360" i="5"/>
  <c r="P1437" i="5"/>
  <c r="P1436" i="5" s="1"/>
  <c r="M1360" i="5"/>
  <c r="Q1444" i="5"/>
  <c r="Q1438" i="5"/>
  <c r="O1449" i="5"/>
  <c r="Q1432" i="5"/>
  <c r="N1449" i="5"/>
  <c r="Q1441" i="5"/>
  <c r="N1263" i="5"/>
  <c r="O1263" i="5"/>
  <c r="L1263" i="5"/>
  <c r="P1263" i="5"/>
  <c r="Q1258" i="5"/>
  <c r="J1262" i="5"/>
  <c r="J1248" i="5"/>
  <c r="M1265" i="5"/>
  <c r="N1265" i="5"/>
  <c r="O1265" i="5"/>
  <c r="L1265" i="5"/>
  <c r="N1260" i="5"/>
  <c r="N1259" i="5" s="1"/>
  <c r="N2325" i="5" s="1"/>
  <c r="F2325" i="5" s="1"/>
  <c r="O1260" i="5"/>
  <c r="O1259" i="5" s="1"/>
  <c r="O2325" i="5" s="1"/>
  <c r="G2325" i="5" s="1"/>
  <c r="L1260" i="5"/>
  <c r="L1259" i="5" s="1"/>
  <c r="L2325" i="5" s="1"/>
  <c r="P1260" i="5"/>
  <c r="P1259" i="5" s="1"/>
  <c r="P2325" i="5" s="1"/>
  <c r="Q1253" i="5"/>
  <c r="J1257" i="5"/>
  <c r="L1247" i="5"/>
  <c r="N1247" i="5"/>
  <c r="M1247" i="5"/>
  <c r="Q1254" i="5"/>
  <c r="P1247" i="5"/>
  <c r="E2508" i="5" l="1"/>
  <c r="G2508" i="5"/>
  <c r="H2325" i="5"/>
  <c r="W2325" i="5"/>
  <c r="D2325" i="5"/>
  <c r="N1680" i="5"/>
  <c r="N2508" i="5" s="1"/>
  <c r="P1680" i="5"/>
  <c r="P2508" i="5" s="1"/>
  <c r="Q1682" i="5"/>
  <c r="L1680" i="5"/>
  <c r="L2508" i="5" s="1"/>
  <c r="Q1681" i="5"/>
  <c r="Q1449" i="5"/>
  <c r="Q1434" i="5"/>
  <c r="Q1437" i="5"/>
  <c r="Q1436" i="5" s="1"/>
  <c r="Q1360" i="5"/>
  <c r="Q1263" i="5"/>
  <c r="Q1265" i="5"/>
  <c r="L1261" i="5"/>
  <c r="L2326" i="5" s="1"/>
  <c r="D2326" i="5" s="1"/>
  <c r="Q1260" i="5"/>
  <c r="Q1259" i="5" s="1"/>
  <c r="Q2325" i="5" s="1"/>
  <c r="I2325" i="5" s="1"/>
  <c r="AA2325" i="5" s="1"/>
  <c r="Q1247" i="5"/>
  <c r="D2508" i="5" l="1"/>
  <c r="W2508" i="5"/>
  <c r="F2508" i="5"/>
  <c r="H2508" i="5"/>
  <c r="X2325" i="5"/>
  <c r="L2324" i="5"/>
  <c r="Q1680" i="5"/>
  <c r="Q2508" i="5" s="1"/>
  <c r="D2324" i="5" l="1"/>
  <c r="D278" i="8" s="1"/>
  <c r="L278" i="8"/>
  <c r="I2508" i="5"/>
  <c r="AA2508" i="5" s="1"/>
  <c r="X2508" i="5"/>
  <c r="T2337" i="5"/>
  <c r="K2337" i="5"/>
  <c r="J2337" i="5"/>
  <c r="C2337" i="5"/>
  <c r="A2337" i="5"/>
  <c r="T2336" i="5"/>
  <c r="C2336" i="5"/>
  <c r="C283" i="8" s="1"/>
  <c r="A2336" i="5"/>
  <c r="T2335" i="5"/>
  <c r="K2335" i="5"/>
  <c r="C2335" i="5"/>
  <c r="A2335" i="5"/>
  <c r="T2334" i="5"/>
  <c r="C2334" i="5"/>
  <c r="C282" i="8" s="1"/>
  <c r="A2334" i="5"/>
  <c r="T2333" i="5"/>
  <c r="K2333" i="5"/>
  <c r="C2333" i="5"/>
  <c r="A2333" i="5"/>
  <c r="T2332" i="5"/>
  <c r="K2332" i="5"/>
  <c r="J2332" i="5"/>
  <c r="C2332" i="5"/>
  <c r="A2332" i="5"/>
  <c r="T2331" i="5"/>
  <c r="C2331" i="5"/>
  <c r="C281" i="8" s="1"/>
  <c r="A2331" i="5"/>
  <c r="T2327" i="5"/>
  <c r="C2327" i="5"/>
  <c r="C279" i="8" s="1"/>
  <c r="C441" i="8" s="1"/>
  <c r="A2327" i="5"/>
  <c r="C104" i="1"/>
  <c r="J1295" i="5"/>
  <c r="D1295" i="5"/>
  <c r="B1295" i="5"/>
  <c r="K1294" i="5"/>
  <c r="O1294" i="5" s="1"/>
  <c r="J1294" i="5"/>
  <c r="D1294" i="5"/>
  <c r="B1294" i="5"/>
  <c r="J1293" i="5"/>
  <c r="J1292" i="5"/>
  <c r="J1291" i="5"/>
  <c r="D1291" i="5"/>
  <c r="B1291" i="5"/>
  <c r="J1290" i="5"/>
  <c r="D1290" i="5"/>
  <c r="B1290" i="5"/>
  <c r="K1289" i="5"/>
  <c r="O1289" i="5" s="1"/>
  <c r="J1289" i="5"/>
  <c r="D1289" i="5"/>
  <c r="B1289" i="5"/>
  <c r="J1288" i="5"/>
  <c r="D1288" i="5"/>
  <c r="B1288" i="5"/>
  <c r="R1281" i="5"/>
  <c r="E1285" i="5"/>
  <c r="F1285" i="5" s="1"/>
  <c r="K1283" i="5"/>
  <c r="M1283" i="5" s="1"/>
  <c r="J1283" i="5"/>
  <c r="D1283" i="5"/>
  <c r="B1283" i="5"/>
  <c r="K1278" i="5"/>
  <c r="M1278" i="5" s="1"/>
  <c r="J1278" i="5"/>
  <c r="D1278" i="5"/>
  <c r="B1278" i="5"/>
  <c r="E1280" i="5"/>
  <c r="J1287" i="5"/>
  <c r="J1286" i="5"/>
  <c r="D1285" i="5"/>
  <c r="B1285" i="5"/>
  <c r="J1284" i="5"/>
  <c r="D1284" i="5"/>
  <c r="B1284" i="5"/>
  <c r="J1282" i="5"/>
  <c r="D1282" i="5"/>
  <c r="B1282" i="5"/>
  <c r="J1281" i="5"/>
  <c r="D1280" i="5"/>
  <c r="B1280" i="5"/>
  <c r="J1279" i="5"/>
  <c r="D1279" i="5"/>
  <c r="B1279" i="5"/>
  <c r="J1277" i="5"/>
  <c r="D1277" i="5"/>
  <c r="B1277" i="5"/>
  <c r="J1276" i="5"/>
  <c r="P1275" i="5"/>
  <c r="O1275" i="5"/>
  <c r="N1275" i="5"/>
  <c r="M1275" i="5"/>
  <c r="L1275" i="5"/>
  <c r="J1275" i="5"/>
  <c r="P1266" i="5"/>
  <c r="O1266" i="5"/>
  <c r="N1266" i="5"/>
  <c r="M1266" i="5"/>
  <c r="L1266" i="5"/>
  <c r="J1266" i="5"/>
  <c r="A281" i="8" l="1"/>
  <c r="A282" i="8"/>
  <c r="A283" i="8"/>
  <c r="R1287" i="5"/>
  <c r="R2333" i="5"/>
  <c r="R2331" i="5" s="1"/>
  <c r="A279" i="8"/>
  <c r="A441" i="8" s="1"/>
  <c r="C213" i="14" s="1"/>
  <c r="A186" i="12"/>
  <c r="U279" i="8"/>
  <c r="T279" i="8"/>
  <c r="K2331" i="5"/>
  <c r="K281" i="8" s="1"/>
  <c r="S281" i="8"/>
  <c r="U283" i="8"/>
  <c r="T283" i="8"/>
  <c r="U281" i="8"/>
  <c r="T281" i="8"/>
  <c r="K2334" i="5"/>
  <c r="K282" i="8" s="1"/>
  <c r="S282" i="8"/>
  <c r="K2327" i="5"/>
  <c r="K279" i="8" s="1"/>
  <c r="K441" i="8" s="1"/>
  <c r="S279" i="8"/>
  <c r="J2331" i="5"/>
  <c r="J281" i="8" s="1"/>
  <c r="U282" i="8"/>
  <c r="T282" i="8"/>
  <c r="K2336" i="5"/>
  <c r="K283" i="8" s="1"/>
  <c r="S283" i="8"/>
  <c r="J2336" i="5"/>
  <c r="J283" i="8" s="1"/>
  <c r="J2333" i="5"/>
  <c r="P1289" i="5"/>
  <c r="L1294" i="5"/>
  <c r="P1294" i="5"/>
  <c r="M1294" i="5"/>
  <c r="L1289" i="5"/>
  <c r="N1294" i="5"/>
  <c r="M1289" i="5"/>
  <c r="N1289" i="5"/>
  <c r="N1283" i="5"/>
  <c r="N1278" i="5"/>
  <c r="O1283" i="5"/>
  <c r="L1283" i="5"/>
  <c r="P1283" i="5"/>
  <c r="O1278" i="5"/>
  <c r="L1278" i="5"/>
  <c r="P1278" i="5"/>
  <c r="Q1275" i="5"/>
  <c r="Q1266" i="5"/>
  <c r="J1280" i="5"/>
  <c r="J1285" i="5"/>
  <c r="R2327" i="5" l="1"/>
  <c r="J2335" i="5"/>
  <c r="R2335" i="5"/>
  <c r="R2334" i="5" s="1"/>
  <c r="Q1289" i="5"/>
  <c r="Q1294" i="5"/>
  <c r="Q1283" i="5"/>
  <c r="Q1278" i="5"/>
  <c r="M478" i="8"/>
  <c r="N478" i="8" s="1"/>
  <c r="O478" i="8" s="1"/>
  <c r="P478" i="8" s="1"/>
  <c r="J458" i="8"/>
  <c r="J358" i="8"/>
  <c r="A358" i="8"/>
  <c r="A357" i="8"/>
  <c r="U353" i="8"/>
  <c r="U236" i="8"/>
  <c r="U235" i="8"/>
  <c r="C207" i="8"/>
  <c r="C108" i="8"/>
  <c r="C9" i="8"/>
  <c r="C8" i="8"/>
  <c r="A4" i="8"/>
  <c r="A458" i="8" s="1"/>
  <c r="A474" i="8" s="1"/>
  <c r="A3" i="8"/>
  <c r="A457" i="8" s="1"/>
  <c r="A473" i="8" s="1"/>
  <c r="J2334" i="5" l="1"/>
  <c r="J282" i="8" s="1"/>
  <c r="J2327" i="5"/>
  <c r="J279" i="8" s="1"/>
  <c r="J441" i="8" s="1"/>
  <c r="T2164" i="5"/>
  <c r="T2163" i="5"/>
  <c r="T2162" i="5"/>
  <c r="T2161" i="5"/>
  <c r="T2160" i="5"/>
  <c r="T2159" i="5"/>
  <c r="T2158" i="5"/>
  <c r="T2157" i="5"/>
  <c r="T2156" i="5"/>
  <c r="T207" i="8" s="1"/>
  <c r="T208" i="8" l="1"/>
  <c r="U208" i="8"/>
  <c r="T209" i="8"/>
  <c r="U209" i="8"/>
  <c r="T210" i="8"/>
  <c r="U210" i="8"/>
  <c r="V23" i="5"/>
  <c r="K353" i="8"/>
  <c r="J353" i="8"/>
  <c r="G76" i="5"/>
  <c r="H76" i="5"/>
  <c r="I76" i="5"/>
  <c r="F76" i="5"/>
  <c r="T1747" i="5"/>
  <c r="S26" i="8"/>
  <c r="C1747" i="5"/>
  <c r="C26" i="8" s="1"/>
  <c r="A1747" i="5"/>
  <c r="P81" i="5"/>
  <c r="O81" i="5"/>
  <c r="N81" i="5"/>
  <c r="M81" i="5"/>
  <c r="L81" i="5"/>
  <c r="J81" i="5"/>
  <c r="I21" i="5"/>
  <c r="G21" i="5"/>
  <c r="H21" i="5"/>
  <c r="F21" i="5"/>
  <c r="E21" i="5"/>
  <c r="T1748" i="5"/>
  <c r="K1748" i="5"/>
  <c r="J1748" i="5"/>
  <c r="C1748" i="5"/>
  <c r="A1748" i="5"/>
  <c r="F83" i="5"/>
  <c r="G83" i="5" s="1"/>
  <c r="H83" i="5" s="1"/>
  <c r="I83" i="5" s="1"/>
  <c r="J83" i="5" s="1"/>
  <c r="K83" i="5"/>
  <c r="D83" i="5"/>
  <c r="B83" i="5"/>
  <c r="J82" i="5"/>
  <c r="K80" i="5"/>
  <c r="M80" i="5" s="1"/>
  <c r="J80" i="5"/>
  <c r="D80" i="5"/>
  <c r="B80" i="5"/>
  <c r="A17" i="12" l="1"/>
  <c r="A26" i="8"/>
  <c r="A16" i="12"/>
  <c r="U26" i="8"/>
  <c r="T26" i="8"/>
  <c r="K1747" i="5"/>
  <c r="K26" i="8" s="1"/>
  <c r="J1747" i="5"/>
  <c r="J26" i="8" s="1"/>
  <c r="Q81" i="5"/>
  <c r="V81" i="5" s="1"/>
  <c r="M79" i="5"/>
  <c r="M83" i="5"/>
  <c r="M82" i="5" s="1"/>
  <c r="M1748" i="5" s="1"/>
  <c r="M1747" i="5" s="1"/>
  <c r="M26" i="8" s="1"/>
  <c r="N83" i="5"/>
  <c r="N82" i="5" s="1"/>
  <c r="N1748" i="5" s="1"/>
  <c r="N1747" i="5" s="1"/>
  <c r="N26" i="8" s="1"/>
  <c r="O83" i="5"/>
  <c r="O82" i="5" s="1"/>
  <c r="O1748" i="5" s="1"/>
  <c r="O1747" i="5" s="1"/>
  <c r="O26" i="8" s="1"/>
  <c r="L83" i="5"/>
  <c r="L82" i="5" s="1"/>
  <c r="L1748" i="5" s="1"/>
  <c r="L1747" i="5" s="1"/>
  <c r="L26" i="8" s="1"/>
  <c r="P83" i="5"/>
  <c r="P82" i="5" s="1"/>
  <c r="P1748" i="5" s="1"/>
  <c r="P1747" i="5" s="1"/>
  <c r="P26" i="8" s="1"/>
  <c r="N80" i="5"/>
  <c r="O80" i="5"/>
  <c r="L80" i="5"/>
  <c r="P80" i="5"/>
  <c r="H1748" i="5" l="1"/>
  <c r="D1748" i="5"/>
  <c r="G1748" i="5"/>
  <c r="E1748" i="5"/>
  <c r="F1748" i="5"/>
  <c r="W1748" i="5"/>
  <c r="N79" i="5"/>
  <c r="O79" i="5"/>
  <c r="P79" i="5"/>
  <c r="L79" i="5"/>
  <c r="Q83" i="5"/>
  <c r="Q80" i="5"/>
  <c r="V80" i="5" s="1"/>
  <c r="Q82" i="5" l="1"/>
  <c r="V83" i="5"/>
  <c r="Q79" i="5"/>
  <c r="V79" i="5" s="1"/>
  <c r="Q1748" i="5" l="1"/>
  <c r="V82" i="5"/>
  <c r="Q1747" i="5" l="1"/>
  <c r="Q26" i="8" s="1"/>
  <c r="X1748" i="5"/>
  <c r="I1748" i="5"/>
  <c r="Z1748" i="5" l="1"/>
  <c r="F521" i="5"/>
  <c r="G521" i="5" s="1"/>
  <c r="H521" i="5" s="1"/>
  <c r="I521" i="5" s="1"/>
  <c r="P1231" i="5"/>
  <c r="O1231" i="5"/>
  <c r="N1231" i="5"/>
  <c r="M1231" i="5"/>
  <c r="L1231" i="5"/>
  <c r="P1228" i="5"/>
  <c r="O1228" i="5"/>
  <c r="N1228" i="5"/>
  <c r="M1228" i="5"/>
  <c r="L1228" i="5"/>
  <c r="I46" i="5"/>
  <c r="H46" i="5"/>
  <c r="G46" i="5"/>
  <c r="F46" i="5"/>
  <c r="E46" i="5"/>
  <c r="I47" i="5"/>
  <c r="H47" i="5"/>
  <c r="G47" i="5"/>
  <c r="F47" i="5"/>
  <c r="E47" i="5"/>
  <c r="D47" i="5"/>
  <c r="B47" i="5"/>
  <c r="T1957" i="5"/>
  <c r="K1957" i="5"/>
  <c r="J1957" i="5"/>
  <c r="C1957" i="5"/>
  <c r="A1957" i="5"/>
  <c r="T1956" i="5"/>
  <c r="S111" i="8"/>
  <c r="C1956" i="5"/>
  <c r="C111" i="8" s="1"/>
  <c r="A1956" i="5"/>
  <c r="P509" i="5"/>
  <c r="O509" i="5"/>
  <c r="N509" i="5"/>
  <c r="M509" i="5"/>
  <c r="L509" i="5"/>
  <c r="I509" i="5"/>
  <c r="H509" i="5"/>
  <c r="G509" i="5"/>
  <c r="F509" i="5"/>
  <c r="E509" i="5"/>
  <c r="C221" i="1"/>
  <c r="K509" i="5" s="1"/>
  <c r="D509" i="5"/>
  <c r="B509" i="5"/>
  <c r="J508" i="5"/>
  <c r="P507" i="5"/>
  <c r="O507" i="5"/>
  <c r="N507" i="5"/>
  <c r="M507" i="5"/>
  <c r="L507" i="5"/>
  <c r="J507" i="5"/>
  <c r="P951" i="5"/>
  <c r="O951" i="5"/>
  <c r="N951" i="5"/>
  <c r="M951" i="5"/>
  <c r="L951" i="5"/>
  <c r="I951" i="5"/>
  <c r="H951" i="5"/>
  <c r="G951" i="5"/>
  <c r="F951" i="5"/>
  <c r="E951" i="5"/>
  <c r="S210" i="8"/>
  <c r="C2163" i="5"/>
  <c r="C210" i="8" s="1"/>
  <c r="A2163" i="5"/>
  <c r="K2164" i="5"/>
  <c r="J2164" i="5"/>
  <c r="C2164" i="5"/>
  <c r="A2164" i="5"/>
  <c r="D917" i="5"/>
  <c r="B917" i="5"/>
  <c r="J916" i="5"/>
  <c r="P915" i="5"/>
  <c r="O915" i="5"/>
  <c r="N915" i="5"/>
  <c r="M915" i="5"/>
  <c r="L915" i="5"/>
  <c r="J915" i="5"/>
  <c r="I98" i="5"/>
  <c r="P98" i="5" s="1"/>
  <c r="H98" i="5"/>
  <c r="O98" i="5" s="1"/>
  <c r="G98" i="5"/>
  <c r="N98" i="5" s="1"/>
  <c r="F98" i="5"/>
  <c r="M98" i="5" s="1"/>
  <c r="E98" i="5"/>
  <c r="L98" i="5" s="1"/>
  <c r="A111" i="8" l="1"/>
  <c r="A210" i="8"/>
  <c r="U111" i="8"/>
  <c r="T111" i="8"/>
  <c r="K1956" i="5"/>
  <c r="K111" i="8" s="1"/>
  <c r="K2163" i="5"/>
  <c r="K210" i="8" s="1"/>
  <c r="J1956" i="5"/>
  <c r="J111" i="8" s="1"/>
  <c r="J2163" i="5"/>
  <c r="J210" i="8" s="1"/>
  <c r="J47" i="5"/>
  <c r="J509" i="5"/>
  <c r="Q507" i="5"/>
  <c r="N508" i="5"/>
  <c r="N1957" i="5" s="1"/>
  <c r="F1957" i="5" s="1"/>
  <c r="M508" i="5"/>
  <c r="M1957" i="5" s="1"/>
  <c r="E1957" i="5" s="1"/>
  <c r="Q915" i="5"/>
  <c r="J98" i="5"/>
  <c r="P508" i="5" l="1"/>
  <c r="P1957" i="5" s="1"/>
  <c r="H1957" i="5" s="1"/>
  <c r="L508" i="5"/>
  <c r="L1957" i="5" s="1"/>
  <c r="D1957" i="5" s="1"/>
  <c r="Q509" i="5"/>
  <c r="O508" i="5"/>
  <c r="O1957" i="5" s="1"/>
  <c r="G1957" i="5" s="1"/>
  <c r="Q508" i="5" l="1"/>
  <c r="Q1957" i="5" s="1"/>
  <c r="I1957" i="5" s="1"/>
  <c r="I1221" i="5" l="1"/>
  <c r="H1221" i="5"/>
  <c r="G1221" i="5"/>
  <c r="F1221" i="5"/>
  <c r="E1221" i="5"/>
  <c r="I1220" i="5"/>
  <c r="H1220" i="5"/>
  <c r="G1220" i="5"/>
  <c r="F1220" i="5"/>
  <c r="E1220" i="5"/>
  <c r="I1218" i="5"/>
  <c r="I1224" i="5" s="1"/>
  <c r="H1218" i="5"/>
  <c r="H1224" i="5" s="1"/>
  <c r="G1218" i="5"/>
  <c r="G1224" i="5" s="1"/>
  <c r="F1218" i="5"/>
  <c r="F1224" i="5" s="1"/>
  <c r="E1218" i="5"/>
  <c r="E1224" i="5" s="1"/>
  <c r="I1217" i="5"/>
  <c r="I1223" i="5" s="1"/>
  <c r="H1217" i="5"/>
  <c r="H1223" i="5" s="1"/>
  <c r="G1217" i="5"/>
  <c r="G1223" i="5" s="1"/>
  <c r="F1217" i="5"/>
  <c r="F1223" i="5" s="1"/>
  <c r="E1217" i="5"/>
  <c r="E1223" i="5" s="1"/>
  <c r="I1213" i="5"/>
  <c r="I1222" i="5" s="1"/>
  <c r="H1213" i="5"/>
  <c r="H1222" i="5" s="1"/>
  <c r="G1213" i="5"/>
  <c r="G1222" i="5" s="1"/>
  <c r="F1213" i="5"/>
  <c r="F1222" i="5" s="1"/>
  <c r="E1213" i="5"/>
  <c r="E1222" i="5" s="1"/>
  <c r="E1212" i="5"/>
  <c r="E1210" i="5"/>
  <c r="E1209" i="5"/>
  <c r="I1204" i="5"/>
  <c r="H1204" i="5"/>
  <c r="G1204" i="5"/>
  <c r="F1204" i="5"/>
  <c r="E1204" i="5"/>
  <c r="I1203" i="5"/>
  <c r="H1203" i="5"/>
  <c r="G1203" i="5"/>
  <c r="F1203" i="5"/>
  <c r="I1202" i="5"/>
  <c r="H1202" i="5"/>
  <c r="G1202" i="5"/>
  <c r="F1202" i="5"/>
  <c r="E1202" i="5"/>
  <c r="I1200" i="5"/>
  <c r="I1206" i="5" s="1"/>
  <c r="H1200" i="5"/>
  <c r="H1206" i="5" s="1"/>
  <c r="G1200" i="5"/>
  <c r="G1206" i="5" s="1"/>
  <c r="F1200" i="5"/>
  <c r="F1206" i="5" s="1"/>
  <c r="E1200" i="5"/>
  <c r="E1206" i="5" s="1"/>
  <c r="I684" i="5"/>
  <c r="H684" i="5"/>
  <c r="G684" i="5"/>
  <c r="F684" i="5"/>
  <c r="E684" i="5"/>
  <c r="I598" i="5"/>
  <c r="P598" i="5" s="1"/>
  <c r="H598" i="5"/>
  <c r="O598" i="5" s="1"/>
  <c r="G598" i="5"/>
  <c r="N598" i="5" s="1"/>
  <c r="D21" i="3"/>
  <c r="F598" i="5"/>
  <c r="M598" i="5" s="1"/>
  <c r="E598" i="5"/>
  <c r="L598" i="5" s="1"/>
  <c r="C31" i="1"/>
  <c r="E1215" i="5" l="1"/>
  <c r="E1211" i="5"/>
  <c r="F917" i="5"/>
  <c r="M917" i="5" s="1"/>
  <c r="M916" i="5" s="1"/>
  <c r="M2164" i="5" s="1"/>
  <c r="M684" i="5"/>
  <c r="N684" i="5"/>
  <c r="G917" i="5"/>
  <c r="N917" i="5" s="1"/>
  <c r="N916" i="5" s="1"/>
  <c r="N2164" i="5" s="1"/>
  <c r="O684" i="5"/>
  <c r="H917" i="5"/>
  <c r="O917" i="5" s="1"/>
  <c r="O916" i="5" s="1"/>
  <c r="O2164" i="5" s="1"/>
  <c r="E917" i="5"/>
  <c r="L684" i="5"/>
  <c r="I917" i="5"/>
  <c r="P917" i="5" s="1"/>
  <c r="P916" i="5" s="1"/>
  <c r="P2164" i="5" s="1"/>
  <c r="P684" i="5"/>
  <c r="N2163" i="5" l="1"/>
  <c r="N210" i="8" s="1"/>
  <c r="F2164" i="5"/>
  <c r="P2163" i="5"/>
  <c r="P210" i="8" s="1"/>
  <c r="H2164" i="5"/>
  <c r="O2163" i="5"/>
  <c r="O210" i="8" s="1"/>
  <c r="G2164" i="5"/>
  <c r="M2163" i="5"/>
  <c r="M210" i="8" s="1"/>
  <c r="E2164" i="5"/>
  <c r="L917" i="5"/>
  <c r="J917" i="5"/>
  <c r="E2163" i="5" l="1"/>
  <c r="E210" i="8" s="1"/>
  <c r="H2163" i="5"/>
  <c r="H210" i="8" s="1"/>
  <c r="G2163" i="5"/>
  <c r="G210" i="8" s="1"/>
  <c r="F2163" i="5"/>
  <c r="F210" i="8" s="1"/>
  <c r="L916" i="5"/>
  <c r="L2164" i="5" s="1"/>
  <c r="D2164" i="5" s="1"/>
  <c r="Q917" i="5"/>
  <c r="Q916" i="5" s="1"/>
  <c r="Q2164" i="5" s="1"/>
  <c r="Q2163" i="5" l="1"/>
  <c r="Q210" i="8" s="1"/>
  <c r="I2164" i="5"/>
  <c r="W2164" i="5"/>
  <c r="X2164" i="5" s="1"/>
  <c r="L2163" i="5"/>
  <c r="L210" i="8" s="1"/>
  <c r="K917" i="5"/>
  <c r="N21" i="3"/>
  <c r="M21" i="3"/>
  <c r="L21" i="3"/>
  <c r="K21" i="3"/>
  <c r="J21" i="3"/>
  <c r="I21" i="3"/>
  <c r="H21" i="3"/>
  <c r="G21" i="3"/>
  <c r="F21" i="3"/>
  <c r="E21" i="3"/>
  <c r="N14" i="3"/>
  <c r="M14" i="3"/>
  <c r="L14" i="3"/>
  <c r="K14" i="3"/>
  <c r="J14" i="3"/>
  <c r="I14" i="3"/>
  <c r="H14" i="3"/>
  <c r="F14" i="3"/>
  <c r="E14" i="3"/>
  <c r="G14" i="3"/>
  <c r="D2163" i="5" l="1"/>
  <c r="D210" i="8" s="1"/>
  <c r="I2163" i="5"/>
  <c r="I210" i="8" s="1"/>
  <c r="W2163" i="5"/>
  <c r="X2163" i="5" s="1"/>
  <c r="A1705" i="5"/>
  <c r="A1704" i="5"/>
  <c r="T1876" i="5"/>
  <c r="S77" i="8"/>
  <c r="C1876" i="5"/>
  <c r="C77" i="8" s="1"/>
  <c r="A1876" i="5"/>
  <c r="C1712" i="5"/>
  <c r="A2514" i="5"/>
  <c r="A2513" i="5"/>
  <c r="C353" i="8"/>
  <c r="A2512" i="5"/>
  <c r="T2506" i="5"/>
  <c r="C2506" i="5"/>
  <c r="C350" i="8" s="1"/>
  <c r="A2506" i="5"/>
  <c r="T2501" i="5"/>
  <c r="K2501" i="5"/>
  <c r="J2501" i="5"/>
  <c r="C2501" i="5"/>
  <c r="A2501" i="5"/>
  <c r="T2500" i="5"/>
  <c r="K2500" i="5"/>
  <c r="J2500" i="5"/>
  <c r="C2500" i="5"/>
  <c r="A2500" i="5"/>
  <c r="T2499" i="5"/>
  <c r="S347" i="8"/>
  <c r="C2499" i="5"/>
  <c r="C347" i="8" s="1"/>
  <c r="A2499" i="5"/>
  <c r="T2498" i="5"/>
  <c r="K2498" i="5"/>
  <c r="J2498" i="5"/>
  <c r="C2498" i="5"/>
  <c r="A2498" i="5"/>
  <c r="T2497" i="5"/>
  <c r="K2497" i="5"/>
  <c r="J2497" i="5"/>
  <c r="C2497" i="5"/>
  <c r="A2497" i="5"/>
  <c r="T2496" i="5"/>
  <c r="K2496" i="5"/>
  <c r="J2496" i="5"/>
  <c r="C2496" i="5"/>
  <c r="A2496" i="5"/>
  <c r="T2495" i="5"/>
  <c r="S346" i="8"/>
  <c r="C2495" i="5"/>
  <c r="C346" i="8" s="1"/>
  <c r="A2495" i="5"/>
  <c r="T2494" i="5"/>
  <c r="K2494" i="5"/>
  <c r="J2494" i="5"/>
  <c r="C2494" i="5"/>
  <c r="A2494" i="5"/>
  <c r="T2493" i="5"/>
  <c r="K2493" i="5"/>
  <c r="J2493" i="5"/>
  <c r="C2493" i="5"/>
  <c r="A2493" i="5"/>
  <c r="T2492" i="5"/>
  <c r="S345" i="8"/>
  <c r="C2492" i="5"/>
  <c r="C345" i="8" s="1"/>
  <c r="A2492" i="5"/>
  <c r="T2491" i="5"/>
  <c r="K2491" i="5"/>
  <c r="J2491" i="5"/>
  <c r="C2491" i="5"/>
  <c r="A2491" i="5"/>
  <c r="T2490" i="5"/>
  <c r="K2490" i="5"/>
  <c r="J2490" i="5"/>
  <c r="C2490" i="5"/>
  <c r="A2490" i="5"/>
  <c r="T2489" i="5"/>
  <c r="K2489" i="5"/>
  <c r="J2489" i="5"/>
  <c r="C2489" i="5"/>
  <c r="A2489" i="5"/>
  <c r="T2488" i="5"/>
  <c r="K2488" i="5"/>
  <c r="J2488" i="5"/>
  <c r="C2488" i="5"/>
  <c r="A2488" i="5"/>
  <c r="T2487" i="5"/>
  <c r="S344" i="8"/>
  <c r="C2487" i="5"/>
  <c r="C344" i="8" s="1"/>
  <c r="A2487" i="5"/>
  <c r="T2486" i="5"/>
  <c r="C2486" i="5"/>
  <c r="C343" i="8" s="1"/>
  <c r="A2486" i="5"/>
  <c r="T2505" i="5"/>
  <c r="K2505" i="5"/>
  <c r="J2505" i="5"/>
  <c r="C2505" i="5"/>
  <c r="A2505" i="5"/>
  <c r="T2504" i="5"/>
  <c r="S349" i="8"/>
  <c r="C2504" i="5"/>
  <c r="C349" i="8" s="1"/>
  <c r="A2504" i="5"/>
  <c r="T2503" i="5"/>
  <c r="K2503" i="5"/>
  <c r="J2503" i="5"/>
  <c r="C2503" i="5"/>
  <c r="A2503" i="5"/>
  <c r="T2502" i="5"/>
  <c r="S348" i="8"/>
  <c r="C2502" i="5"/>
  <c r="C348" i="8" s="1"/>
  <c r="A2502" i="5"/>
  <c r="T2485" i="5"/>
  <c r="K2485" i="5"/>
  <c r="J2485" i="5"/>
  <c r="C2485" i="5"/>
  <c r="A2485" i="5"/>
  <c r="T2484" i="5"/>
  <c r="K2484" i="5"/>
  <c r="J2484" i="5"/>
  <c r="C2484" i="5"/>
  <c r="A2484" i="5"/>
  <c r="T2483" i="5"/>
  <c r="S342" i="8"/>
  <c r="C2483" i="5"/>
  <c r="C342" i="8" s="1"/>
  <c r="A2483" i="5"/>
  <c r="T2482" i="5"/>
  <c r="K2482" i="5"/>
  <c r="J2482" i="5"/>
  <c r="C2482" i="5"/>
  <c r="A2482" i="5"/>
  <c r="T2481" i="5"/>
  <c r="K2481" i="5"/>
  <c r="J2481" i="5"/>
  <c r="C2481" i="5"/>
  <c r="A2481" i="5"/>
  <c r="T2480" i="5"/>
  <c r="S341" i="8"/>
  <c r="C2480" i="5"/>
  <c r="C341" i="8" s="1"/>
  <c r="A2480" i="5"/>
  <c r="T2479" i="5"/>
  <c r="K2479" i="5"/>
  <c r="J2479" i="5"/>
  <c r="C2479" i="5"/>
  <c r="A2479" i="5"/>
  <c r="T2478" i="5"/>
  <c r="S340" i="8"/>
  <c r="C2478" i="5"/>
  <c r="C340" i="8" s="1"/>
  <c r="A2478" i="5"/>
  <c r="T2477" i="5"/>
  <c r="K2477" i="5"/>
  <c r="J2477" i="5"/>
  <c r="C2477" i="5"/>
  <c r="A2477" i="5"/>
  <c r="T2476" i="5"/>
  <c r="K2476" i="5"/>
  <c r="J2476" i="5"/>
  <c r="C2476" i="5"/>
  <c r="A2476" i="5"/>
  <c r="T2475" i="5"/>
  <c r="S339" i="8"/>
  <c r="C2475" i="5"/>
  <c r="C339" i="8" s="1"/>
  <c r="A2475" i="5"/>
  <c r="T2474" i="5"/>
  <c r="K2474" i="5"/>
  <c r="J2474" i="5"/>
  <c r="C2474" i="5"/>
  <c r="A2474" i="5"/>
  <c r="T2473" i="5"/>
  <c r="S338" i="8"/>
  <c r="C2473" i="5"/>
  <c r="C338" i="8" s="1"/>
  <c r="A2473" i="5"/>
  <c r="T2472" i="5"/>
  <c r="K2472" i="5"/>
  <c r="J2472" i="5"/>
  <c r="C2472" i="5"/>
  <c r="A2472" i="5"/>
  <c r="T2471" i="5"/>
  <c r="K2471" i="5"/>
  <c r="J2471" i="5"/>
  <c r="C2471" i="5"/>
  <c r="A2471" i="5"/>
  <c r="T2470" i="5"/>
  <c r="S337" i="8"/>
  <c r="C2470" i="5"/>
  <c r="C337" i="8" s="1"/>
  <c r="A2470" i="5"/>
  <c r="T2469" i="5"/>
  <c r="K2469" i="5"/>
  <c r="J2469" i="5"/>
  <c r="C2469" i="5"/>
  <c r="A2469" i="5"/>
  <c r="T2468" i="5"/>
  <c r="K2468" i="5"/>
  <c r="J2468" i="5"/>
  <c r="C2468" i="5"/>
  <c r="A2468" i="5"/>
  <c r="T2467" i="5"/>
  <c r="K2467" i="5"/>
  <c r="J2467" i="5"/>
  <c r="C2467" i="5"/>
  <c r="A2467" i="5"/>
  <c r="T2466" i="5"/>
  <c r="K2466" i="5"/>
  <c r="J2466" i="5"/>
  <c r="C2466" i="5"/>
  <c r="A2466" i="5"/>
  <c r="T2465" i="5"/>
  <c r="S336" i="8"/>
  <c r="C2465" i="5"/>
  <c r="C336" i="8" s="1"/>
  <c r="A2465" i="5"/>
  <c r="T2464" i="5"/>
  <c r="K2464" i="5"/>
  <c r="J2464" i="5"/>
  <c r="C2464" i="5"/>
  <c r="A2464" i="5"/>
  <c r="T2463" i="5"/>
  <c r="S335" i="8"/>
  <c r="C2463" i="5"/>
  <c r="C335" i="8" s="1"/>
  <c r="A2463" i="5"/>
  <c r="T2462" i="5"/>
  <c r="K2462" i="5"/>
  <c r="J2462" i="5"/>
  <c r="C2462" i="5"/>
  <c r="A2462" i="5"/>
  <c r="T2461" i="5"/>
  <c r="S334" i="8"/>
  <c r="C2461" i="5"/>
  <c r="C334" i="8" s="1"/>
  <c r="A2461" i="5"/>
  <c r="T2460" i="5"/>
  <c r="K2460" i="5"/>
  <c r="J2460" i="5"/>
  <c r="C2460" i="5"/>
  <c r="A2460" i="5"/>
  <c r="T2459" i="5"/>
  <c r="S333" i="8"/>
  <c r="C2459" i="5"/>
  <c r="C333" i="8" s="1"/>
  <c r="A2459" i="5"/>
  <c r="T2458" i="5"/>
  <c r="K2458" i="5"/>
  <c r="J2458" i="5"/>
  <c r="C2458" i="5"/>
  <c r="A2458" i="5"/>
  <c r="T2457" i="5"/>
  <c r="K2457" i="5"/>
  <c r="C2457" i="5"/>
  <c r="A2457" i="5"/>
  <c r="T2456" i="5"/>
  <c r="S332" i="8"/>
  <c r="C2456" i="5"/>
  <c r="C332" i="8" s="1"/>
  <c r="A2456" i="5"/>
  <c r="T2455" i="5"/>
  <c r="K2455" i="5"/>
  <c r="J2455" i="5"/>
  <c r="C2455" i="5"/>
  <c r="A2455" i="5"/>
  <c r="T2454" i="5"/>
  <c r="S331" i="8"/>
  <c r="C2454" i="5"/>
  <c r="C331" i="8" s="1"/>
  <c r="A2454" i="5"/>
  <c r="T2451" i="5"/>
  <c r="C2451" i="5"/>
  <c r="C329" i="8" s="1"/>
  <c r="A2451" i="5"/>
  <c r="T2453" i="5"/>
  <c r="K2453" i="5"/>
  <c r="J2453" i="5"/>
  <c r="C2453" i="5"/>
  <c r="A2453" i="5"/>
  <c r="T2452" i="5"/>
  <c r="S330" i="8"/>
  <c r="C2452" i="5"/>
  <c r="C330" i="8" s="1"/>
  <c r="A2452" i="5"/>
  <c r="T2450" i="5"/>
  <c r="K2450" i="5"/>
  <c r="J2450" i="5"/>
  <c r="C2450" i="5"/>
  <c r="A2450" i="5"/>
  <c r="T2449" i="5"/>
  <c r="K2449" i="5"/>
  <c r="J2449" i="5"/>
  <c r="C2449" i="5"/>
  <c r="A2449" i="5"/>
  <c r="T2448" i="5"/>
  <c r="S328" i="8"/>
  <c r="C2448" i="5"/>
  <c r="C328" i="8" s="1"/>
  <c r="A2448" i="5"/>
  <c r="T2447" i="5"/>
  <c r="K2447" i="5"/>
  <c r="J2447" i="5"/>
  <c r="C2447" i="5"/>
  <c r="A2447" i="5"/>
  <c r="T2446" i="5"/>
  <c r="K2446" i="5"/>
  <c r="J2446" i="5"/>
  <c r="C2446" i="5"/>
  <c r="A2446" i="5"/>
  <c r="T2445" i="5"/>
  <c r="S327" i="8"/>
  <c r="C2445" i="5"/>
  <c r="C327" i="8" s="1"/>
  <c r="A2445" i="5"/>
  <c r="T2444" i="5"/>
  <c r="K2444" i="5"/>
  <c r="J2444" i="5"/>
  <c r="C2444" i="5"/>
  <c r="A2444" i="5"/>
  <c r="T2443" i="5"/>
  <c r="K2443" i="5"/>
  <c r="J2443" i="5"/>
  <c r="C2443" i="5"/>
  <c r="A2443" i="5"/>
  <c r="T2442" i="5"/>
  <c r="S326" i="8"/>
  <c r="C2442" i="5"/>
  <c r="C326" i="8" s="1"/>
  <c r="A2442" i="5"/>
  <c r="T2441" i="5"/>
  <c r="K2441" i="5"/>
  <c r="J2441" i="5"/>
  <c r="C2441" i="5"/>
  <c r="A2441" i="5"/>
  <c r="T2440" i="5"/>
  <c r="K2440" i="5"/>
  <c r="J2440" i="5"/>
  <c r="C2440" i="5"/>
  <c r="A2440" i="5"/>
  <c r="T2439" i="5"/>
  <c r="S325" i="8"/>
  <c r="C2439" i="5"/>
  <c r="C325" i="8" s="1"/>
  <c r="A2439" i="5"/>
  <c r="T2438" i="5"/>
  <c r="K2438" i="5"/>
  <c r="J2438" i="5"/>
  <c r="C2438" i="5"/>
  <c r="A2438" i="5"/>
  <c r="T2437" i="5"/>
  <c r="K2437" i="5"/>
  <c r="J2437" i="5"/>
  <c r="C2437" i="5"/>
  <c r="A2437" i="5"/>
  <c r="T2436" i="5"/>
  <c r="K2436" i="5"/>
  <c r="J2436" i="5"/>
  <c r="C2436" i="5"/>
  <c r="A2436" i="5"/>
  <c r="T2435" i="5"/>
  <c r="S324" i="8"/>
  <c r="C2435" i="5"/>
  <c r="C324" i="8" s="1"/>
  <c r="A2435" i="5"/>
  <c r="T2434" i="5"/>
  <c r="C2434" i="5"/>
  <c r="C323" i="8" s="1"/>
  <c r="A2434" i="5"/>
  <c r="T2433" i="5"/>
  <c r="K2433" i="5"/>
  <c r="J2433" i="5"/>
  <c r="C2433" i="5"/>
  <c r="A2433" i="5"/>
  <c r="T2432" i="5"/>
  <c r="S322" i="8"/>
  <c r="C2432" i="5"/>
  <c r="C322" i="8" s="1"/>
  <c r="A2432" i="5"/>
  <c r="T2431" i="5"/>
  <c r="K2431" i="5"/>
  <c r="J2431" i="5"/>
  <c r="C2431" i="5"/>
  <c r="A2431" i="5"/>
  <c r="T2430" i="5"/>
  <c r="S321" i="8"/>
  <c r="C2430" i="5"/>
  <c r="C321" i="8" s="1"/>
  <c r="A2430" i="5"/>
  <c r="T2429" i="5"/>
  <c r="K2429" i="5"/>
  <c r="J2429" i="5"/>
  <c r="C2429" i="5"/>
  <c r="A2429" i="5"/>
  <c r="T2428" i="5"/>
  <c r="K2428" i="5"/>
  <c r="J2428" i="5"/>
  <c r="C2428" i="5"/>
  <c r="A2428" i="5"/>
  <c r="T2427" i="5"/>
  <c r="S320" i="8"/>
  <c r="C2427" i="5"/>
  <c r="C320" i="8" s="1"/>
  <c r="A2427" i="5"/>
  <c r="T2426" i="5"/>
  <c r="C2426" i="5"/>
  <c r="C319" i="8" s="1"/>
  <c r="A2426" i="5"/>
  <c r="T2425" i="5"/>
  <c r="K2425" i="5"/>
  <c r="J2425" i="5"/>
  <c r="C2425" i="5"/>
  <c r="A2425" i="5"/>
  <c r="T2424" i="5"/>
  <c r="K2424" i="5"/>
  <c r="J2424" i="5"/>
  <c r="C2424" i="5"/>
  <c r="A2424" i="5"/>
  <c r="T2423" i="5"/>
  <c r="K2423" i="5"/>
  <c r="J2423" i="5"/>
  <c r="C2423" i="5"/>
  <c r="A2423" i="5"/>
  <c r="T2422" i="5"/>
  <c r="K2422" i="5"/>
  <c r="J2422" i="5"/>
  <c r="C2422" i="5"/>
  <c r="A2422" i="5"/>
  <c r="T2421" i="5"/>
  <c r="S318" i="8"/>
  <c r="C2421" i="5"/>
  <c r="C318" i="8" s="1"/>
  <c r="A2421" i="5"/>
  <c r="T2420" i="5"/>
  <c r="K2420" i="5"/>
  <c r="J2420" i="5"/>
  <c r="C2420" i="5"/>
  <c r="A2420" i="5"/>
  <c r="T2419" i="5"/>
  <c r="K2419" i="5"/>
  <c r="J2419" i="5"/>
  <c r="C2419" i="5"/>
  <c r="A2419" i="5"/>
  <c r="T2418" i="5"/>
  <c r="S317" i="8"/>
  <c r="C2418" i="5"/>
  <c r="C317" i="8" s="1"/>
  <c r="A2418" i="5"/>
  <c r="T2417" i="5"/>
  <c r="K2417" i="5"/>
  <c r="J2417" i="5"/>
  <c r="C2417" i="5"/>
  <c r="A2417" i="5"/>
  <c r="T2416" i="5"/>
  <c r="K2416" i="5"/>
  <c r="J2416" i="5"/>
  <c r="C2416" i="5"/>
  <c r="A2416" i="5"/>
  <c r="T2415" i="5"/>
  <c r="S316" i="8"/>
  <c r="C2415" i="5"/>
  <c r="C316" i="8" s="1"/>
  <c r="A2415" i="5"/>
  <c r="T2414" i="5"/>
  <c r="K2414" i="5"/>
  <c r="C2414" i="5"/>
  <c r="A2414" i="5"/>
  <c r="T2413" i="5"/>
  <c r="K2413" i="5"/>
  <c r="C2413" i="5"/>
  <c r="A2413" i="5"/>
  <c r="T2412" i="5"/>
  <c r="K2412" i="5"/>
  <c r="J2412" i="5"/>
  <c r="C2412" i="5"/>
  <c r="A2412" i="5"/>
  <c r="T2411" i="5"/>
  <c r="S315" i="8"/>
  <c r="C2411" i="5"/>
  <c r="C315" i="8" s="1"/>
  <c r="A2411" i="5"/>
  <c r="T2410" i="5"/>
  <c r="K2410" i="5"/>
  <c r="C2410" i="5"/>
  <c r="A2410" i="5"/>
  <c r="T2409" i="5"/>
  <c r="K2409" i="5"/>
  <c r="C2409" i="5"/>
  <c r="A2409" i="5"/>
  <c r="T2408" i="5"/>
  <c r="K2408" i="5"/>
  <c r="J2408" i="5"/>
  <c r="C2408" i="5"/>
  <c r="A2408" i="5"/>
  <c r="T2407" i="5"/>
  <c r="S314" i="8"/>
  <c r="C2407" i="5"/>
  <c r="C314" i="8" s="1"/>
  <c r="A2407" i="5"/>
  <c r="T2406" i="5"/>
  <c r="C2406" i="5"/>
  <c r="C313" i="8" s="1"/>
  <c r="A2406" i="5"/>
  <c r="T2383" i="5"/>
  <c r="K2383" i="5"/>
  <c r="J2383" i="5"/>
  <c r="C2383" i="5"/>
  <c r="A2383" i="5"/>
  <c r="T2382" i="5"/>
  <c r="S303" i="8"/>
  <c r="C2382" i="5"/>
  <c r="C303" i="8" s="1"/>
  <c r="A2382" i="5"/>
  <c r="T2381" i="5"/>
  <c r="K2381" i="5"/>
  <c r="J2381" i="5"/>
  <c r="C2381" i="5"/>
  <c r="A2381" i="5"/>
  <c r="T2380" i="5"/>
  <c r="K2380" i="5"/>
  <c r="J2380" i="5"/>
  <c r="C2380" i="5"/>
  <c r="A2380" i="5"/>
  <c r="T2379" i="5"/>
  <c r="S302" i="8"/>
  <c r="C2379" i="5"/>
  <c r="C302" i="8" s="1"/>
  <c r="A2379" i="5"/>
  <c r="T2405" i="5"/>
  <c r="K2405" i="5"/>
  <c r="J2405" i="5"/>
  <c r="C2405" i="5"/>
  <c r="A2405" i="5"/>
  <c r="T2404" i="5"/>
  <c r="K2404" i="5"/>
  <c r="J2404" i="5"/>
  <c r="C2404" i="5"/>
  <c r="A2404" i="5"/>
  <c r="T2403" i="5"/>
  <c r="S312" i="8"/>
  <c r="C2403" i="5"/>
  <c r="C312" i="8" s="1"/>
  <c r="A2403" i="5"/>
  <c r="T2402" i="5"/>
  <c r="K2402" i="5"/>
  <c r="J2402" i="5"/>
  <c r="C2402" i="5"/>
  <c r="A2402" i="5"/>
  <c r="T2401" i="5"/>
  <c r="S311" i="8"/>
  <c r="C2401" i="5"/>
  <c r="C311" i="8" s="1"/>
  <c r="A2401" i="5"/>
  <c r="T2400" i="5"/>
  <c r="K2400" i="5"/>
  <c r="J2400" i="5"/>
  <c r="C2400" i="5"/>
  <c r="A2400" i="5"/>
  <c r="T2399" i="5"/>
  <c r="S310" i="8"/>
  <c r="C2399" i="5"/>
  <c r="C310" i="8" s="1"/>
  <c r="A2399" i="5"/>
  <c r="T2398" i="5"/>
  <c r="K2398" i="5"/>
  <c r="J2398" i="5"/>
  <c r="C2398" i="5"/>
  <c r="A2398" i="5"/>
  <c r="T2397" i="5"/>
  <c r="K2397" i="5"/>
  <c r="J2397" i="5"/>
  <c r="C2397" i="5"/>
  <c r="A2397" i="5"/>
  <c r="T2396" i="5"/>
  <c r="S309" i="8"/>
  <c r="C2396" i="5"/>
  <c r="C309" i="8" s="1"/>
  <c r="A2396" i="5"/>
  <c r="T2395" i="5"/>
  <c r="C2395" i="5"/>
  <c r="C308" i="8" s="1"/>
  <c r="A2395" i="5"/>
  <c r="T2394" i="5"/>
  <c r="K2394" i="5"/>
  <c r="J2394" i="5"/>
  <c r="C2394" i="5"/>
  <c r="A2394" i="5"/>
  <c r="T2393" i="5"/>
  <c r="S307" i="8"/>
  <c r="C2393" i="5"/>
  <c r="C307" i="8" s="1"/>
  <c r="A2393" i="5"/>
  <c r="T2392" i="5"/>
  <c r="K2392" i="5"/>
  <c r="J2392" i="5"/>
  <c r="C2392" i="5"/>
  <c r="A2392" i="5"/>
  <c r="T2391" i="5"/>
  <c r="K2391" i="5"/>
  <c r="J2391" i="5"/>
  <c r="C2391" i="5"/>
  <c r="A2391" i="5"/>
  <c r="T2390" i="5"/>
  <c r="K2390" i="5"/>
  <c r="J2390" i="5"/>
  <c r="C2390" i="5"/>
  <c r="A2390" i="5"/>
  <c r="T2389" i="5"/>
  <c r="K2389" i="5"/>
  <c r="J2389" i="5"/>
  <c r="C2389" i="5"/>
  <c r="A2389" i="5"/>
  <c r="T2388" i="5"/>
  <c r="S306" i="8"/>
  <c r="C2388" i="5"/>
  <c r="C306" i="8" s="1"/>
  <c r="A2388" i="5"/>
  <c r="T2387" i="5"/>
  <c r="K2387" i="5"/>
  <c r="J2387" i="5"/>
  <c r="C2387" i="5"/>
  <c r="A2387" i="5"/>
  <c r="T2386" i="5"/>
  <c r="K2386" i="5"/>
  <c r="J2386" i="5"/>
  <c r="C2386" i="5"/>
  <c r="A2386" i="5"/>
  <c r="T2385" i="5"/>
  <c r="S305" i="8"/>
  <c r="C2385" i="5"/>
  <c r="C305" i="8" s="1"/>
  <c r="A2385" i="5"/>
  <c r="T2384" i="5"/>
  <c r="C2384" i="5"/>
  <c r="C304" i="8" s="1"/>
  <c r="A2384" i="5"/>
  <c r="T2374" i="5"/>
  <c r="K2374" i="5"/>
  <c r="J2374" i="5"/>
  <c r="C2374" i="5"/>
  <c r="A2374" i="5"/>
  <c r="T2373" i="5"/>
  <c r="K2373" i="5"/>
  <c r="J2373" i="5"/>
  <c r="C2373" i="5"/>
  <c r="A2373" i="5"/>
  <c r="T2372" i="5"/>
  <c r="K2372" i="5"/>
  <c r="J2372" i="5"/>
  <c r="C2372" i="5"/>
  <c r="A2372" i="5"/>
  <c r="T2371" i="5"/>
  <c r="S300" i="8"/>
  <c r="C2371" i="5"/>
  <c r="C300" i="8" s="1"/>
  <c r="A2371" i="5"/>
  <c r="T2370" i="5"/>
  <c r="K2370" i="5"/>
  <c r="J2370" i="5"/>
  <c r="C2370" i="5"/>
  <c r="A2370" i="5"/>
  <c r="T2369" i="5"/>
  <c r="K2369" i="5"/>
  <c r="J2369" i="5"/>
  <c r="C2369" i="5"/>
  <c r="A2369" i="5"/>
  <c r="T2368" i="5"/>
  <c r="S299" i="8"/>
  <c r="C2368" i="5"/>
  <c r="C299" i="8" s="1"/>
  <c r="A2368" i="5"/>
  <c r="T2367" i="5"/>
  <c r="C2367" i="5"/>
  <c r="C298" i="8" s="1"/>
  <c r="A2367" i="5"/>
  <c r="T2364" i="5"/>
  <c r="K2364" i="5"/>
  <c r="J2364" i="5"/>
  <c r="C2364" i="5"/>
  <c r="A2364" i="5"/>
  <c r="T2363" i="5"/>
  <c r="U297" i="8" s="1"/>
  <c r="K2363" i="5"/>
  <c r="J2363" i="5"/>
  <c r="C2363" i="5"/>
  <c r="A2363" i="5"/>
  <c r="T2362" i="5"/>
  <c r="S296" i="8"/>
  <c r="C2362" i="5"/>
  <c r="C296" i="8" s="1"/>
  <c r="A2362" i="5"/>
  <c r="T2361" i="5"/>
  <c r="K2361" i="5"/>
  <c r="J2361" i="5"/>
  <c r="C2361" i="5"/>
  <c r="A2361" i="5"/>
  <c r="T2360" i="5"/>
  <c r="K2360" i="5"/>
  <c r="J2360" i="5"/>
  <c r="C2360" i="5"/>
  <c r="A2360" i="5"/>
  <c r="T2359" i="5"/>
  <c r="S295" i="8"/>
  <c r="C2359" i="5"/>
  <c r="C295" i="8" s="1"/>
  <c r="A2359" i="5"/>
  <c r="T2358" i="5"/>
  <c r="C2358" i="5"/>
  <c r="C294" i="8" s="1"/>
  <c r="A2358" i="5"/>
  <c r="T2357" i="5"/>
  <c r="K2357" i="5"/>
  <c r="J2357" i="5"/>
  <c r="C2357" i="5"/>
  <c r="A2357" i="5"/>
  <c r="T2356" i="5"/>
  <c r="S293" i="8"/>
  <c r="C2356" i="5"/>
  <c r="C293" i="8" s="1"/>
  <c r="A2356" i="5"/>
  <c r="T2355" i="5"/>
  <c r="K2355" i="5"/>
  <c r="J2355" i="5"/>
  <c r="C2355" i="5"/>
  <c r="A2355" i="5"/>
  <c r="T2354" i="5"/>
  <c r="S292" i="8"/>
  <c r="C2354" i="5"/>
  <c r="C292" i="8" s="1"/>
  <c r="A2354" i="5"/>
  <c r="T2353" i="5"/>
  <c r="K2353" i="5"/>
  <c r="J2353" i="5"/>
  <c r="C2353" i="5"/>
  <c r="A2353" i="5"/>
  <c r="T2352" i="5"/>
  <c r="S291" i="8"/>
  <c r="C2352" i="5"/>
  <c r="C291" i="8" s="1"/>
  <c r="A2352" i="5"/>
  <c r="T2351" i="5"/>
  <c r="C2351" i="5"/>
  <c r="C290" i="8" s="1"/>
  <c r="A2351" i="5"/>
  <c r="T2350" i="5"/>
  <c r="K2350" i="5"/>
  <c r="J2350" i="5"/>
  <c r="C2350" i="5"/>
  <c r="A2350" i="5"/>
  <c r="T2349" i="5"/>
  <c r="K2349" i="5"/>
  <c r="J2349" i="5"/>
  <c r="C2349" i="5"/>
  <c r="A2349" i="5"/>
  <c r="T2348" i="5"/>
  <c r="S289" i="8"/>
  <c r="C2348" i="5"/>
  <c r="C289" i="8" s="1"/>
  <c r="A2348" i="5"/>
  <c r="T2347" i="5"/>
  <c r="K2347" i="5"/>
  <c r="J2347" i="5"/>
  <c r="C2347" i="5"/>
  <c r="A2347" i="5"/>
  <c r="T2346" i="5"/>
  <c r="S288" i="8"/>
  <c r="C2346" i="5"/>
  <c r="C288" i="8" s="1"/>
  <c r="A2346" i="5"/>
  <c r="T2345" i="5"/>
  <c r="C2345" i="5"/>
  <c r="C287" i="8" s="1"/>
  <c r="A2345" i="5"/>
  <c r="T2344" i="5"/>
  <c r="K2344" i="5"/>
  <c r="J2344" i="5"/>
  <c r="C2344" i="5"/>
  <c r="A2344" i="5"/>
  <c r="T2343" i="5"/>
  <c r="S286" i="8"/>
  <c r="C2343" i="5"/>
  <c r="C286" i="8" s="1"/>
  <c r="A2343" i="5"/>
  <c r="T2342" i="5"/>
  <c r="K2342" i="5"/>
  <c r="J2342" i="5"/>
  <c r="C2342" i="5"/>
  <c r="A2342" i="5"/>
  <c r="T2341" i="5"/>
  <c r="K2341" i="5"/>
  <c r="J2341" i="5"/>
  <c r="C2341" i="5"/>
  <c r="A2341" i="5"/>
  <c r="T2340" i="5"/>
  <c r="K2340" i="5"/>
  <c r="J2340" i="5"/>
  <c r="C2340" i="5"/>
  <c r="A2340" i="5"/>
  <c r="T2339" i="5"/>
  <c r="S285" i="8"/>
  <c r="C2339" i="5"/>
  <c r="C285" i="8" s="1"/>
  <c r="A2339" i="5"/>
  <c r="T2338" i="5"/>
  <c r="C2338" i="5"/>
  <c r="C284" i="8" s="1"/>
  <c r="A2338" i="5"/>
  <c r="T2328" i="5"/>
  <c r="C2328" i="5"/>
  <c r="C280" i="8" s="1"/>
  <c r="A2328" i="5"/>
  <c r="T440" i="8"/>
  <c r="T2320" i="5"/>
  <c r="K2320" i="5"/>
  <c r="J2320" i="5"/>
  <c r="C2320" i="5"/>
  <c r="A2320" i="5"/>
  <c r="T2319" i="5"/>
  <c r="U278" i="8" s="1"/>
  <c r="K2319" i="5"/>
  <c r="J2319" i="5"/>
  <c r="C2319" i="5"/>
  <c r="A2319" i="5"/>
  <c r="T2318" i="5"/>
  <c r="U277" i="8" s="1"/>
  <c r="K2318" i="5"/>
  <c r="J2318" i="5"/>
  <c r="C2318" i="5"/>
  <c r="A2318" i="5"/>
  <c r="T2317" i="5"/>
  <c r="S275" i="8"/>
  <c r="S442" i="8" s="1"/>
  <c r="R442" i="8"/>
  <c r="C2317" i="5"/>
  <c r="C275" i="8" s="1"/>
  <c r="A2317" i="5"/>
  <c r="T2316" i="5"/>
  <c r="C2316" i="5"/>
  <c r="C274" i="8" s="1"/>
  <c r="A2316" i="5"/>
  <c r="T2315" i="5"/>
  <c r="K2315" i="5"/>
  <c r="J2315" i="5"/>
  <c r="C2315" i="5"/>
  <c r="A2315" i="5"/>
  <c r="T2314" i="5"/>
  <c r="S273" i="8"/>
  <c r="S440" i="8" s="1"/>
  <c r="R440" i="8"/>
  <c r="C2314" i="5"/>
  <c r="C273" i="8" s="1"/>
  <c r="A2314" i="5"/>
  <c r="T2313" i="5"/>
  <c r="K2313" i="5"/>
  <c r="J2313" i="5"/>
  <c r="C2313" i="5"/>
  <c r="A2313" i="5"/>
  <c r="T2312" i="5"/>
  <c r="S272" i="8"/>
  <c r="S439" i="8" s="1"/>
  <c r="R439" i="8"/>
  <c r="C2312" i="5"/>
  <c r="C272" i="8" s="1"/>
  <c r="A2312" i="5"/>
  <c r="T2311" i="5"/>
  <c r="C2311" i="5"/>
  <c r="C271" i="8" s="1"/>
  <c r="A2311" i="5"/>
  <c r="T2310" i="5"/>
  <c r="K2310" i="5"/>
  <c r="J2310" i="5"/>
  <c r="C2310" i="5"/>
  <c r="A2310" i="5"/>
  <c r="T2309" i="5"/>
  <c r="S270" i="8"/>
  <c r="C2309" i="5"/>
  <c r="C270" i="8" s="1"/>
  <c r="A2309" i="5"/>
  <c r="T2308" i="5"/>
  <c r="K2308" i="5"/>
  <c r="J2308" i="5"/>
  <c r="C2308" i="5"/>
  <c r="A2308" i="5"/>
  <c r="T2307" i="5"/>
  <c r="S269" i="8"/>
  <c r="C2307" i="5"/>
  <c r="C269" i="8" s="1"/>
  <c r="A2307" i="5"/>
  <c r="T2306" i="5"/>
  <c r="C2306" i="5"/>
  <c r="C268" i="8" s="1"/>
  <c r="A2306" i="5"/>
  <c r="T2305" i="5"/>
  <c r="K2305" i="5"/>
  <c r="J2305" i="5"/>
  <c r="C2305" i="5"/>
  <c r="A2305" i="5"/>
  <c r="T2304" i="5"/>
  <c r="K2304" i="5"/>
  <c r="J2304" i="5"/>
  <c r="C2304" i="5"/>
  <c r="A2304" i="5"/>
  <c r="T2303" i="5"/>
  <c r="K2303" i="5"/>
  <c r="J2303" i="5"/>
  <c r="C2303" i="5"/>
  <c r="A2303" i="5"/>
  <c r="T2302" i="5"/>
  <c r="K2302" i="5"/>
  <c r="J2302" i="5"/>
  <c r="C2302" i="5"/>
  <c r="A2302" i="5"/>
  <c r="T2301" i="5"/>
  <c r="S267" i="8"/>
  <c r="C2301" i="5"/>
  <c r="C267" i="8" s="1"/>
  <c r="A2301" i="5"/>
  <c r="T2300" i="5"/>
  <c r="K2300" i="5"/>
  <c r="J2300" i="5"/>
  <c r="C2300" i="5"/>
  <c r="A2300" i="5"/>
  <c r="T2299" i="5"/>
  <c r="K2299" i="5"/>
  <c r="J2299" i="5"/>
  <c r="C2299" i="5"/>
  <c r="A2299" i="5"/>
  <c r="T2298" i="5"/>
  <c r="K2298" i="5"/>
  <c r="J2298" i="5"/>
  <c r="C2298" i="5"/>
  <c r="A2298" i="5"/>
  <c r="T2297" i="5"/>
  <c r="K2297" i="5"/>
  <c r="J2297" i="5"/>
  <c r="C2297" i="5"/>
  <c r="A2297" i="5"/>
  <c r="T2296" i="5"/>
  <c r="S266" i="8"/>
  <c r="C2296" i="5"/>
  <c r="C266" i="8" s="1"/>
  <c r="A2296" i="5"/>
  <c r="T2295" i="5"/>
  <c r="K2295" i="5"/>
  <c r="J2295" i="5"/>
  <c r="C2295" i="5"/>
  <c r="A2295" i="5"/>
  <c r="T2294" i="5"/>
  <c r="K2294" i="5"/>
  <c r="J2294" i="5"/>
  <c r="C2294" i="5"/>
  <c r="A2294" i="5"/>
  <c r="T2293" i="5"/>
  <c r="K2293" i="5"/>
  <c r="J2293" i="5"/>
  <c r="C2293" i="5"/>
  <c r="A2293" i="5"/>
  <c r="T2292" i="5"/>
  <c r="K2292" i="5"/>
  <c r="J2292" i="5"/>
  <c r="C2292" i="5"/>
  <c r="A2292" i="5"/>
  <c r="T2291" i="5"/>
  <c r="S265" i="8"/>
  <c r="C2291" i="5"/>
  <c r="C265" i="8" s="1"/>
  <c r="A2291" i="5"/>
  <c r="T2290" i="5"/>
  <c r="C2290" i="5"/>
  <c r="C264" i="8" s="1"/>
  <c r="A2290" i="5"/>
  <c r="T2289" i="5"/>
  <c r="C2289" i="5"/>
  <c r="C263" i="8" s="1"/>
  <c r="A2289" i="5"/>
  <c r="T2288" i="5"/>
  <c r="K2288" i="5"/>
  <c r="J2288" i="5"/>
  <c r="C2288" i="5"/>
  <c r="A2288" i="5"/>
  <c r="T2287" i="5"/>
  <c r="S262" i="8"/>
  <c r="C2287" i="5"/>
  <c r="C262" i="8" s="1"/>
  <c r="A2287" i="5"/>
  <c r="T2286" i="5"/>
  <c r="K2286" i="5"/>
  <c r="J2286" i="5"/>
  <c r="C2286" i="5"/>
  <c r="A2286" i="5"/>
  <c r="T2285" i="5"/>
  <c r="S261" i="8"/>
  <c r="C2285" i="5"/>
  <c r="C261" i="8" s="1"/>
  <c r="A2285" i="5"/>
  <c r="T2284" i="5"/>
  <c r="K2284" i="5"/>
  <c r="J2284" i="5"/>
  <c r="C2284" i="5"/>
  <c r="A2284" i="5"/>
  <c r="T2283" i="5"/>
  <c r="K2283" i="5"/>
  <c r="J2283" i="5"/>
  <c r="C2283" i="5"/>
  <c r="A2283" i="5"/>
  <c r="T2282" i="5"/>
  <c r="S260" i="8"/>
  <c r="C2282" i="5"/>
  <c r="C260" i="8" s="1"/>
  <c r="A2282" i="5"/>
  <c r="T2281" i="5"/>
  <c r="K2281" i="5"/>
  <c r="J2281" i="5"/>
  <c r="C2281" i="5"/>
  <c r="A2281" i="5"/>
  <c r="T2280" i="5"/>
  <c r="S259" i="8"/>
  <c r="C2280" i="5"/>
  <c r="C259" i="8" s="1"/>
  <c r="A2280" i="5"/>
  <c r="T2279" i="5"/>
  <c r="C2279" i="5"/>
  <c r="C258" i="8" s="1"/>
  <c r="A2279" i="5"/>
  <c r="T2278" i="5"/>
  <c r="K2278" i="5"/>
  <c r="J2278" i="5"/>
  <c r="C2278" i="5"/>
  <c r="A2278" i="5"/>
  <c r="T2277" i="5"/>
  <c r="S257" i="8"/>
  <c r="C2277" i="5"/>
  <c r="C257" i="8" s="1"/>
  <c r="A2277" i="5"/>
  <c r="T2276" i="5"/>
  <c r="K2276" i="5"/>
  <c r="J2276" i="5"/>
  <c r="C2276" i="5"/>
  <c r="A2276" i="5"/>
  <c r="T2275" i="5"/>
  <c r="K2275" i="5"/>
  <c r="J2275" i="5"/>
  <c r="C2275" i="5"/>
  <c r="A2275" i="5"/>
  <c r="T2274" i="5"/>
  <c r="K2274" i="5"/>
  <c r="J2274" i="5"/>
  <c r="C2274" i="5"/>
  <c r="A2274" i="5"/>
  <c r="T2273" i="5"/>
  <c r="S256" i="8"/>
  <c r="C2273" i="5"/>
  <c r="C256" i="8" s="1"/>
  <c r="A2273" i="5"/>
  <c r="T2272" i="5"/>
  <c r="K2272" i="5"/>
  <c r="J2272" i="5"/>
  <c r="C2272" i="5"/>
  <c r="A2272" i="5"/>
  <c r="T2271" i="5"/>
  <c r="K2271" i="5"/>
  <c r="J2271" i="5"/>
  <c r="C2271" i="5"/>
  <c r="A2271" i="5"/>
  <c r="T2270" i="5"/>
  <c r="K2270" i="5"/>
  <c r="J2270" i="5"/>
  <c r="C2270" i="5"/>
  <c r="A2270" i="5"/>
  <c r="T2269" i="5"/>
  <c r="S255" i="8"/>
  <c r="C2269" i="5"/>
  <c r="C255" i="8" s="1"/>
  <c r="A2269" i="5"/>
  <c r="T2268" i="5"/>
  <c r="C2268" i="5"/>
  <c r="C254" i="8" s="1"/>
  <c r="A2268" i="5"/>
  <c r="T2267" i="5"/>
  <c r="K2267" i="5"/>
  <c r="J2267" i="5"/>
  <c r="C2267" i="5"/>
  <c r="A2267" i="5"/>
  <c r="T2266" i="5"/>
  <c r="K2266" i="5"/>
  <c r="J2266" i="5"/>
  <c r="C2266" i="5"/>
  <c r="A2266" i="5"/>
  <c r="T2265" i="5"/>
  <c r="K2265" i="5"/>
  <c r="J2265" i="5"/>
  <c r="C2265" i="5"/>
  <c r="A2265" i="5"/>
  <c r="T2264" i="5"/>
  <c r="K2264" i="5"/>
  <c r="J2264" i="5"/>
  <c r="C2264" i="5"/>
  <c r="A2264" i="5"/>
  <c r="T2263" i="5"/>
  <c r="S253" i="8"/>
  <c r="C2263" i="5"/>
  <c r="C253" i="8" s="1"/>
  <c r="A2263" i="5"/>
  <c r="T2262" i="5"/>
  <c r="K2262" i="5"/>
  <c r="J2262" i="5"/>
  <c r="C2262" i="5"/>
  <c r="A2262" i="5"/>
  <c r="T2261" i="5"/>
  <c r="K2261" i="5"/>
  <c r="J2261" i="5"/>
  <c r="C2261" i="5"/>
  <c r="A2261" i="5"/>
  <c r="T2260" i="5"/>
  <c r="S252" i="8"/>
  <c r="C2260" i="5"/>
  <c r="C252" i="8" s="1"/>
  <c r="A2260" i="5"/>
  <c r="T2259" i="5"/>
  <c r="K2259" i="5"/>
  <c r="J2259" i="5"/>
  <c r="C2259" i="5"/>
  <c r="A2259" i="5"/>
  <c r="T2258" i="5"/>
  <c r="S251" i="8"/>
  <c r="C2258" i="5"/>
  <c r="C251" i="8" s="1"/>
  <c r="A2258" i="5"/>
  <c r="T2257" i="5"/>
  <c r="K2257" i="5"/>
  <c r="J2257" i="5"/>
  <c r="C2257" i="5"/>
  <c r="A2257" i="5"/>
  <c r="T2256" i="5"/>
  <c r="S250" i="8"/>
  <c r="C2256" i="5"/>
  <c r="C250" i="8" s="1"/>
  <c r="A2256" i="5"/>
  <c r="T2255" i="5"/>
  <c r="K2255" i="5"/>
  <c r="J2255" i="5"/>
  <c r="C2255" i="5"/>
  <c r="A2255" i="5"/>
  <c r="T2254" i="5"/>
  <c r="S249" i="8"/>
  <c r="C2254" i="5"/>
  <c r="C249" i="8" s="1"/>
  <c r="A2254" i="5"/>
  <c r="T2253" i="5"/>
  <c r="C2253" i="5"/>
  <c r="C248" i="8" s="1"/>
  <c r="A2253" i="5"/>
  <c r="T2252" i="5"/>
  <c r="K2252" i="5"/>
  <c r="J2252" i="5"/>
  <c r="C2252" i="5"/>
  <c r="A2252" i="5"/>
  <c r="T2251" i="5"/>
  <c r="K2251" i="5"/>
  <c r="J2251" i="5"/>
  <c r="C2251" i="5"/>
  <c r="A2251" i="5"/>
  <c r="T2250" i="5"/>
  <c r="S247" i="8"/>
  <c r="C2250" i="5"/>
  <c r="C247" i="8" s="1"/>
  <c r="A2250" i="5"/>
  <c r="T2249" i="5"/>
  <c r="K2249" i="5"/>
  <c r="J2249" i="5"/>
  <c r="C2249" i="5"/>
  <c r="A2249" i="5"/>
  <c r="T2248" i="5"/>
  <c r="K2248" i="5"/>
  <c r="J2248" i="5"/>
  <c r="C2248" i="5"/>
  <c r="A2248" i="5"/>
  <c r="T2247" i="5"/>
  <c r="S246" i="8"/>
  <c r="C2247" i="5"/>
  <c r="C246" i="8" s="1"/>
  <c r="A2247" i="5"/>
  <c r="T2246" i="5"/>
  <c r="C2246" i="5"/>
  <c r="C245" i="8" s="1"/>
  <c r="A2246" i="5"/>
  <c r="T2245" i="5"/>
  <c r="K2245" i="5"/>
  <c r="J2245" i="5"/>
  <c r="C2245" i="5"/>
  <c r="A2245" i="5"/>
  <c r="T2244" i="5"/>
  <c r="K2244" i="5"/>
  <c r="J2244" i="5"/>
  <c r="C2244" i="5"/>
  <c r="A2244" i="5"/>
  <c r="T2243" i="5"/>
  <c r="K2243" i="5"/>
  <c r="J2243" i="5"/>
  <c r="C2243" i="5"/>
  <c r="A2243" i="5"/>
  <c r="T2242" i="5"/>
  <c r="S244" i="8"/>
  <c r="C2242" i="5"/>
  <c r="C244" i="8" s="1"/>
  <c r="A2242" i="5"/>
  <c r="T2241" i="5"/>
  <c r="K2241" i="5"/>
  <c r="J2241" i="5"/>
  <c r="C2241" i="5"/>
  <c r="A2241" i="5"/>
  <c r="T2240" i="5"/>
  <c r="K2240" i="5"/>
  <c r="J2240" i="5"/>
  <c r="C2240" i="5"/>
  <c r="A2240" i="5"/>
  <c r="T2239" i="5"/>
  <c r="S243" i="8"/>
  <c r="C2239" i="5"/>
  <c r="C243" i="8" s="1"/>
  <c r="A2239" i="5"/>
  <c r="T2238" i="5"/>
  <c r="K2238" i="5"/>
  <c r="J2238" i="5"/>
  <c r="C2238" i="5"/>
  <c r="A2238" i="5"/>
  <c r="T2237" i="5"/>
  <c r="K2237" i="5"/>
  <c r="J2237" i="5"/>
  <c r="C2237" i="5"/>
  <c r="A2237" i="5"/>
  <c r="T2236" i="5"/>
  <c r="S242" i="8"/>
  <c r="C2236" i="5"/>
  <c r="C242" i="8" s="1"/>
  <c r="A2236" i="5"/>
  <c r="T2235" i="5"/>
  <c r="K2235" i="5"/>
  <c r="J2235" i="5"/>
  <c r="C2235" i="5"/>
  <c r="A2235" i="5"/>
  <c r="T2234" i="5"/>
  <c r="K2234" i="5"/>
  <c r="J2234" i="5"/>
  <c r="C2234" i="5"/>
  <c r="A2234" i="5"/>
  <c r="T2233" i="5"/>
  <c r="S241" i="8"/>
  <c r="C2233" i="5"/>
  <c r="C241" i="8" s="1"/>
  <c r="A2233" i="5"/>
  <c r="T2232" i="5"/>
  <c r="C2232" i="5"/>
  <c r="C240" i="8" s="1"/>
  <c r="A2232" i="5"/>
  <c r="T2231" i="5"/>
  <c r="K2231" i="5"/>
  <c r="J2231" i="5"/>
  <c r="C2231" i="5"/>
  <c r="A2231" i="5"/>
  <c r="T2230" i="5"/>
  <c r="K2230" i="5"/>
  <c r="J2230" i="5"/>
  <c r="C2230" i="5"/>
  <c r="A2230" i="5"/>
  <c r="T2229" i="5"/>
  <c r="K2229" i="5"/>
  <c r="J2229" i="5"/>
  <c r="C2229" i="5"/>
  <c r="A2229" i="5"/>
  <c r="T2228" i="5"/>
  <c r="K2228" i="5"/>
  <c r="J2228" i="5"/>
  <c r="C2228" i="5"/>
  <c r="A2228" i="5"/>
  <c r="T2227" i="5"/>
  <c r="S239" i="8"/>
  <c r="C2227" i="5"/>
  <c r="C239" i="8" s="1"/>
  <c r="A2227" i="5"/>
  <c r="T2226" i="5"/>
  <c r="K2226" i="5"/>
  <c r="J2226" i="5"/>
  <c r="C2226" i="5"/>
  <c r="A2226" i="5"/>
  <c r="T2225" i="5"/>
  <c r="K2225" i="5"/>
  <c r="J2225" i="5"/>
  <c r="C2225" i="5"/>
  <c r="A2225" i="5"/>
  <c r="T2224" i="5"/>
  <c r="S238" i="8"/>
  <c r="C2224" i="5"/>
  <c r="C238" i="8" s="1"/>
  <c r="A2224" i="5"/>
  <c r="T2223" i="5"/>
  <c r="C2223" i="5"/>
  <c r="C237" i="8" s="1"/>
  <c r="A2223" i="5"/>
  <c r="T2222" i="5"/>
  <c r="K2222" i="5"/>
  <c r="J2222" i="5"/>
  <c r="C2222" i="5"/>
  <c r="A2222" i="5"/>
  <c r="T2221" i="5"/>
  <c r="K2221" i="5"/>
  <c r="J2221" i="5"/>
  <c r="C2221" i="5"/>
  <c r="A2221" i="5"/>
  <c r="S236" i="8"/>
  <c r="C2220" i="5"/>
  <c r="C236" i="8" s="1"/>
  <c r="A2220" i="5"/>
  <c r="K2219" i="5"/>
  <c r="J2219" i="5"/>
  <c r="C2219" i="5"/>
  <c r="A2219" i="5"/>
  <c r="K2218" i="5"/>
  <c r="J2218" i="5"/>
  <c r="C2218" i="5"/>
  <c r="A2218" i="5"/>
  <c r="K2217" i="5"/>
  <c r="J2217" i="5"/>
  <c r="C2217" i="5"/>
  <c r="A2217" i="5"/>
  <c r="S235" i="8"/>
  <c r="C2216" i="5"/>
  <c r="C235" i="8" s="1"/>
  <c r="A2216" i="5"/>
  <c r="T2215" i="5"/>
  <c r="C2215" i="5"/>
  <c r="C234" i="8" s="1"/>
  <c r="A2215" i="5"/>
  <c r="T2214" i="5"/>
  <c r="K2214" i="5"/>
  <c r="J2214" i="5"/>
  <c r="C2214" i="5"/>
  <c r="A2214" i="5"/>
  <c r="T2213" i="5"/>
  <c r="S233" i="8"/>
  <c r="C2213" i="5"/>
  <c r="C233" i="8" s="1"/>
  <c r="A2213" i="5"/>
  <c r="T2212" i="5"/>
  <c r="K2212" i="5"/>
  <c r="J2212" i="5"/>
  <c r="C2212" i="5"/>
  <c r="A2212" i="5"/>
  <c r="T2211" i="5"/>
  <c r="S232" i="8"/>
  <c r="C2211" i="5"/>
  <c r="C232" i="8" s="1"/>
  <c r="A2211" i="5"/>
  <c r="T2210" i="5"/>
  <c r="K2210" i="5"/>
  <c r="J2210" i="5"/>
  <c r="C2210" i="5"/>
  <c r="A2210" i="5"/>
  <c r="T2209" i="5"/>
  <c r="K2209" i="5"/>
  <c r="J2209" i="5"/>
  <c r="C2209" i="5"/>
  <c r="A2209" i="5"/>
  <c r="T2208" i="5"/>
  <c r="K2208" i="5"/>
  <c r="J2208" i="5"/>
  <c r="C2208" i="5"/>
  <c r="A2208" i="5"/>
  <c r="T2207" i="5"/>
  <c r="K2207" i="5"/>
  <c r="J2207" i="5"/>
  <c r="C2207" i="5"/>
  <c r="A2207" i="5"/>
  <c r="T2206" i="5"/>
  <c r="S231" i="8"/>
  <c r="C2206" i="5"/>
  <c r="C231" i="8" s="1"/>
  <c r="A2206" i="5"/>
  <c r="T2205" i="5"/>
  <c r="C2205" i="5"/>
  <c r="C230" i="8" s="1"/>
  <c r="A2205" i="5"/>
  <c r="T2204" i="5"/>
  <c r="K2204" i="5"/>
  <c r="J2204" i="5"/>
  <c r="C2204" i="5"/>
  <c r="A2204" i="5"/>
  <c r="T2203" i="5"/>
  <c r="K2203" i="5"/>
  <c r="J2203" i="5"/>
  <c r="C2203" i="5"/>
  <c r="A2203" i="5"/>
  <c r="T2202" i="5"/>
  <c r="S229" i="8"/>
  <c r="C2202" i="5"/>
  <c r="C229" i="8" s="1"/>
  <c r="A2202" i="5"/>
  <c r="T2201" i="5"/>
  <c r="K2201" i="5"/>
  <c r="J2201" i="5"/>
  <c r="C2201" i="5"/>
  <c r="A2201" i="5"/>
  <c r="T2200" i="5"/>
  <c r="K2200" i="5"/>
  <c r="J2200" i="5"/>
  <c r="C2200" i="5"/>
  <c r="A2200" i="5"/>
  <c r="T2199" i="5"/>
  <c r="S228" i="8"/>
  <c r="C2199" i="5"/>
  <c r="C228" i="8" s="1"/>
  <c r="A2199" i="5"/>
  <c r="T2198" i="5"/>
  <c r="C2198" i="5"/>
  <c r="C227" i="8" s="1"/>
  <c r="A2198" i="5"/>
  <c r="T2197" i="5"/>
  <c r="K2197" i="5"/>
  <c r="J2197" i="5"/>
  <c r="C2197" i="5"/>
  <c r="A2197" i="5"/>
  <c r="T2196" i="5"/>
  <c r="K2196" i="5"/>
  <c r="J2196" i="5"/>
  <c r="C2196" i="5"/>
  <c r="A2196" i="5"/>
  <c r="T2195" i="5"/>
  <c r="S226" i="8"/>
  <c r="C2195" i="5"/>
  <c r="C226" i="8" s="1"/>
  <c r="A2195" i="5"/>
  <c r="T2194" i="5"/>
  <c r="K2194" i="5"/>
  <c r="J2194" i="5"/>
  <c r="C2194" i="5"/>
  <c r="A2194" i="5"/>
  <c r="T2193" i="5"/>
  <c r="K2193" i="5"/>
  <c r="J2193" i="5"/>
  <c r="C2193" i="5"/>
  <c r="A2193" i="5"/>
  <c r="T2192" i="5"/>
  <c r="K2192" i="5"/>
  <c r="J2192" i="5"/>
  <c r="C2192" i="5"/>
  <c r="A2192" i="5"/>
  <c r="T2191" i="5"/>
  <c r="S225" i="8"/>
  <c r="C2191" i="5"/>
  <c r="C225" i="8" s="1"/>
  <c r="A2191" i="5"/>
  <c r="T2190" i="5"/>
  <c r="C2190" i="5"/>
  <c r="C224" i="8" s="1"/>
  <c r="A2190" i="5"/>
  <c r="T2189" i="5"/>
  <c r="K2189" i="5"/>
  <c r="J2189" i="5"/>
  <c r="C2189" i="5"/>
  <c r="A2189" i="5"/>
  <c r="T2188" i="5"/>
  <c r="K2188" i="5"/>
  <c r="J2188" i="5"/>
  <c r="C2188" i="5"/>
  <c r="A2188" i="5"/>
  <c r="T2187" i="5"/>
  <c r="K2187" i="5"/>
  <c r="J2187" i="5"/>
  <c r="C2187" i="5"/>
  <c r="A2187" i="5"/>
  <c r="T2186" i="5"/>
  <c r="S223" i="8"/>
  <c r="C2186" i="5"/>
  <c r="C223" i="8" s="1"/>
  <c r="A2186" i="5"/>
  <c r="T2185" i="5"/>
  <c r="K2185" i="5"/>
  <c r="J2185" i="5"/>
  <c r="C2185" i="5"/>
  <c r="A2185" i="5"/>
  <c r="T2184" i="5"/>
  <c r="S222" i="8"/>
  <c r="C2184" i="5"/>
  <c r="C222" i="8" s="1"/>
  <c r="A2184" i="5"/>
  <c r="T2183" i="5"/>
  <c r="C2183" i="5"/>
  <c r="C221" i="8" s="1"/>
  <c r="A2183" i="5"/>
  <c r="T2182" i="5"/>
  <c r="K2182" i="5"/>
  <c r="J2182" i="5"/>
  <c r="C2182" i="5"/>
  <c r="A2182" i="5"/>
  <c r="T2181" i="5"/>
  <c r="K2181" i="5"/>
  <c r="J2181" i="5"/>
  <c r="C2181" i="5"/>
  <c r="A2181" i="5"/>
  <c r="T2180" i="5"/>
  <c r="S220" i="8"/>
  <c r="C2180" i="5"/>
  <c r="C220" i="8" s="1"/>
  <c r="A2180" i="5"/>
  <c r="T2179" i="5"/>
  <c r="C2179" i="5"/>
  <c r="C219" i="8" s="1"/>
  <c r="A2179" i="5"/>
  <c r="T2178" i="5"/>
  <c r="K2178" i="5"/>
  <c r="J2178" i="5"/>
  <c r="C2178" i="5"/>
  <c r="A2178" i="5"/>
  <c r="T2177" i="5"/>
  <c r="S218" i="8"/>
  <c r="C2177" i="5"/>
  <c r="C218" i="8" s="1"/>
  <c r="A2177" i="5"/>
  <c r="T2176" i="5"/>
  <c r="C2176" i="5"/>
  <c r="C217" i="8" s="1"/>
  <c r="A2176" i="5"/>
  <c r="T2175" i="5"/>
  <c r="C2175" i="5"/>
  <c r="C216" i="8" s="1"/>
  <c r="A2175" i="5"/>
  <c r="T2174" i="5"/>
  <c r="K2174" i="5"/>
  <c r="J2174" i="5"/>
  <c r="C2174" i="5"/>
  <c r="A2174" i="5"/>
  <c r="T2173" i="5"/>
  <c r="K2173" i="5"/>
  <c r="J2173" i="5"/>
  <c r="C2173" i="5"/>
  <c r="A2173" i="5"/>
  <c r="T2172" i="5"/>
  <c r="S215" i="8"/>
  <c r="C2172" i="5"/>
  <c r="C215" i="8" s="1"/>
  <c r="A2172" i="5"/>
  <c r="T2171" i="5"/>
  <c r="K2171" i="5"/>
  <c r="J2171" i="5"/>
  <c r="C2171" i="5"/>
  <c r="A2171" i="5"/>
  <c r="T2170" i="5"/>
  <c r="S214" i="8"/>
  <c r="C2170" i="5"/>
  <c r="C214" i="8" s="1"/>
  <c r="A2170" i="5"/>
  <c r="T2169" i="5"/>
  <c r="K2169" i="5"/>
  <c r="J2169" i="5"/>
  <c r="C2169" i="5"/>
  <c r="A2169" i="5"/>
  <c r="T2168" i="5"/>
  <c r="S213" i="8"/>
  <c r="C2168" i="5"/>
  <c r="C213" i="8" s="1"/>
  <c r="A2168" i="5"/>
  <c r="T2167" i="5"/>
  <c r="K2167" i="5"/>
  <c r="J2167" i="5"/>
  <c r="C2167" i="5"/>
  <c r="A2167" i="5"/>
  <c r="T2166" i="5"/>
  <c r="S212" i="8"/>
  <c r="C2166" i="5"/>
  <c r="C212" i="8" s="1"/>
  <c r="A2166" i="5"/>
  <c r="T2165" i="5"/>
  <c r="C2165" i="5"/>
  <c r="C211" i="8" s="1"/>
  <c r="A2165" i="5"/>
  <c r="K2162" i="5"/>
  <c r="J2162" i="5"/>
  <c r="C2162" i="5"/>
  <c r="A2162" i="5"/>
  <c r="K2161" i="5"/>
  <c r="J2161" i="5"/>
  <c r="C2161" i="5"/>
  <c r="A2161" i="5"/>
  <c r="S209" i="8"/>
  <c r="C2160" i="5"/>
  <c r="C209" i="8" s="1"/>
  <c r="A2160" i="5"/>
  <c r="K2159" i="5"/>
  <c r="J2159" i="5"/>
  <c r="C2159" i="5"/>
  <c r="A2159" i="5"/>
  <c r="K2158" i="5"/>
  <c r="J2158" i="5"/>
  <c r="C2158" i="5"/>
  <c r="A2158" i="5"/>
  <c r="S208" i="8"/>
  <c r="C2157" i="5"/>
  <c r="C208" i="8" s="1"/>
  <c r="A2157" i="5"/>
  <c r="T419" i="8"/>
  <c r="A2156" i="5"/>
  <c r="T2155" i="5"/>
  <c r="K2155" i="5"/>
  <c r="J2155" i="5"/>
  <c r="C2155" i="5"/>
  <c r="A2155" i="5"/>
  <c r="T2154" i="5"/>
  <c r="S206" i="8"/>
  <c r="C2154" i="5"/>
  <c r="C206" i="8" s="1"/>
  <c r="A2154" i="5"/>
  <c r="T2153" i="5"/>
  <c r="K2153" i="5"/>
  <c r="J2153" i="5"/>
  <c r="C2153" i="5"/>
  <c r="A2153" i="5"/>
  <c r="T2152" i="5"/>
  <c r="K2152" i="5"/>
  <c r="J2152" i="5"/>
  <c r="C2152" i="5"/>
  <c r="A2152" i="5"/>
  <c r="T2151" i="5"/>
  <c r="K2151" i="5"/>
  <c r="J2151" i="5"/>
  <c r="C2151" i="5"/>
  <c r="A2151" i="5"/>
  <c r="T2150" i="5"/>
  <c r="S205" i="8"/>
  <c r="C2150" i="5"/>
  <c r="C205" i="8" s="1"/>
  <c r="A2150" i="5"/>
  <c r="T2149" i="5"/>
  <c r="K2149" i="5"/>
  <c r="J2149" i="5"/>
  <c r="C2149" i="5"/>
  <c r="A2149" i="5"/>
  <c r="T2148" i="5"/>
  <c r="S204" i="8"/>
  <c r="C2148" i="5"/>
  <c r="C204" i="8" s="1"/>
  <c r="A2148" i="5"/>
  <c r="T2147" i="5"/>
  <c r="K2147" i="5"/>
  <c r="J2147" i="5"/>
  <c r="C2147" i="5"/>
  <c r="A2147" i="5"/>
  <c r="T2146" i="5"/>
  <c r="S203" i="8"/>
  <c r="C2146" i="5"/>
  <c r="C203" i="8" s="1"/>
  <c r="A2146" i="5"/>
  <c r="T2145" i="5"/>
  <c r="C2145" i="5"/>
  <c r="C202" i="8" s="1"/>
  <c r="A2145" i="5"/>
  <c r="T2144" i="5"/>
  <c r="K2144" i="5"/>
  <c r="J2144" i="5"/>
  <c r="C2144" i="5"/>
  <c r="A2144" i="5"/>
  <c r="T2143" i="5"/>
  <c r="S201" i="8"/>
  <c r="C2143" i="5"/>
  <c r="C201" i="8" s="1"/>
  <c r="A2143" i="5"/>
  <c r="T2142" i="5"/>
  <c r="K2142" i="5"/>
  <c r="J2142" i="5"/>
  <c r="C2142" i="5"/>
  <c r="A2142" i="5"/>
  <c r="T2141" i="5"/>
  <c r="K2141" i="5"/>
  <c r="J2141" i="5"/>
  <c r="C2141" i="5"/>
  <c r="A2141" i="5"/>
  <c r="T2140" i="5"/>
  <c r="S200" i="8"/>
  <c r="C2140" i="5"/>
  <c r="C200" i="8" s="1"/>
  <c r="A2140" i="5"/>
  <c r="T2139" i="5"/>
  <c r="K2139" i="5"/>
  <c r="J2139" i="5"/>
  <c r="C2139" i="5"/>
  <c r="A2139" i="5"/>
  <c r="T2138" i="5"/>
  <c r="K2138" i="5"/>
  <c r="J2138" i="5"/>
  <c r="C2138" i="5"/>
  <c r="A2138" i="5"/>
  <c r="T2137" i="5"/>
  <c r="S199" i="8"/>
  <c r="C2137" i="5"/>
  <c r="C199" i="8" s="1"/>
  <c r="A2137" i="5"/>
  <c r="T2136" i="5"/>
  <c r="K2136" i="5"/>
  <c r="J2136" i="5"/>
  <c r="C2136" i="5"/>
  <c r="A2136" i="5"/>
  <c r="T2135" i="5"/>
  <c r="K2135" i="5"/>
  <c r="J2135" i="5"/>
  <c r="C2135" i="5"/>
  <c r="A2135" i="5"/>
  <c r="T2134" i="5"/>
  <c r="S198" i="8"/>
  <c r="C2134" i="5"/>
  <c r="C198" i="8" s="1"/>
  <c r="A2134" i="5"/>
  <c r="T2133" i="5"/>
  <c r="C2133" i="5"/>
  <c r="C197" i="8" s="1"/>
  <c r="A2133" i="5"/>
  <c r="T2132" i="5"/>
  <c r="K2132" i="5"/>
  <c r="J2132" i="5"/>
  <c r="C2132" i="5"/>
  <c r="A2132" i="5"/>
  <c r="T2131" i="5"/>
  <c r="K2131" i="5"/>
  <c r="J2131" i="5"/>
  <c r="C2131" i="5"/>
  <c r="A2131" i="5"/>
  <c r="T2130" i="5"/>
  <c r="S196" i="8"/>
  <c r="C2130" i="5"/>
  <c r="C196" i="8" s="1"/>
  <c r="A2130" i="5"/>
  <c r="T2129" i="5"/>
  <c r="K2129" i="5"/>
  <c r="J2129" i="5"/>
  <c r="C2129" i="5"/>
  <c r="A2129" i="5"/>
  <c r="T2128" i="5"/>
  <c r="S195" i="8"/>
  <c r="C2128" i="5"/>
  <c r="C195" i="8" s="1"/>
  <c r="A2128" i="5"/>
  <c r="T2127" i="5"/>
  <c r="C2127" i="5"/>
  <c r="C194" i="8" s="1"/>
  <c r="A2127" i="5"/>
  <c r="T2126" i="5"/>
  <c r="K2126" i="5"/>
  <c r="J2126" i="5"/>
  <c r="C2126" i="5"/>
  <c r="A2126" i="5"/>
  <c r="T2125" i="5"/>
  <c r="S193" i="8"/>
  <c r="C2125" i="5"/>
  <c r="C193" i="8" s="1"/>
  <c r="A2125" i="5"/>
  <c r="T2124" i="5"/>
  <c r="K2124" i="5"/>
  <c r="J2124" i="5"/>
  <c r="C2124" i="5"/>
  <c r="A2124" i="5"/>
  <c r="T2123" i="5"/>
  <c r="K2123" i="5"/>
  <c r="J2123" i="5"/>
  <c r="C2123" i="5"/>
  <c r="A2123" i="5"/>
  <c r="T2122" i="5"/>
  <c r="K2122" i="5"/>
  <c r="J2122" i="5"/>
  <c r="C2122" i="5"/>
  <c r="A2122" i="5"/>
  <c r="T2121" i="5"/>
  <c r="S192" i="8"/>
  <c r="C2121" i="5"/>
  <c r="C192" i="8" s="1"/>
  <c r="A2121" i="5"/>
  <c r="T2120" i="5"/>
  <c r="C2120" i="5"/>
  <c r="C191" i="8" s="1"/>
  <c r="A2120" i="5"/>
  <c r="T2119" i="5"/>
  <c r="K2119" i="5"/>
  <c r="J2119" i="5"/>
  <c r="C2119" i="5"/>
  <c r="A2119" i="5"/>
  <c r="T2118" i="5"/>
  <c r="K2118" i="5"/>
  <c r="J2118" i="5"/>
  <c r="C2118" i="5"/>
  <c r="A2118" i="5"/>
  <c r="T2117" i="5"/>
  <c r="S190" i="8"/>
  <c r="C2117" i="5"/>
  <c r="C190" i="8" s="1"/>
  <c r="A2117" i="5"/>
  <c r="T2116" i="5"/>
  <c r="K2116" i="5"/>
  <c r="J2116" i="5"/>
  <c r="C2116" i="5"/>
  <c r="A2116" i="5"/>
  <c r="T2115" i="5"/>
  <c r="S189" i="8"/>
  <c r="C2115" i="5"/>
  <c r="C189" i="8" s="1"/>
  <c r="A2115" i="5"/>
  <c r="T2114" i="5"/>
  <c r="K2114" i="5"/>
  <c r="J2114" i="5"/>
  <c r="C2114" i="5"/>
  <c r="A2114" i="5"/>
  <c r="T2113" i="5"/>
  <c r="S188" i="8"/>
  <c r="C2113" i="5"/>
  <c r="C188" i="8" s="1"/>
  <c r="A2113" i="5"/>
  <c r="T2112" i="5"/>
  <c r="K2112" i="5"/>
  <c r="J2112" i="5"/>
  <c r="C2112" i="5"/>
  <c r="A2112" i="5"/>
  <c r="T2111" i="5"/>
  <c r="S187" i="8"/>
  <c r="C2111" i="5"/>
  <c r="C187" i="8" s="1"/>
  <c r="A2111" i="5"/>
  <c r="T2110" i="5"/>
  <c r="K2110" i="5"/>
  <c r="J2110" i="5"/>
  <c r="C2110" i="5"/>
  <c r="A2110" i="5"/>
  <c r="T2109" i="5"/>
  <c r="S186" i="8"/>
  <c r="C2109" i="5"/>
  <c r="C186" i="8" s="1"/>
  <c r="A2109" i="5"/>
  <c r="T2108" i="5"/>
  <c r="K2108" i="5"/>
  <c r="J2108" i="5"/>
  <c r="C2108" i="5"/>
  <c r="A2108" i="5"/>
  <c r="T2107" i="5"/>
  <c r="S185" i="8"/>
  <c r="C2107" i="5"/>
  <c r="C185" i="8" s="1"/>
  <c r="A2107" i="5"/>
  <c r="T2106" i="5"/>
  <c r="K2106" i="5"/>
  <c r="J2106" i="5"/>
  <c r="C2106" i="5"/>
  <c r="A2106" i="5"/>
  <c r="T2105" i="5"/>
  <c r="S184" i="8"/>
  <c r="C2105" i="5"/>
  <c r="C184" i="8" s="1"/>
  <c r="A2105" i="5"/>
  <c r="T2104" i="5"/>
  <c r="C2104" i="5"/>
  <c r="C183" i="8" s="1"/>
  <c r="A2104" i="5"/>
  <c r="T2103" i="5"/>
  <c r="C2103" i="5"/>
  <c r="C182" i="8" s="1"/>
  <c r="A2103" i="5"/>
  <c r="T2102" i="5"/>
  <c r="K2102" i="5"/>
  <c r="J2102" i="5"/>
  <c r="C2102" i="5"/>
  <c r="A2102" i="5"/>
  <c r="T2101" i="5"/>
  <c r="S181" i="8"/>
  <c r="C2101" i="5"/>
  <c r="C181" i="8" s="1"/>
  <c r="A2101" i="5"/>
  <c r="T2100" i="5"/>
  <c r="K2100" i="5"/>
  <c r="J2100" i="5"/>
  <c r="C2100" i="5"/>
  <c r="A2100" i="5"/>
  <c r="T2099" i="5"/>
  <c r="S180" i="8"/>
  <c r="C2099" i="5"/>
  <c r="C180" i="8" s="1"/>
  <c r="A2099" i="5"/>
  <c r="T2098" i="5"/>
  <c r="C2098" i="5"/>
  <c r="C179" i="8" s="1"/>
  <c r="A2098" i="5"/>
  <c r="T2097" i="5"/>
  <c r="K2097" i="5"/>
  <c r="J2097" i="5"/>
  <c r="C2097" i="5"/>
  <c r="A2097" i="5"/>
  <c r="T2096" i="5"/>
  <c r="S178" i="8"/>
  <c r="C2096" i="5"/>
  <c r="C178" i="8" s="1"/>
  <c r="A2096" i="5"/>
  <c r="T2095" i="5"/>
  <c r="K2095" i="5"/>
  <c r="J2095" i="5"/>
  <c r="C2095" i="5"/>
  <c r="A2095" i="5"/>
  <c r="T2094" i="5"/>
  <c r="S177" i="8"/>
  <c r="C2094" i="5"/>
  <c r="C177" i="8" s="1"/>
  <c r="A2094" i="5"/>
  <c r="T2093" i="5"/>
  <c r="K2093" i="5"/>
  <c r="J2093" i="5"/>
  <c r="C2093" i="5"/>
  <c r="A2093" i="5"/>
  <c r="T2092" i="5"/>
  <c r="S176" i="8"/>
  <c r="C2092" i="5"/>
  <c r="C176" i="8" s="1"/>
  <c r="A2092" i="5"/>
  <c r="T2091" i="5"/>
  <c r="C2091" i="5"/>
  <c r="C175" i="8" s="1"/>
  <c r="A2091" i="5"/>
  <c r="T2075" i="5"/>
  <c r="K2075" i="5"/>
  <c r="J2075" i="5"/>
  <c r="C2075" i="5"/>
  <c r="A2075" i="5"/>
  <c r="T2074" i="5"/>
  <c r="U174" i="8" s="1"/>
  <c r="K2074" i="5"/>
  <c r="J2074" i="5"/>
  <c r="C2074" i="5"/>
  <c r="A2074" i="5"/>
  <c r="T2073" i="5"/>
  <c r="C2073" i="5"/>
  <c r="C168" i="8" s="1"/>
  <c r="A2073" i="5"/>
  <c r="T2072" i="5"/>
  <c r="C2072" i="5"/>
  <c r="C167" i="8" s="1"/>
  <c r="A2072" i="5"/>
  <c r="T2071" i="5"/>
  <c r="U171" i="8" s="1"/>
  <c r="K2071" i="5"/>
  <c r="J2071" i="5"/>
  <c r="C2071" i="5"/>
  <c r="A2071" i="5"/>
  <c r="T2070" i="5"/>
  <c r="S166" i="8"/>
  <c r="C2070" i="5"/>
  <c r="C166" i="8" s="1"/>
  <c r="A2070" i="5"/>
  <c r="T2069" i="5"/>
  <c r="K2069" i="5"/>
  <c r="J2069" i="5"/>
  <c r="C2069" i="5"/>
  <c r="A2069" i="5"/>
  <c r="T2068" i="5"/>
  <c r="S165" i="8"/>
  <c r="C2068" i="5"/>
  <c r="C165" i="8" s="1"/>
  <c r="A2068" i="5"/>
  <c r="T2067" i="5"/>
  <c r="C2067" i="5"/>
  <c r="C164" i="8" s="1"/>
  <c r="A2067" i="5"/>
  <c r="T2066" i="5"/>
  <c r="K2066" i="5"/>
  <c r="J2066" i="5"/>
  <c r="C2066" i="5"/>
  <c r="A2066" i="5"/>
  <c r="T2065" i="5"/>
  <c r="K2065" i="5"/>
  <c r="J2065" i="5"/>
  <c r="C2065" i="5"/>
  <c r="A2065" i="5"/>
  <c r="T2064" i="5"/>
  <c r="K2064" i="5"/>
  <c r="J2064" i="5"/>
  <c r="C2064" i="5"/>
  <c r="A2064" i="5"/>
  <c r="T2063" i="5"/>
  <c r="S163" i="8"/>
  <c r="C2063" i="5"/>
  <c r="C163" i="8" s="1"/>
  <c r="A2063" i="5"/>
  <c r="T2062" i="5"/>
  <c r="K2062" i="5"/>
  <c r="J2062" i="5"/>
  <c r="C2062" i="5"/>
  <c r="A2062" i="5"/>
  <c r="T2061" i="5"/>
  <c r="K2061" i="5"/>
  <c r="J2061" i="5"/>
  <c r="C2061" i="5"/>
  <c r="A2061" i="5"/>
  <c r="T2060" i="5"/>
  <c r="K2060" i="5"/>
  <c r="J2060" i="5"/>
  <c r="C2060" i="5"/>
  <c r="A2060" i="5"/>
  <c r="T2059" i="5"/>
  <c r="S162" i="8"/>
  <c r="C2059" i="5"/>
  <c r="C162" i="8" s="1"/>
  <c r="A2059" i="5"/>
  <c r="T2058" i="5"/>
  <c r="C2058" i="5"/>
  <c r="C161" i="8" s="1"/>
  <c r="A2058" i="5"/>
  <c r="T2057" i="5"/>
  <c r="K2057" i="5"/>
  <c r="J2057" i="5"/>
  <c r="C2057" i="5"/>
  <c r="A2057" i="5"/>
  <c r="T2056" i="5"/>
  <c r="S160" i="8"/>
  <c r="C2056" i="5"/>
  <c r="C160" i="8" s="1"/>
  <c r="A2056" i="5"/>
  <c r="T2055" i="5"/>
  <c r="K2055" i="5"/>
  <c r="J2055" i="5"/>
  <c r="C2055" i="5"/>
  <c r="A2055" i="5"/>
  <c r="T2054" i="5"/>
  <c r="K2054" i="5"/>
  <c r="J2054" i="5"/>
  <c r="C2054" i="5"/>
  <c r="A2054" i="5"/>
  <c r="T2053" i="5"/>
  <c r="K2053" i="5"/>
  <c r="J2053" i="5"/>
  <c r="C2053" i="5"/>
  <c r="A2053" i="5"/>
  <c r="T2052" i="5"/>
  <c r="S159" i="8"/>
  <c r="C2052" i="5"/>
  <c r="C159" i="8" s="1"/>
  <c r="A2052" i="5"/>
  <c r="T2051" i="5"/>
  <c r="K2051" i="5"/>
  <c r="J2051" i="5"/>
  <c r="C2051" i="5"/>
  <c r="A2051" i="5"/>
  <c r="T2050" i="5"/>
  <c r="K2050" i="5"/>
  <c r="J2050" i="5"/>
  <c r="C2050" i="5"/>
  <c r="A2050" i="5"/>
  <c r="T2049" i="5"/>
  <c r="S158" i="8"/>
  <c r="C2049" i="5"/>
  <c r="C158" i="8" s="1"/>
  <c r="A2049" i="5"/>
  <c r="T2048" i="5"/>
  <c r="C2048" i="5"/>
  <c r="C157" i="8" s="1"/>
  <c r="A2048" i="5"/>
  <c r="T2047" i="5"/>
  <c r="K2047" i="5"/>
  <c r="J2047" i="5"/>
  <c r="C2047" i="5"/>
  <c r="A2047" i="5"/>
  <c r="T2046" i="5"/>
  <c r="S156" i="8"/>
  <c r="C2046" i="5"/>
  <c r="C156" i="8" s="1"/>
  <c r="A2046" i="5"/>
  <c r="T2045" i="5"/>
  <c r="K2045" i="5"/>
  <c r="J2045" i="5"/>
  <c r="C2045" i="5"/>
  <c r="A2045" i="5"/>
  <c r="T2044" i="5"/>
  <c r="S155" i="8"/>
  <c r="C2044" i="5"/>
  <c r="C155" i="8" s="1"/>
  <c r="A2044" i="5"/>
  <c r="T2043" i="5"/>
  <c r="C2043" i="5"/>
  <c r="C154" i="8" s="1"/>
  <c r="A2043" i="5"/>
  <c r="T2042" i="5"/>
  <c r="K2042" i="5"/>
  <c r="J2042" i="5"/>
  <c r="C2042" i="5"/>
  <c r="A2042" i="5"/>
  <c r="T2041" i="5"/>
  <c r="K2041" i="5"/>
  <c r="J2041" i="5"/>
  <c r="C2041" i="5"/>
  <c r="A2041" i="5"/>
  <c r="T2040" i="5"/>
  <c r="K2040" i="5"/>
  <c r="J2040" i="5"/>
  <c r="C2040" i="5"/>
  <c r="A2040" i="5"/>
  <c r="T2039" i="5"/>
  <c r="S153" i="8"/>
  <c r="C2039" i="5"/>
  <c r="C153" i="8" s="1"/>
  <c r="A2039" i="5"/>
  <c r="T2038" i="5"/>
  <c r="C2038" i="5"/>
  <c r="C152" i="8" s="1"/>
  <c r="A2038" i="5"/>
  <c r="T2037" i="5"/>
  <c r="K2037" i="5"/>
  <c r="J2037" i="5"/>
  <c r="C2037" i="5"/>
  <c r="A2037" i="5"/>
  <c r="T2036" i="5"/>
  <c r="K2036" i="5"/>
  <c r="J2036" i="5"/>
  <c r="C2036" i="5"/>
  <c r="A2036" i="5"/>
  <c r="T2035" i="5"/>
  <c r="S151" i="8"/>
  <c r="C2035" i="5"/>
  <c r="C151" i="8" s="1"/>
  <c r="A2035" i="5"/>
  <c r="T2034" i="5"/>
  <c r="C2034" i="5"/>
  <c r="C150" i="8" s="1"/>
  <c r="A2034" i="5"/>
  <c r="T2033" i="5"/>
  <c r="C2033" i="5"/>
  <c r="C149" i="8" s="1"/>
  <c r="A2033" i="5"/>
  <c r="T2032" i="5"/>
  <c r="K2032" i="5"/>
  <c r="J2032" i="5"/>
  <c r="C2032" i="5"/>
  <c r="A2032" i="5"/>
  <c r="T2031" i="5"/>
  <c r="S148" i="8"/>
  <c r="C2031" i="5"/>
  <c r="C148" i="8" s="1"/>
  <c r="A2031" i="5"/>
  <c r="T2030" i="5"/>
  <c r="K2030" i="5"/>
  <c r="J2030" i="5"/>
  <c r="C2030" i="5"/>
  <c r="A2030" i="5"/>
  <c r="T2029" i="5"/>
  <c r="S147" i="8"/>
  <c r="C2029" i="5"/>
  <c r="C147" i="8" s="1"/>
  <c r="A2029" i="5"/>
  <c r="T2028" i="5"/>
  <c r="K2028" i="5"/>
  <c r="J2028" i="5"/>
  <c r="C2028" i="5"/>
  <c r="A2028" i="5"/>
  <c r="T2027" i="5"/>
  <c r="S146" i="8"/>
  <c r="C2027" i="5"/>
  <c r="C146" i="8" s="1"/>
  <c r="A2027" i="5"/>
  <c r="T2026" i="5"/>
  <c r="C2026" i="5"/>
  <c r="C145" i="8" s="1"/>
  <c r="A2026" i="5"/>
  <c r="T2025" i="5"/>
  <c r="K2025" i="5"/>
  <c r="J2025" i="5"/>
  <c r="C2025" i="5"/>
  <c r="A2025" i="5"/>
  <c r="T2024" i="5"/>
  <c r="K2024" i="5"/>
  <c r="J2024" i="5"/>
  <c r="C2024" i="5"/>
  <c r="A2024" i="5"/>
  <c r="T2023" i="5"/>
  <c r="S144" i="8"/>
  <c r="C2023" i="5"/>
  <c r="C144" i="8" s="1"/>
  <c r="A2023" i="5"/>
  <c r="T2022" i="5"/>
  <c r="C2022" i="5"/>
  <c r="C143" i="8" s="1"/>
  <c r="A2022" i="5"/>
  <c r="T2021" i="5"/>
  <c r="K2021" i="5"/>
  <c r="J2021" i="5"/>
  <c r="C2021" i="5"/>
  <c r="A2021" i="5"/>
  <c r="T2020" i="5"/>
  <c r="K2020" i="5"/>
  <c r="J2020" i="5"/>
  <c r="C2020" i="5"/>
  <c r="A2020" i="5"/>
  <c r="T2019" i="5"/>
  <c r="K2019" i="5"/>
  <c r="J2019" i="5"/>
  <c r="C2019" i="5"/>
  <c r="A2019" i="5"/>
  <c r="T2018" i="5"/>
  <c r="S142" i="8"/>
  <c r="C2018" i="5"/>
  <c r="C142" i="8" s="1"/>
  <c r="A2018" i="5"/>
  <c r="T2017" i="5"/>
  <c r="K2017" i="5"/>
  <c r="J2017" i="5"/>
  <c r="C2017" i="5"/>
  <c r="A2017" i="5"/>
  <c r="T2016" i="5"/>
  <c r="K2016" i="5"/>
  <c r="J2016" i="5"/>
  <c r="C2016" i="5"/>
  <c r="A2016" i="5"/>
  <c r="T2015" i="5"/>
  <c r="S141" i="8"/>
  <c r="C2015" i="5"/>
  <c r="C141" i="8" s="1"/>
  <c r="A2015" i="5"/>
  <c r="T2014" i="5"/>
  <c r="K2014" i="5"/>
  <c r="J2014" i="5"/>
  <c r="C2014" i="5"/>
  <c r="A2014" i="5"/>
  <c r="T2013" i="5"/>
  <c r="S140" i="8"/>
  <c r="C2013" i="5"/>
  <c r="C140" i="8" s="1"/>
  <c r="A2013" i="5"/>
  <c r="T2012" i="5"/>
  <c r="C2012" i="5"/>
  <c r="C139" i="8" s="1"/>
  <c r="A2012" i="5"/>
  <c r="T2011" i="5"/>
  <c r="K2011" i="5"/>
  <c r="J2011" i="5"/>
  <c r="C2011" i="5"/>
  <c r="A2011" i="5"/>
  <c r="T2010" i="5"/>
  <c r="S138" i="8"/>
  <c r="C2010" i="5"/>
  <c r="C138" i="8" s="1"/>
  <c r="A2010" i="5"/>
  <c r="T2009" i="5"/>
  <c r="K2009" i="5"/>
  <c r="J2009" i="5"/>
  <c r="C2009" i="5"/>
  <c r="A2009" i="5"/>
  <c r="T2008" i="5"/>
  <c r="K2008" i="5"/>
  <c r="J2008" i="5"/>
  <c r="C2008" i="5"/>
  <c r="A2008" i="5"/>
  <c r="T2007" i="5"/>
  <c r="K2007" i="5"/>
  <c r="J2007" i="5"/>
  <c r="C2007" i="5"/>
  <c r="A2007" i="5"/>
  <c r="T2006" i="5"/>
  <c r="S137" i="8"/>
  <c r="C2006" i="5"/>
  <c r="C137" i="8" s="1"/>
  <c r="A2006" i="5"/>
  <c r="T2005" i="5"/>
  <c r="K2005" i="5"/>
  <c r="J2005" i="5"/>
  <c r="C2005" i="5"/>
  <c r="A2005" i="5"/>
  <c r="T2004" i="5"/>
  <c r="K2004" i="5"/>
  <c r="J2004" i="5"/>
  <c r="C2004" i="5"/>
  <c r="A2004" i="5"/>
  <c r="T2003" i="5"/>
  <c r="S136" i="8"/>
  <c r="C2003" i="5"/>
  <c r="C136" i="8" s="1"/>
  <c r="A2003" i="5"/>
  <c r="T2002" i="5"/>
  <c r="C2002" i="5"/>
  <c r="C135" i="8" s="1"/>
  <c r="A2002" i="5"/>
  <c r="T2001" i="5"/>
  <c r="K2001" i="5"/>
  <c r="J2001" i="5"/>
  <c r="C2001" i="5"/>
  <c r="A2001" i="5"/>
  <c r="T2000" i="5"/>
  <c r="S134" i="8"/>
  <c r="C2000" i="5"/>
  <c r="C134" i="8" s="1"/>
  <c r="A2000" i="5"/>
  <c r="T1999" i="5"/>
  <c r="K1999" i="5"/>
  <c r="J1999" i="5"/>
  <c r="C1999" i="5"/>
  <c r="A1999" i="5"/>
  <c r="T1998" i="5"/>
  <c r="K1998" i="5"/>
  <c r="J1998" i="5"/>
  <c r="C1998" i="5"/>
  <c r="A1998" i="5"/>
  <c r="T1997" i="5"/>
  <c r="S133" i="8"/>
  <c r="C1997" i="5"/>
  <c r="C133" i="8" s="1"/>
  <c r="A1997" i="5"/>
  <c r="T1996" i="5"/>
  <c r="C1996" i="5"/>
  <c r="C132" i="8" s="1"/>
  <c r="A1996" i="5"/>
  <c r="T1995" i="5"/>
  <c r="K1995" i="5"/>
  <c r="J1995" i="5"/>
  <c r="C1995" i="5"/>
  <c r="A1995" i="5"/>
  <c r="T1994" i="5"/>
  <c r="S131" i="8"/>
  <c r="C1994" i="5"/>
  <c r="C131" i="8" s="1"/>
  <c r="A1994" i="5"/>
  <c r="T1993" i="5"/>
  <c r="C1993" i="5"/>
  <c r="C130" i="8" s="1"/>
  <c r="A1993" i="5"/>
  <c r="T1992" i="5"/>
  <c r="K1992" i="5"/>
  <c r="J1992" i="5"/>
  <c r="C1992" i="5"/>
  <c r="A1992" i="5"/>
  <c r="T1991" i="5"/>
  <c r="K1991" i="5"/>
  <c r="J1991" i="5"/>
  <c r="C1991" i="5"/>
  <c r="A1991" i="5"/>
  <c r="T1990" i="5"/>
  <c r="S129" i="8"/>
  <c r="C1990" i="5"/>
  <c r="C129" i="8" s="1"/>
  <c r="A1990" i="5"/>
  <c r="T1989" i="5"/>
  <c r="K1989" i="5"/>
  <c r="J1989" i="5"/>
  <c r="C1989" i="5"/>
  <c r="A1989" i="5"/>
  <c r="T1988" i="5"/>
  <c r="S128" i="8"/>
  <c r="C1988" i="5"/>
  <c r="C128" i="8" s="1"/>
  <c r="A1988" i="5"/>
  <c r="T1987" i="5"/>
  <c r="K1987" i="5"/>
  <c r="J1987" i="5"/>
  <c r="C1987" i="5"/>
  <c r="A1987" i="5"/>
  <c r="T1986" i="5"/>
  <c r="S127" i="8"/>
  <c r="C1986" i="5"/>
  <c r="C127" i="8" s="1"/>
  <c r="A1986" i="5"/>
  <c r="T1985" i="5"/>
  <c r="K1985" i="5"/>
  <c r="J1985" i="5"/>
  <c r="C1985" i="5"/>
  <c r="A1985" i="5"/>
  <c r="T1984" i="5"/>
  <c r="S126" i="8"/>
  <c r="C1984" i="5"/>
  <c r="C126" i="8" s="1"/>
  <c r="A1984" i="5"/>
  <c r="T1983" i="5"/>
  <c r="K1983" i="5"/>
  <c r="J1983" i="5"/>
  <c r="C1983" i="5"/>
  <c r="A1983" i="5"/>
  <c r="T1982" i="5"/>
  <c r="S125" i="8"/>
  <c r="C1982" i="5"/>
  <c r="C125" i="8" s="1"/>
  <c r="A1982" i="5"/>
  <c r="T1981" i="5"/>
  <c r="C1981" i="5"/>
  <c r="C124" i="8" s="1"/>
  <c r="A1981" i="5"/>
  <c r="T1980" i="5"/>
  <c r="C1980" i="5"/>
  <c r="C123" i="8" s="1"/>
  <c r="A1980" i="5"/>
  <c r="T1979" i="5"/>
  <c r="K1979" i="5"/>
  <c r="J1979" i="5"/>
  <c r="C1979" i="5"/>
  <c r="A1979" i="5"/>
  <c r="T1978" i="5"/>
  <c r="S122" i="8"/>
  <c r="C1978" i="5"/>
  <c r="C122" i="8" s="1"/>
  <c r="A1978" i="5"/>
  <c r="T1977" i="5"/>
  <c r="K1977" i="5"/>
  <c r="J1977" i="5"/>
  <c r="C1977" i="5"/>
  <c r="A1977" i="5"/>
  <c r="T1976" i="5"/>
  <c r="K1976" i="5"/>
  <c r="J1976" i="5"/>
  <c r="C1976" i="5"/>
  <c r="A1976" i="5"/>
  <c r="T1975" i="5"/>
  <c r="S121" i="8"/>
  <c r="C1975" i="5"/>
  <c r="C121" i="8" s="1"/>
  <c r="A1975" i="5"/>
  <c r="T1974" i="5"/>
  <c r="C1974" i="5"/>
  <c r="C120" i="8" s="1"/>
  <c r="A1974" i="5"/>
  <c r="T1973" i="5"/>
  <c r="K1973" i="5"/>
  <c r="J1973" i="5"/>
  <c r="C1973" i="5"/>
  <c r="A1973" i="5"/>
  <c r="T1972" i="5"/>
  <c r="K1972" i="5"/>
  <c r="J1972" i="5"/>
  <c r="C1972" i="5"/>
  <c r="A1972" i="5"/>
  <c r="T1971" i="5"/>
  <c r="S119" i="8"/>
  <c r="C1971" i="5"/>
  <c r="C119" i="8" s="1"/>
  <c r="A1971" i="5"/>
  <c r="T1970" i="5"/>
  <c r="C1970" i="5"/>
  <c r="C118" i="8" s="1"/>
  <c r="A1970" i="5"/>
  <c r="T1969" i="5"/>
  <c r="K1969" i="5"/>
  <c r="J1969" i="5"/>
  <c r="C1969" i="5"/>
  <c r="A1969" i="5"/>
  <c r="T1968" i="5"/>
  <c r="K1968" i="5"/>
  <c r="J1968" i="5"/>
  <c r="C1968" i="5"/>
  <c r="A1968" i="5"/>
  <c r="T1967" i="5"/>
  <c r="S117" i="8"/>
  <c r="C1967" i="5"/>
  <c r="C117" i="8" s="1"/>
  <c r="A1967" i="5"/>
  <c r="T1966" i="5"/>
  <c r="K1966" i="5"/>
  <c r="J1966" i="5"/>
  <c r="C1966" i="5"/>
  <c r="A1966" i="5"/>
  <c r="T1965" i="5"/>
  <c r="K1965" i="5"/>
  <c r="J1965" i="5"/>
  <c r="C1965" i="5"/>
  <c r="A1965" i="5"/>
  <c r="T1964" i="5"/>
  <c r="S116" i="8"/>
  <c r="C1964" i="5"/>
  <c r="C116" i="8" s="1"/>
  <c r="A1964" i="5"/>
  <c r="T1963" i="5"/>
  <c r="K1963" i="5"/>
  <c r="J1963" i="5"/>
  <c r="C1963" i="5"/>
  <c r="A1963" i="5"/>
  <c r="T1962" i="5"/>
  <c r="S115" i="8"/>
  <c r="C1962" i="5"/>
  <c r="C115" i="8" s="1"/>
  <c r="A1962" i="5"/>
  <c r="T1961" i="5"/>
  <c r="C1961" i="5"/>
  <c r="C114" i="8" s="1"/>
  <c r="A1961" i="5"/>
  <c r="T1960" i="5"/>
  <c r="K1960" i="5"/>
  <c r="J1960" i="5"/>
  <c r="C1960" i="5"/>
  <c r="A1960" i="5"/>
  <c r="T1959" i="5"/>
  <c r="S113" i="8"/>
  <c r="C1959" i="5"/>
  <c r="C113" i="8" s="1"/>
  <c r="A1959" i="5"/>
  <c r="T1958" i="5"/>
  <c r="C1958" i="5"/>
  <c r="C112" i="8" s="1"/>
  <c r="A1958" i="5"/>
  <c r="T1955" i="5"/>
  <c r="K1955" i="5"/>
  <c r="J1955" i="5"/>
  <c r="C1955" i="5"/>
  <c r="A1955" i="5"/>
  <c r="T1954" i="5"/>
  <c r="S110" i="8"/>
  <c r="C1954" i="5"/>
  <c r="C110" i="8" s="1"/>
  <c r="A1954" i="5"/>
  <c r="T1953" i="5"/>
  <c r="K1953" i="5"/>
  <c r="J1953" i="5"/>
  <c r="C1953" i="5"/>
  <c r="A1953" i="5"/>
  <c r="T1952" i="5"/>
  <c r="K1952" i="5"/>
  <c r="J1952" i="5"/>
  <c r="C1952" i="5"/>
  <c r="A1952" i="5"/>
  <c r="T1951" i="5"/>
  <c r="K1951" i="5"/>
  <c r="J1951" i="5"/>
  <c r="C1951" i="5"/>
  <c r="A1951" i="5"/>
  <c r="T1950" i="5"/>
  <c r="S109" i="8"/>
  <c r="C1950" i="5"/>
  <c r="C109" i="8" s="1"/>
  <c r="A1950" i="5"/>
  <c r="T1949" i="5"/>
  <c r="A1949" i="5"/>
  <c r="T1948" i="5"/>
  <c r="K1948" i="5"/>
  <c r="J1948" i="5"/>
  <c r="C1948" i="5"/>
  <c r="A1948" i="5"/>
  <c r="T1947" i="5"/>
  <c r="K1947" i="5"/>
  <c r="J1947" i="5"/>
  <c r="C1947" i="5"/>
  <c r="A1947" i="5"/>
  <c r="T1946" i="5"/>
  <c r="S107" i="8"/>
  <c r="C1946" i="5"/>
  <c r="C107" i="8" s="1"/>
  <c r="A1946" i="5"/>
  <c r="T1945" i="5"/>
  <c r="K1945" i="5"/>
  <c r="J1945" i="5"/>
  <c r="C1945" i="5"/>
  <c r="A1945" i="5"/>
  <c r="T1944" i="5"/>
  <c r="S106" i="8"/>
  <c r="C1944" i="5"/>
  <c r="C106" i="8" s="1"/>
  <c r="A1944" i="5"/>
  <c r="T1943" i="5"/>
  <c r="K1943" i="5"/>
  <c r="J1943" i="5"/>
  <c r="C1943" i="5"/>
  <c r="A1943" i="5"/>
  <c r="T1942" i="5"/>
  <c r="S105" i="8"/>
  <c r="C1942" i="5"/>
  <c r="C105" i="8" s="1"/>
  <c r="A1942" i="5"/>
  <c r="T1941" i="5"/>
  <c r="C1941" i="5"/>
  <c r="C104" i="8" s="1"/>
  <c r="A1941" i="5"/>
  <c r="T1940" i="5"/>
  <c r="K1940" i="5"/>
  <c r="J1940" i="5"/>
  <c r="C1940" i="5"/>
  <c r="A1940" i="5"/>
  <c r="T1939" i="5"/>
  <c r="S103" i="8"/>
  <c r="C1939" i="5"/>
  <c r="C103" i="8" s="1"/>
  <c r="A1939" i="5"/>
  <c r="T1938" i="5"/>
  <c r="K1938" i="5"/>
  <c r="J1938" i="5"/>
  <c r="C1938" i="5"/>
  <c r="A1938" i="5"/>
  <c r="T1937" i="5"/>
  <c r="K1937" i="5"/>
  <c r="J1937" i="5"/>
  <c r="C1937" i="5"/>
  <c r="A1937" i="5"/>
  <c r="T1936" i="5"/>
  <c r="S102" i="8"/>
  <c r="C1936" i="5"/>
  <c r="C102" i="8" s="1"/>
  <c r="A1936" i="5"/>
  <c r="T1935" i="5"/>
  <c r="K1935" i="5"/>
  <c r="J1935" i="5"/>
  <c r="C1935" i="5"/>
  <c r="A1935" i="5"/>
  <c r="T1934" i="5"/>
  <c r="S101" i="8"/>
  <c r="C1934" i="5"/>
  <c r="C101" i="8" s="1"/>
  <c r="A1934" i="5"/>
  <c r="T1933" i="5"/>
  <c r="C1933" i="5"/>
  <c r="C100" i="8" s="1"/>
  <c r="A1933" i="5"/>
  <c r="T1932" i="5"/>
  <c r="K1932" i="5"/>
  <c r="J1932" i="5"/>
  <c r="C1932" i="5"/>
  <c r="A1932" i="5"/>
  <c r="T1931" i="5"/>
  <c r="K1931" i="5"/>
  <c r="J1931" i="5"/>
  <c r="C1931" i="5"/>
  <c r="A1931" i="5"/>
  <c r="T1930" i="5"/>
  <c r="K1930" i="5"/>
  <c r="J1930" i="5"/>
  <c r="C1930" i="5"/>
  <c r="A1930" i="5"/>
  <c r="T1929" i="5"/>
  <c r="S99" i="8"/>
  <c r="C1929" i="5"/>
  <c r="C99" i="8" s="1"/>
  <c r="A1929" i="5"/>
  <c r="T1928" i="5"/>
  <c r="K1928" i="5"/>
  <c r="J1928" i="5"/>
  <c r="C1928" i="5"/>
  <c r="A1928" i="5"/>
  <c r="T1927" i="5"/>
  <c r="K1927" i="5"/>
  <c r="J1927" i="5"/>
  <c r="C1927" i="5"/>
  <c r="A1927" i="5"/>
  <c r="T1926" i="5"/>
  <c r="S98" i="8"/>
  <c r="C1926" i="5"/>
  <c r="C98" i="8" s="1"/>
  <c r="A1926" i="5"/>
  <c r="T1925" i="5"/>
  <c r="K1925" i="5"/>
  <c r="J1925" i="5"/>
  <c r="C1925" i="5"/>
  <c r="A1925" i="5"/>
  <c r="T1924" i="5"/>
  <c r="K1924" i="5"/>
  <c r="J1924" i="5"/>
  <c r="C1924" i="5"/>
  <c r="A1924" i="5"/>
  <c r="T1923" i="5"/>
  <c r="S97" i="8"/>
  <c r="C1923" i="5"/>
  <c r="C97" i="8" s="1"/>
  <c r="A1923" i="5"/>
  <c r="T1922" i="5"/>
  <c r="K1922" i="5"/>
  <c r="J1922" i="5"/>
  <c r="C1922" i="5"/>
  <c r="A1922" i="5"/>
  <c r="T1921" i="5"/>
  <c r="K1921" i="5"/>
  <c r="J1921" i="5"/>
  <c r="C1921" i="5"/>
  <c r="A1921" i="5"/>
  <c r="T1920" i="5"/>
  <c r="K1920" i="5"/>
  <c r="J1920" i="5"/>
  <c r="C1920" i="5"/>
  <c r="A1920" i="5"/>
  <c r="T1919" i="5"/>
  <c r="K1919" i="5"/>
  <c r="J1919" i="5"/>
  <c r="C1919" i="5"/>
  <c r="A1919" i="5"/>
  <c r="T1918" i="5"/>
  <c r="K1918" i="5"/>
  <c r="J1918" i="5"/>
  <c r="C1918" i="5"/>
  <c r="A1918" i="5"/>
  <c r="T1917" i="5"/>
  <c r="K1917" i="5"/>
  <c r="J1917" i="5"/>
  <c r="C1917" i="5"/>
  <c r="A1917" i="5"/>
  <c r="T1916" i="5"/>
  <c r="S96" i="8"/>
  <c r="C1916" i="5"/>
  <c r="C96" i="8" s="1"/>
  <c r="A1916" i="5"/>
  <c r="T1915" i="5"/>
  <c r="C1915" i="5"/>
  <c r="C95" i="8" s="1"/>
  <c r="A1915" i="5"/>
  <c r="T1914" i="5"/>
  <c r="K1914" i="5"/>
  <c r="J1914" i="5"/>
  <c r="C1914" i="5"/>
  <c r="A1914" i="5"/>
  <c r="T1913" i="5"/>
  <c r="S94" i="8"/>
  <c r="C1913" i="5"/>
  <c r="C94" i="8" s="1"/>
  <c r="A1913" i="5"/>
  <c r="T1912" i="5"/>
  <c r="K1912" i="5"/>
  <c r="J1912" i="5"/>
  <c r="C1912" i="5"/>
  <c r="A1912" i="5"/>
  <c r="T1911" i="5"/>
  <c r="S93" i="8"/>
  <c r="C1911" i="5"/>
  <c r="C93" i="8" s="1"/>
  <c r="A1911" i="5"/>
  <c r="T1910" i="5"/>
  <c r="C1910" i="5"/>
  <c r="C92" i="8" s="1"/>
  <c r="A1910" i="5"/>
  <c r="T1909" i="5"/>
  <c r="K1909" i="5"/>
  <c r="J1909" i="5"/>
  <c r="C1909" i="5"/>
  <c r="A1909" i="5"/>
  <c r="T1908" i="5"/>
  <c r="S91" i="8"/>
  <c r="C1908" i="5"/>
  <c r="C91" i="8" s="1"/>
  <c r="A1908" i="5"/>
  <c r="T1907" i="5"/>
  <c r="K1907" i="5"/>
  <c r="J1907" i="5"/>
  <c r="C1907" i="5"/>
  <c r="A1907" i="5"/>
  <c r="T1906" i="5"/>
  <c r="K1906" i="5"/>
  <c r="J1906" i="5"/>
  <c r="C1906" i="5"/>
  <c r="A1906" i="5"/>
  <c r="T1905" i="5"/>
  <c r="K1905" i="5"/>
  <c r="J1905" i="5"/>
  <c r="C1905" i="5"/>
  <c r="A1905" i="5"/>
  <c r="T1904" i="5"/>
  <c r="S90" i="8"/>
  <c r="C1904" i="5"/>
  <c r="C90" i="8" s="1"/>
  <c r="A1904" i="5"/>
  <c r="T1903" i="5"/>
  <c r="K1903" i="5"/>
  <c r="J1903" i="5"/>
  <c r="C1903" i="5"/>
  <c r="A1903" i="5"/>
  <c r="T1902" i="5"/>
  <c r="S89" i="8"/>
  <c r="C1902" i="5"/>
  <c r="C89" i="8" s="1"/>
  <c r="A1902" i="5"/>
  <c r="T1901" i="5"/>
  <c r="K1901" i="5"/>
  <c r="J1901" i="5"/>
  <c r="C1901" i="5"/>
  <c r="A1901" i="5"/>
  <c r="T1900" i="5"/>
  <c r="S88" i="8"/>
  <c r="C1900" i="5"/>
  <c r="C88" i="8" s="1"/>
  <c r="A1900" i="5"/>
  <c r="T1899" i="5"/>
  <c r="C1899" i="5"/>
  <c r="C87" i="8" s="1"/>
  <c r="A1899" i="5"/>
  <c r="T1898" i="5"/>
  <c r="K1898" i="5"/>
  <c r="J1898" i="5"/>
  <c r="C1898" i="5"/>
  <c r="A1898" i="5"/>
  <c r="T1897" i="5"/>
  <c r="K1897" i="5"/>
  <c r="J1897" i="5"/>
  <c r="C1897" i="5"/>
  <c r="A1897" i="5"/>
  <c r="T1896" i="5"/>
  <c r="K1896" i="5"/>
  <c r="J1896" i="5"/>
  <c r="C1896" i="5"/>
  <c r="A1896" i="5"/>
  <c r="T1895" i="5"/>
  <c r="S86" i="8"/>
  <c r="C1895" i="5"/>
  <c r="C86" i="8" s="1"/>
  <c r="A1895" i="5"/>
  <c r="T1894" i="5"/>
  <c r="K1894" i="5"/>
  <c r="J1894" i="5"/>
  <c r="C1894" i="5"/>
  <c r="A1894" i="5"/>
  <c r="T1893" i="5"/>
  <c r="S85" i="8"/>
  <c r="C1893" i="5"/>
  <c r="C85" i="8" s="1"/>
  <c r="A1893" i="5"/>
  <c r="T1892" i="5"/>
  <c r="K1892" i="5"/>
  <c r="J1892" i="5"/>
  <c r="C1892" i="5"/>
  <c r="A1892" i="5"/>
  <c r="T1891" i="5"/>
  <c r="K1891" i="5"/>
  <c r="J1891" i="5"/>
  <c r="C1891" i="5"/>
  <c r="A1891" i="5"/>
  <c r="T1890" i="5"/>
  <c r="K1890" i="5"/>
  <c r="J1890" i="5"/>
  <c r="C1890" i="5"/>
  <c r="A1890" i="5"/>
  <c r="T1889" i="5"/>
  <c r="S84" i="8"/>
  <c r="C1889" i="5"/>
  <c r="C84" i="8" s="1"/>
  <c r="A1889" i="5"/>
  <c r="T1888" i="5"/>
  <c r="K1888" i="5"/>
  <c r="J1888" i="5"/>
  <c r="C1888" i="5"/>
  <c r="A1888" i="5"/>
  <c r="T1887" i="5"/>
  <c r="K1887" i="5"/>
  <c r="J1887" i="5"/>
  <c r="C1887" i="5"/>
  <c r="A1887" i="5"/>
  <c r="T1886" i="5"/>
  <c r="K1886" i="5"/>
  <c r="J1886" i="5"/>
  <c r="C1886" i="5"/>
  <c r="A1886" i="5"/>
  <c r="T1885" i="5"/>
  <c r="S83" i="8"/>
  <c r="C1885" i="5"/>
  <c r="C83" i="8" s="1"/>
  <c r="A1885" i="5"/>
  <c r="T1884" i="5"/>
  <c r="C1884" i="5"/>
  <c r="C82" i="8" s="1"/>
  <c r="A1884" i="5"/>
  <c r="T1883" i="5"/>
  <c r="C1883" i="5"/>
  <c r="C81" i="8" s="1"/>
  <c r="A1883" i="5"/>
  <c r="T1882" i="5"/>
  <c r="K1882" i="5"/>
  <c r="J1882" i="5"/>
  <c r="C1882" i="5"/>
  <c r="A1882" i="5"/>
  <c r="T1881" i="5"/>
  <c r="S80" i="8"/>
  <c r="C1881" i="5"/>
  <c r="C80" i="8" s="1"/>
  <c r="A1881" i="5"/>
  <c r="T1880" i="5"/>
  <c r="K1880" i="5"/>
  <c r="J1880" i="5"/>
  <c r="C1880" i="5"/>
  <c r="A1880" i="5"/>
  <c r="T1879" i="5"/>
  <c r="S79" i="8"/>
  <c r="C1879" i="5"/>
  <c r="C79" i="8" s="1"/>
  <c r="A1879" i="5"/>
  <c r="T1878" i="5"/>
  <c r="C1878" i="5"/>
  <c r="C78" i="8" s="1"/>
  <c r="A1878" i="5"/>
  <c r="T1877" i="5"/>
  <c r="K1877" i="5"/>
  <c r="J1877" i="5"/>
  <c r="C1877" i="5"/>
  <c r="A1877" i="5"/>
  <c r="T1875" i="5"/>
  <c r="K1875" i="5"/>
  <c r="J1875" i="5"/>
  <c r="C1875" i="5"/>
  <c r="A1875" i="5"/>
  <c r="T1874" i="5"/>
  <c r="S76" i="8"/>
  <c r="C1874" i="5"/>
  <c r="C76" i="8" s="1"/>
  <c r="A1874" i="5"/>
  <c r="T1873" i="5"/>
  <c r="C1873" i="5"/>
  <c r="C75" i="8" s="1"/>
  <c r="A1873" i="5"/>
  <c r="T1860" i="5"/>
  <c r="K1860" i="5"/>
  <c r="J1860" i="5"/>
  <c r="C1860" i="5"/>
  <c r="A1860" i="5"/>
  <c r="T1859" i="5"/>
  <c r="S69" i="8"/>
  <c r="C1859" i="5"/>
  <c r="C69" i="8" s="1"/>
  <c r="A1859" i="5"/>
  <c r="T1858" i="5"/>
  <c r="K1858" i="5"/>
  <c r="J1858" i="5"/>
  <c r="C1858" i="5"/>
  <c r="A1858" i="5"/>
  <c r="T1857" i="5"/>
  <c r="K1857" i="5"/>
  <c r="J1857" i="5"/>
  <c r="C1857" i="5"/>
  <c r="A1857" i="5"/>
  <c r="T1856" i="5"/>
  <c r="S68" i="8"/>
  <c r="C1856" i="5"/>
  <c r="C68" i="8" s="1"/>
  <c r="A1856" i="5"/>
  <c r="T1855" i="5"/>
  <c r="K1855" i="5"/>
  <c r="J1855" i="5"/>
  <c r="C1855" i="5"/>
  <c r="A1855" i="5"/>
  <c r="T1854" i="5"/>
  <c r="S67" i="8"/>
  <c r="C1854" i="5"/>
  <c r="C67" i="8" s="1"/>
  <c r="A1854" i="5"/>
  <c r="T1853" i="5"/>
  <c r="K1853" i="5"/>
  <c r="J1853" i="5"/>
  <c r="C1853" i="5"/>
  <c r="A1853" i="5"/>
  <c r="T1852" i="5"/>
  <c r="U71" i="8" s="1"/>
  <c r="K1852" i="5"/>
  <c r="J1852" i="5"/>
  <c r="C1852" i="5"/>
  <c r="A1852" i="5"/>
  <c r="T1851" i="5"/>
  <c r="K1851" i="5"/>
  <c r="J1851" i="5"/>
  <c r="C1851" i="5"/>
  <c r="A1851" i="5"/>
  <c r="T1850" i="5"/>
  <c r="K1850" i="5"/>
  <c r="J1850" i="5"/>
  <c r="C1850" i="5"/>
  <c r="A1850" i="5"/>
  <c r="T1849" i="5"/>
  <c r="K1849" i="5"/>
  <c r="J1849" i="5"/>
  <c r="C1849" i="5"/>
  <c r="A1849" i="5"/>
  <c r="T1848" i="5"/>
  <c r="K1848" i="5"/>
  <c r="J1848" i="5"/>
  <c r="C1848" i="5"/>
  <c r="A1848" i="5"/>
  <c r="T1847" i="5"/>
  <c r="S66" i="8"/>
  <c r="C1847" i="5"/>
  <c r="C66" i="8" s="1"/>
  <c r="A1847" i="5"/>
  <c r="T1846" i="5"/>
  <c r="C1846" i="5"/>
  <c r="C65" i="8" s="1"/>
  <c r="A1846" i="5"/>
  <c r="T1845" i="5"/>
  <c r="K1845" i="5"/>
  <c r="J1845" i="5"/>
  <c r="C1845" i="5"/>
  <c r="A1845" i="5"/>
  <c r="T1844" i="5"/>
  <c r="K1844" i="5"/>
  <c r="J1844" i="5"/>
  <c r="C1844" i="5"/>
  <c r="A1844" i="5"/>
  <c r="T1843" i="5"/>
  <c r="K1843" i="5"/>
  <c r="J1843" i="5"/>
  <c r="C1843" i="5"/>
  <c r="A1843" i="5"/>
  <c r="T1842" i="5"/>
  <c r="S64" i="8"/>
  <c r="C1842" i="5"/>
  <c r="C64" i="8" s="1"/>
  <c r="A1842" i="5"/>
  <c r="T1841" i="5"/>
  <c r="K1841" i="5"/>
  <c r="J1841" i="5"/>
  <c r="C1841" i="5"/>
  <c r="A1841" i="5"/>
  <c r="T1840" i="5"/>
  <c r="K1840" i="5"/>
  <c r="J1840" i="5"/>
  <c r="C1840" i="5"/>
  <c r="A1840" i="5"/>
  <c r="T1839" i="5"/>
  <c r="S63" i="8"/>
  <c r="C1839" i="5"/>
  <c r="C63" i="8" s="1"/>
  <c r="A1839" i="5"/>
  <c r="T1838" i="5"/>
  <c r="K1838" i="5"/>
  <c r="J1838" i="5"/>
  <c r="C1838" i="5"/>
  <c r="A1838" i="5"/>
  <c r="T1837" i="5"/>
  <c r="K1837" i="5"/>
  <c r="J1837" i="5"/>
  <c r="C1837" i="5"/>
  <c r="A1837" i="5"/>
  <c r="T1836" i="5"/>
  <c r="S62" i="8"/>
  <c r="C1836" i="5"/>
  <c r="C62" i="8" s="1"/>
  <c r="A1836" i="5"/>
  <c r="T1835" i="5"/>
  <c r="K1835" i="5"/>
  <c r="J1835" i="5"/>
  <c r="C1835" i="5"/>
  <c r="A1835" i="5"/>
  <c r="T1834" i="5"/>
  <c r="K1834" i="5"/>
  <c r="J1834" i="5"/>
  <c r="C1834" i="5"/>
  <c r="A1834" i="5"/>
  <c r="T1833" i="5"/>
  <c r="S61" i="8"/>
  <c r="C1833" i="5"/>
  <c r="C61" i="8" s="1"/>
  <c r="A1833" i="5"/>
  <c r="T1832" i="5"/>
  <c r="K1832" i="5"/>
  <c r="J1832" i="5"/>
  <c r="C1832" i="5"/>
  <c r="A1832" i="5"/>
  <c r="T1831" i="5"/>
  <c r="K1831" i="5"/>
  <c r="J1831" i="5"/>
  <c r="C1831" i="5"/>
  <c r="A1831" i="5"/>
  <c r="T1830" i="5"/>
  <c r="S60" i="8"/>
  <c r="C1830" i="5"/>
  <c r="C60" i="8" s="1"/>
  <c r="A1830" i="5"/>
  <c r="T1829" i="5"/>
  <c r="K1829" i="5"/>
  <c r="J1829" i="5"/>
  <c r="C1829" i="5"/>
  <c r="A1829" i="5"/>
  <c r="T1828" i="5"/>
  <c r="K1828" i="5"/>
  <c r="J1828" i="5"/>
  <c r="C1828" i="5"/>
  <c r="A1828" i="5"/>
  <c r="T1827" i="5"/>
  <c r="S59" i="8"/>
  <c r="C1827" i="5"/>
  <c r="C59" i="8" s="1"/>
  <c r="A1827" i="5"/>
  <c r="T1826" i="5"/>
  <c r="C1826" i="5"/>
  <c r="C58" i="8" s="1"/>
  <c r="A1826" i="5"/>
  <c r="T1825" i="5"/>
  <c r="K1825" i="5"/>
  <c r="J1825" i="5"/>
  <c r="C1825" i="5"/>
  <c r="A1825" i="5"/>
  <c r="T1824" i="5"/>
  <c r="K1824" i="5"/>
  <c r="J1824" i="5"/>
  <c r="C1824" i="5"/>
  <c r="A1824" i="5"/>
  <c r="T1823" i="5"/>
  <c r="S57" i="8"/>
  <c r="C1823" i="5"/>
  <c r="C57" i="8" s="1"/>
  <c r="A1823" i="5"/>
  <c r="T1822" i="5"/>
  <c r="K1822" i="5"/>
  <c r="J1822" i="5"/>
  <c r="C1822" i="5"/>
  <c r="A1822" i="5"/>
  <c r="T1821" i="5"/>
  <c r="K1821" i="5"/>
  <c r="J1821" i="5"/>
  <c r="C1821" i="5"/>
  <c r="A1821" i="5"/>
  <c r="T1820" i="5"/>
  <c r="K1820" i="5"/>
  <c r="J1820" i="5"/>
  <c r="C1820" i="5"/>
  <c r="A1820" i="5"/>
  <c r="T1819" i="5"/>
  <c r="S56" i="8"/>
  <c r="C1819" i="5"/>
  <c r="C56" i="8" s="1"/>
  <c r="A1819" i="5"/>
  <c r="T1818" i="5"/>
  <c r="K1818" i="5"/>
  <c r="J1818" i="5"/>
  <c r="C1818" i="5"/>
  <c r="A1818" i="5"/>
  <c r="T1817" i="5"/>
  <c r="K1817" i="5"/>
  <c r="J1817" i="5"/>
  <c r="C1817" i="5"/>
  <c r="A1817" i="5"/>
  <c r="T1816" i="5"/>
  <c r="K1816" i="5"/>
  <c r="J1816" i="5"/>
  <c r="C1816" i="5"/>
  <c r="A1816" i="5"/>
  <c r="T1815" i="5"/>
  <c r="S55" i="8"/>
  <c r="C1815" i="5"/>
  <c r="C55" i="8" s="1"/>
  <c r="A1815" i="5"/>
  <c r="T1814" i="5"/>
  <c r="K1814" i="5"/>
  <c r="J1814" i="5"/>
  <c r="C1814" i="5"/>
  <c r="A1814" i="5"/>
  <c r="T1813" i="5"/>
  <c r="S54" i="8"/>
  <c r="C1813" i="5"/>
  <c r="C54" i="8" s="1"/>
  <c r="A1813" i="5"/>
  <c r="T1812" i="5"/>
  <c r="C1812" i="5"/>
  <c r="C53" i="8" s="1"/>
  <c r="A1812" i="5"/>
  <c r="T1811" i="5"/>
  <c r="K1811" i="5"/>
  <c r="J1811" i="5"/>
  <c r="C1811" i="5"/>
  <c r="A1811" i="5"/>
  <c r="T1810" i="5"/>
  <c r="S52" i="8"/>
  <c r="C1810" i="5"/>
  <c r="C52" i="8" s="1"/>
  <c r="A1810" i="5"/>
  <c r="T1809" i="5"/>
  <c r="K1809" i="5"/>
  <c r="J1809" i="5"/>
  <c r="C1809" i="5"/>
  <c r="A1809" i="5"/>
  <c r="T1808" i="5"/>
  <c r="K1808" i="5"/>
  <c r="J1808" i="5"/>
  <c r="C1808" i="5"/>
  <c r="A1808" i="5"/>
  <c r="T1807" i="5"/>
  <c r="S51" i="8"/>
  <c r="C1807" i="5"/>
  <c r="C51" i="8" s="1"/>
  <c r="A1807" i="5"/>
  <c r="T1806" i="5"/>
  <c r="K1806" i="5"/>
  <c r="J1806" i="5"/>
  <c r="C1806" i="5"/>
  <c r="A1806" i="5"/>
  <c r="T1805" i="5"/>
  <c r="K1805" i="5"/>
  <c r="J1805" i="5"/>
  <c r="C1805" i="5"/>
  <c r="A1805" i="5"/>
  <c r="T1804" i="5"/>
  <c r="K1804" i="5"/>
  <c r="J1804" i="5"/>
  <c r="C1804" i="5"/>
  <c r="A1804" i="5"/>
  <c r="T1803" i="5"/>
  <c r="S50" i="8"/>
  <c r="C1803" i="5"/>
  <c r="C50" i="8" s="1"/>
  <c r="A1803" i="5"/>
  <c r="T1802" i="5"/>
  <c r="K1802" i="5"/>
  <c r="J1802" i="5"/>
  <c r="C1802" i="5"/>
  <c r="A1802" i="5"/>
  <c r="T1801" i="5"/>
  <c r="K1801" i="5"/>
  <c r="J1801" i="5"/>
  <c r="C1801" i="5"/>
  <c r="A1801" i="5"/>
  <c r="T1800" i="5"/>
  <c r="S49" i="8"/>
  <c r="C1800" i="5"/>
  <c r="C49" i="8" s="1"/>
  <c r="A1800" i="5"/>
  <c r="T1799" i="5"/>
  <c r="K1799" i="5"/>
  <c r="J1799" i="5"/>
  <c r="C1799" i="5"/>
  <c r="A1799" i="5"/>
  <c r="T1798" i="5"/>
  <c r="K1798" i="5"/>
  <c r="J1798" i="5"/>
  <c r="C1798" i="5"/>
  <c r="A1798" i="5"/>
  <c r="T1797" i="5"/>
  <c r="S48" i="8"/>
  <c r="C1797" i="5"/>
  <c r="C48" i="8" s="1"/>
  <c r="A1797" i="5"/>
  <c r="T1796" i="5"/>
  <c r="C1796" i="5"/>
  <c r="C47" i="8" s="1"/>
  <c r="A1796" i="5"/>
  <c r="T1795" i="5"/>
  <c r="K1795" i="5"/>
  <c r="J1795" i="5"/>
  <c r="C1795" i="5"/>
  <c r="A1795" i="5"/>
  <c r="T1794" i="5"/>
  <c r="K1794" i="5"/>
  <c r="J1794" i="5"/>
  <c r="C1794" i="5"/>
  <c r="A1794" i="5"/>
  <c r="T1793" i="5"/>
  <c r="S46" i="8"/>
  <c r="C1793" i="5"/>
  <c r="C46" i="8" s="1"/>
  <c r="A1793" i="5"/>
  <c r="T1792" i="5"/>
  <c r="K1792" i="5"/>
  <c r="J1792" i="5"/>
  <c r="C1792" i="5"/>
  <c r="A1792" i="5"/>
  <c r="T1791" i="5"/>
  <c r="K1791" i="5"/>
  <c r="J1791" i="5"/>
  <c r="C1791" i="5"/>
  <c r="A1791" i="5"/>
  <c r="T1790" i="5"/>
  <c r="S45" i="8"/>
  <c r="C1790" i="5"/>
  <c r="C45" i="8" s="1"/>
  <c r="A1790" i="5"/>
  <c r="T1789" i="5"/>
  <c r="K1789" i="5"/>
  <c r="J1789" i="5"/>
  <c r="C1789" i="5"/>
  <c r="A1789" i="5"/>
  <c r="T1788" i="5"/>
  <c r="K1788" i="5"/>
  <c r="J1788" i="5"/>
  <c r="C1788" i="5"/>
  <c r="A1788" i="5"/>
  <c r="T1787" i="5"/>
  <c r="S44" i="8"/>
  <c r="C1787" i="5"/>
  <c r="C44" i="8" s="1"/>
  <c r="A1787" i="5"/>
  <c r="T1786" i="5"/>
  <c r="C1786" i="5"/>
  <c r="C43" i="8" s="1"/>
  <c r="A1786" i="5"/>
  <c r="T1785" i="5"/>
  <c r="K1785" i="5"/>
  <c r="J1785" i="5"/>
  <c r="C1785" i="5"/>
  <c r="A1785" i="5"/>
  <c r="T1784" i="5"/>
  <c r="K1784" i="5"/>
  <c r="J1784" i="5"/>
  <c r="C1784" i="5"/>
  <c r="A1784" i="5"/>
  <c r="T1783" i="5"/>
  <c r="S42" i="8"/>
  <c r="C1783" i="5"/>
  <c r="C42" i="8" s="1"/>
  <c r="A1783" i="5"/>
  <c r="T1782" i="5"/>
  <c r="K1782" i="5"/>
  <c r="J1782" i="5"/>
  <c r="C1782" i="5"/>
  <c r="A1782" i="5"/>
  <c r="T1781" i="5"/>
  <c r="K1781" i="5"/>
  <c r="J1781" i="5"/>
  <c r="C1781" i="5"/>
  <c r="A1781" i="5"/>
  <c r="T1780" i="5"/>
  <c r="K1780" i="5"/>
  <c r="J1780" i="5"/>
  <c r="C1780" i="5"/>
  <c r="A1780" i="5"/>
  <c r="T1779" i="5"/>
  <c r="S41" i="8"/>
  <c r="C1779" i="5"/>
  <c r="C41" i="8" s="1"/>
  <c r="A1779" i="5"/>
  <c r="T1778" i="5"/>
  <c r="K1778" i="5"/>
  <c r="J1778" i="5"/>
  <c r="C1778" i="5"/>
  <c r="A1778" i="5"/>
  <c r="T1777" i="5"/>
  <c r="K1777" i="5"/>
  <c r="J1777" i="5"/>
  <c r="C1777" i="5"/>
  <c r="A1777" i="5"/>
  <c r="T1776" i="5"/>
  <c r="S40" i="8"/>
  <c r="C1776" i="5"/>
  <c r="C40" i="8" s="1"/>
  <c r="A1776" i="5"/>
  <c r="T1775" i="5"/>
  <c r="K1775" i="5"/>
  <c r="J1775" i="5"/>
  <c r="C1775" i="5"/>
  <c r="A1775" i="5"/>
  <c r="T1774" i="5"/>
  <c r="K1774" i="5"/>
  <c r="J1774" i="5"/>
  <c r="C1774" i="5"/>
  <c r="A1774" i="5"/>
  <c r="T1773" i="5"/>
  <c r="S39" i="8"/>
  <c r="C1773" i="5"/>
  <c r="C39" i="8" s="1"/>
  <c r="A1773" i="5"/>
  <c r="T1772" i="5"/>
  <c r="K1772" i="5"/>
  <c r="J1772" i="5"/>
  <c r="C1772" i="5"/>
  <c r="A1772" i="5"/>
  <c r="T1771" i="5"/>
  <c r="K1771" i="5"/>
  <c r="J1771" i="5"/>
  <c r="C1771" i="5"/>
  <c r="A1771" i="5"/>
  <c r="T1770" i="5"/>
  <c r="S38" i="8"/>
  <c r="C1770" i="5"/>
  <c r="C38" i="8" s="1"/>
  <c r="A1770" i="5"/>
  <c r="T1769" i="5"/>
  <c r="C1769" i="5"/>
  <c r="C37" i="8" s="1"/>
  <c r="A1769" i="5"/>
  <c r="T1768" i="5"/>
  <c r="K1768" i="5"/>
  <c r="J1768" i="5"/>
  <c r="C1768" i="5"/>
  <c r="A1768" i="5"/>
  <c r="T1767" i="5"/>
  <c r="S36" i="8"/>
  <c r="C1767" i="5"/>
  <c r="C36" i="8" s="1"/>
  <c r="A1767" i="5"/>
  <c r="T1766" i="5"/>
  <c r="K1766" i="5"/>
  <c r="J1766" i="5"/>
  <c r="C1766" i="5"/>
  <c r="A1766" i="5"/>
  <c r="T1765" i="5"/>
  <c r="S35" i="8"/>
  <c r="C1765" i="5"/>
  <c r="C35" i="8" s="1"/>
  <c r="A1765" i="5"/>
  <c r="T1764" i="5"/>
  <c r="C1764" i="5"/>
  <c r="C34" i="8" s="1"/>
  <c r="A1764" i="5"/>
  <c r="T1763" i="5"/>
  <c r="K1763" i="5"/>
  <c r="J1763" i="5"/>
  <c r="C1763" i="5"/>
  <c r="A1763" i="5"/>
  <c r="T1762" i="5"/>
  <c r="K1762" i="5"/>
  <c r="J1762" i="5"/>
  <c r="C1762" i="5"/>
  <c r="A1762" i="5"/>
  <c r="T1761" i="5"/>
  <c r="K1761" i="5"/>
  <c r="J1761" i="5"/>
  <c r="C1761" i="5"/>
  <c r="A1761" i="5"/>
  <c r="T1760" i="5"/>
  <c r="S33" i="8"/>
  <c r="C1760" i="5"/>
  <c r="C33" i="8" s="1"/>
  <c r="A1760" i="5"/>
  <c r="T1759" i="5"/>
  <c r="K1759" i="5"/>
  <c r="J1759" i="5"/>
  <c r="C1759" i="5"/>
  <c r="A1759" i="5"/>
  <c r="T1758" i="5"/>
  <c r="K1758" i="5"/>
  <c r="J1758" i="5"/>
  <c r="C1758" i="5"/>
  <c r="A1758" i="5"/>
  <c r="T1757" i="5"/>
  <c r="K1757" i="5"/>
  <c r="J1757" i="5"/>
  <c r="C1757" i="5"/>
  <c r="A1757" i="5"/>
  <c r="T1756" i="5"/>
  <c r="S32" i="8"/>
  <c r="C1756" i="5"/>
  <c r="C32" i="8" s="1"/>
  <c r="A1756" i="5"/>
  <c r="T1755" i="5"/>
  <c r="C1755" i="5"/>
  <c r="C31" i="8" s="1"/>
  <c r="A1755" i="5"/>
  <c r="T1754" i="5"/>
  <c r="K1754" i="5"/>
  <c r="J1754" i="5"/>
  <c r="C1754" i="5"/>
  <c r="A1754" i="5"/>
  <c r="T1753" i="5"/>
  <c r="S30" i="8"/>
  <c r="C1753" i="5"/>
  <c r="C30" i="8" s="1"/>
  <c r="A1753" i="5"/>
  <c r="T1752" i="5"/>
  <c r="K1752" i="5"/>
  <c r="J1752" i="5"/>
  <c r="C1752" i="5"/>
  <c r="A1752" i="5"/>
  <c r="T1751" i="5"/>
  <c r="S29" i="8"/>
  <c r="C1751" i="5"/>
  <c r="C29" i="8" s="1"/>
  <c r="A1751" i="5"/>
  <c r="T1750" i="5"/>
  <c r="C1750" i="5"/>
  <c r="C28" i="8" s="1"/>
  <c r="A1750" i="5"/>
  <c r="T1749" i="5"/>
  <c r="C1749" i="5"/>
  <c r="C27" i="8" s="1"/>
  <c r="A1749" i="5"/>
  <c r="T1746" i="5"/>
  <c r="K1746" i="5"/>
  <c r="J1746" i="5"/>
  <c r="C1746" i="5"/>
  <c r="A1746" i="5"/>
  <c r="T1745" i="5"/>
  <c r="S25" i="8"/>
  <c r="C1745" i="5"/>
  <c r="C25" i="8" s="1"/>
  <c r="A1745" i="5"/>
  <c r="T1744" i="5"/>
  <c r="C1744" i="5"/>
  <c r="C24" i="8" s="1"/>
  <c r="A1744" i="5"/>
  <c r="T1743" i="5"/>
  <c r="K1743" i="5"/>
  <c r="J1743" i="5"/>
  <c r="C1743" i="5"/>
  <c r="A1743" i="5"/>
  <c r="T1742" i="5"/>
  <c r="K1742" i="5"/>
  <c r="J1742" i="5"/>
  <c r="C1742" i="5"/>
  <c r="A1742" i="5"/>
  <c r="T1741" i="5"/>
  <c r="S23" i="8"/>
  <c r="C1741" i="5"/>
  <c r="C23" i="8" s="1"/>
  <c r="A1741" i="5"/>
  <c r="T1740" i="5"/>
  <c r="K1740" i="5"/>
  <c r="J1740" i="5"/>
  <c r="C1740" i="5"/>
  <c r="A1740" i="5"/>
  <c r="T1739" i="5"/>
  <c r="K1739" i="5"/>
  <c r="J1739" i="5"/>
  <c r="C1739" i="5"/>
  <c r="A1739" i="5"/>
  <c r="T1738" i="5"/>
  <c r="S22" i="8"/>
  <c r="C1738" i="5"/>
  <c r="C22" i="8" s="1"/>
  <c r="A1738" i="5"/>
  <c r="T1737" i="5"/>
  <c r="C1737" i="5"/>
  <c r="C21" i="8" s="1"/>
  <c r="A1737" i="5"/>
  <c r="T1736" i="5"/>
  <c r="K1736" i="5"/>
  <c r="J1736" i="5"/>
  <c r="C1736" i="5"/>
  <c r="A1736" i="5"/>
  <c r="T1735" i="5"/>
  <c r="K1735" i="5"/>
  <c r="J1735" i="5"/>
  <c r="C1735" i="5"/>
  <c r="A1735" i="5"/>
  <c r="T1734" i="5"/>
  <c r="S20" i="8"/>
  <c r="C1734" i="5"/>
  <c r="C20" i="8" s="1"/>
  <c r="A1734" i="5"/>
  <c r="T1733" i="5"/>
  <c r="K1733" i="5"/>
  <c r="J1733" i="5"/>
  <c r="C1733" i="5"/>
  <c r="A1733" i="5"/>
  <c r="T1732" i="5"/>
  <c r="S19" i="8"/>
  <c r="C1732" i="5"/>
  <c r="C19" i="8" s="1"/>
  <c r="A1732" i="5"/>
  <c r="T1731" i="5"/>
  <c r="C1731" i="5"/>
  <c r="C18" i="8" s="1"/>
  <c r="A1731" i="5"/>
  <c r="T1730" i="5"/>
  <c r="K1730" i="5"/>
  <c r="J1730" i="5"/>
  <c r="C1730" i="5"/>
  <c r="A1730" i="5"/>
  <c r="T1729" i="5"/>
  <c r="S17" i="8"/>
  <c r="C1729" i="5"/>
  <c r="C17" i="8" s="1"/>
  <c r="A1729" i="5"/>
  <c r="T1728" i="5"/>
  <c r="K1728" i="5"/>
  <c r="J1728" i="5"/>
  <c r="C1728" i="5"/>
  <c r="A1728" i="5"/>
  <c r="T1727" i="5"/>
  <c r="K1727" i="5"/>
  <c r="J1727" i="5"/>
  <c r="C1727" i="5"/>
  <c r="A1727" i="5"/>
  <c r="T1726" i="5"/>
  <c r="S16" i="8"/>
  <c r="C1726" i="5"/>
  <c r="C16" i="8" s="1"/>
  <c r="A1726" i="5"/>
  <c r="T1725" i="5"/>
  <c r="C1725" i="5"/>
  <c r="C15" i="8" s="1"/>
  <c r="A1725" i="5"/>
  <c r="T1724" i="5"/>
  <c r="K1724" i="5"/>
  <c r="J1724" i="5"/>
  <c r="C1724" i="5"/>
  <c r="A1724" i="5"/>
  <c r="T1723" i="5"/>
  <c r="K1723" i="5"/>
  <c r="J1723" i="5"/>
  <c r="C1723" i="5"/>
  <c r="A1723" i="5"/>
  <c r="T1722" i="5"/>
  <c r="S14" i="8"/>
  <c r="C1722" i="5"/>
  <c r="C14" i="8" s="1"/>
  <c r="A1722" i="5"/>
  <c r="T1721" i="5"/>
  <c r="K1721" i="5"/>
  <c r="J1721" i="5"/>
  <c r="C1721" i="5"/>
  <c r="A1721" i="5"/>
  <c r="T1720" i="5"/>
  <c r="K1720" i="5"/>
  <c r="J1720" i="5"/>
  <c r="C1720" i="5"/>
  <c r="A1720" i="5"/>
  <c r="T1719" i="5"/>
  <c r="S13" i="8"/>
  <c r="C1719" i="5"/>
  <c r="C13" i="8" s="1"/>
  <c r="A1719" i="5"/>
  <c r="T1718" i="5"/>
  <c r="K1718" i="5"/>
  <c r="J1718" i="5"/>
  <c r="C1718" i="5"/>
  <c r="A1718" i="5"/>
  <c r="T1717" i="5"/>
  <c r="S12" i="8"/>
  <c r="C1717" i="5"/>
  <c r="C12" i="8" s="1"/>
  <c r="A1717" i="5"/>
  <c r="T1716" i="5"/>
  <c r="C1716" i="5"/>
  <c r="C11" i="8" s="1"/>
  <c r="A1716" i="5"/>
  <c r="T1715" i="5"/>
  <c r="K1715" i="5"/>
  <c r="J1715" i="5"/>
  <c r="C1715" i="5"/>
  <c r="A1715" i="5"/>
  <c r="T1714" i="5"/>
  <c r="K1714" i="5"/>
  <c r="J1714" i="5"/>
  <c r="C1714" i="5"/>
  <c r="A1714" i="5"/>
  <c r="T1713" i="5"/>
  <c r="K1713" i="5"/>
  <c r="J1713" i="5"/>
  <c r="C1713" i="5"/>
  <c r="A1713" i="5"/>
  <c r="T1712" i="5"/>
  <c r="K1712" i="5"/>
  <c r="J1712" i="5"/>
  <c r="A1712" i="5"/>
  <c r="T1711" i="5"/>
  <c r="S10" i="8"/>
  <c r="C1711" i="5"/>
  <c r="C10" i="8" s="1"/>
  <c r="A1711" i="5"/>
  <c r="T1710" i="5"/>
  <c r="A1710" i="5"/>
  <c r="T1709" i="5"/>
  <c r="S1709" i="5"/>
  <c r="R1709" i="5"/>
  <c r="A1709" i="5"/>
  <c r="K1392" i="5"/>
  <c r="M1392" i="5" s="1"/>
  <c r="M1391" i="5" s="1"/>
  <c r="J1392" i="5"/>
  <c r="D1392" i="5"/>
  <c r="B1392" i="5"/>
  <c r="P1390" i="5"/>
  <c r="O1390" i="5"/>
  <c r="N1390" i="5"/>
  <c r="M1390" i="5"/>
  <c r="L1390" i="5"/>
  <c r="J1389" i="5"/>
  <c r="D1389" i="5"/>
  <c r="B1389" i="5"/>
  <c r="K1388" i="5"/>
  <c r="J1388" i="5"/>
  <c r="D1388" i="5"/>
  <c r="B1388" i="5"/>
  <c r="J1387" i="5"/>
  <c r="J2376" i="5" s="1"/>
  <c r="P1386" i="5"/>
  <c r="O1386" i="5"/>
  <c r="N1386" i="5"/>
  <c r="M1386" i="5"/>
  <c r="L1386" i="5"/>
  <c r="K1700" i="5"/>
  <c r="J1700" i="5"/>
  <c r="D1700" i="5"/>
  <c r="B1700" i="5"/>
  <c r="J1698" i="5"/>
  <c r="D1698" i="5"/>
  <c r="B1698" i="5"/>
  <c r="K1697" i="5"/>
  <c r="J1697" i="5"/>
  <c r="D1697" i="5"/>
  <c r="B1697" i="5"/>
  <c r="J1696" i="5"/>
  <c r="P1695" i="5"/>
  <c r="O1695" i="5"/>
  <c r="N1695" i="5"/>
  <c r="M1695" i="5"/>
  <c r="L1695" i="5"/>
  <c r="P1678" i="5"/>
  <c r="O1678" i="5"/>
  <c r="N1678" i="5"/>
  <c r="M1678" i="5"/>
  <c r="L1678" i="5"/>
  <c r="J1678" i="5"/>
  <c r="J1669" i="5"/>
  <c r="D1669" i="5"/>
  <c r="B1669" i="5"/>
  <c r="J1668" i="5"/>
  <c r="D1668" i="5"/>
  <c r="B1668" i="5"/>
  <c r="J1666" i="5"/>
  <c r="D1666" i="5"/>
  <c r="B1666" i="5"/>
  <c r="K1665" i="5"/>
  <c r="J1665" i="5"/>
  <c r="D1665" i="5"/>
  <c r="B1665" i="5"/>
  <c r="P1663" i="5"/>
  <c r="O1663" i="5"/>
  <c r="N1663" i="5"/>
  <c r="M1663" i="5"/>
  <c r="L1663" i="5"/>
  <c r="J1662" i="5"/>
  <c r="D1662" i="5"/>
  <c r="B1662" i="5"/>
  <c r="J1661" i="5"/>
  <c r="D1661" i="5"/>
  <c r="B1661" i="5"/>
  <c r="J1660" i="5"/>
  <c r="K1659" i="5"/>
  <c r="O1659" i="5" s="1"/>
  <c r="J1659" i="5"/>
  <c r="D1659" i="5"/>
  <c r="B1659" i="5"/>
  <c r="K1658" i="5"/>
  <c r="P1658" i="5" s="1"/>
  <c r="J1658" i="5"/>
  <c r="D1658" i="5"/>
  <c r="B1658" i="5"/>
  <c r="K1657" i="5"/>
  <c r="F1657" i="5"/>
  <c r="D1657" i="5"/>
  <c r="B1657" i="5"/>
  <c r="J1656" i="5"/>
  <c r="J1655" i="5"/>
  <c r="D1655" i="5"/>
  <c r="B1655" i="5"/>
  <c r="J1654" i="5"/>
  <c r="D1654" i="5"/>
  <c r="B1654" i="5"/>
  <c r="K1653" i="5"/>
  <c r="O1653" i="5" s="1"/>
  <c r="J1653" i="5"/>
  <c r="D1653" i="5"/>
  <c r="B1653" i="5"/>
  <c r="P1651" i="5"/>
  <c r="O1651" i="5"/>
  <c r="N1651" i="5"/>
  <c r="M1651" i="5"/>
  <c r="L1651" i="5"/>
  <c r="J1650" i="5"/>
  <c r="D1650" i="5"/>
  <c r="B1650" i="5"/>
  <c r="J1649" i="5"/>
  <c r="D1649" i="5"/>
  <c r="B1649" i="5"/>
  <c r="K1648" i="5"/>
  <c r="J1648" i="5"/>
  <c r="D1648" i="5"/>
  <c r="B1648" i="5"/>
  <c r="J1646" i="5"/>
  <c r="D1646" i="5"/>
  <c r="B1646" i="5"/>
  <c r="J1645" i="5"/>
  <c r="D1645" i="5"/>
  <c r="B1645" i="5"/>
  <c r="K1644" i="5"/>
  <c r="O1644" i="5" s="1"/>
  <c r="J1644" i="5"/>
  <c r="D1644" i="5"/>
  <c r="B1644" i="5"/>
  <c r="P1642" i="5"/>
  <c r="O1642" i="5"/>
  <c r="N1642" i="5"/>
  <c r="M1642" i="5"/>
  <c r="L1642" i="5"/>
  <c r="F1641" i="5"/>
  <c r="G1641" i="5" s="1"/>
  <c r="J1641" i="5" s="1"/>
  <c r="D1641" i="5"/>
  <c r="B1641" i="5"/>
  <c r="F1640" i="5"/>
  <c r="G1640" i="5" s="1"/>
  <c r="J1640" i="5" s="1"/>
  <c r="D1640" i="5"/>
  <c r="B1640" i="5"/>
  <c r="K1639" i="5"/>
  <c r="P1639" i="5" s="1"/>
  <c r="J1639" i="5"/>
  <c r="D1639" i="5"/>
  <c r="B1639" i="5"/>
  <c r="J1637" i="5"/>
  <c r="D1637" i="5"/>
  <c r="B1637" i="5"/>
  <c r="K1636" i="5"/>
  <c r="O1636" i="5" s="1"/>
  <c r="J1636" i="5"/>
  <c r="D1636" i="5"/>
  <c r="B1636" i="5"/>
  <c r="J1635" i="5"/>
  <c r="D1635" i="5"/>
  <c r="B1635" i="5"/>
  <c r="J1633" i="5"/>
  <c r="D1633" i="5"/>
  <c r="B1633" i="5"/>
  <c r="K1632" i="5"/>
  <c r="O1632" i="5" s="1"/>
  <c r="J1632" i="5"/>
  <c r="D1632" i="5"/>
  <c r="B1632" i="5"/>
  <c r="J1631" i="5"/>
  <c r="D1631" i="5"/>
  <c r="B1631" i="5"/>
  <c r="J1629" i="5"/>
  <c r="D1629" i="5"/>
  <c r="B1629" i="5"/>
  <c r="K1628" i="5"/>
  <c r="O1628" i="5" s="1"/>
  <c r="J1628" i="5"/>
  <c r="D1628" i="5"/>
  <c r="B1628" i="5"/>
  <c r="J1627" i="5"/>
  <c r="D1627" i="5"/>
  <c r="B1627" i="5"/>
  <c r="J1626" i="5"/>
  <c r="P1625" i="5"/>
  <c r="O1625" i="5"/>
  <c r="N1625" i="5"/>
  <c r="M1625" i="5"/>
  <c r="L1625" i="5"/>
  <c r="P1624" i="5"/>
  <c r="O1624" i="5"/>
  <c r="N1624" i="5"/>
  <c r="M1624" i="5"/>
  <c r="L1624" i="5"/>
  <c r="J1624" i="5"/>
  <c r="J1677" i="5"/>
  <c r="D1677" i="5"/>
  <c r="B1677" i="5"/>
  <c r="P1675" i="5"/>
  <c r="O1675" i="5"/>
  <c r="N1675" i="5"/>
  <c r="M1675" i="5"/>
  <c r="L1675" i="5"/>
  <c r="K1674" i="5"/>
  <c r="F1674" i="5"/>
  <c r="G1674" i="5" s="1"/>
  <c r="H1674" i="5" s="1"/>
  <c r="I1674" i="5" s="1"/>
  <c r="D1674" i="5"/>
  <c r="B1674" i="5"/>
  <c r="E1673" i="5"/>
  <c r="J1673" i="5" s="1"/>
  <c r="D1673" i="5"/>
  <c r="B1673" i="5"/>
  <c r="K1672" i="5"/>
  <c r="J1672" i="5"/>
  <c r="D1672" i="5"/>
  <c r="B1672" i="5"/>
  <c r="P1670" i="5"/>
  <c r="O1670" i="5"/>
  <c r="N1670" i="5"/>
  <c r="M1670" i="5"/>
  <c r="L1670" i="5"/>
  <c r="J1670" i="5"/>
  <c r="I1623" i="5"/>
  <c r="H1623" i="5"/>
  <c r="G1623" i="5"/>
  <c r="F1623" i="5"/>
  <c r="E1623" i="5"/>
  <c r="D1623" i="5"/>
  <c r="B1623" i="5"/>
  <c r="I1622" i="5"/>
  <c r="H1622" i="5"/>
  <c r="G1622" i="5"/>
  <c r="F1622" i="5"/>
  <c r="E1622" i="5"/>
  <c r="D1622" i="5"/>
  <c r="B1622" i="5"/>
  <c r="J1621" i="5"/>
  <c r="P1620" i="5"/>
  <c r="O1620" i="5"/>
  <c r="N1620" i="5"/>
  <c r="M1620" i="5"/>
  <c r="L1620" i="5"/>
  <c r="P1619" i="5"/>
  <c r="P2484" i="5" s="1"/>
  <c r="H2484" i="5" s="1"/>
  <c r="O1619" i="5"/>
  <c r="O2484" i="5" s="1"/>
  <c r="G2484" i="5" s="1"/>
  <c r="N1619" i="5"/>
  <c r="N2484" i="5" s="1"/>
  <c r="F2484" i="5" s="1"/>
  <c r="M1619" i="5"/>
  <c r="M2484" i="5" s="1"/>
  <c r="E2484" i="5" s="1"/>
  <c r="L1619" i="5"/>
  <c r="J1619" i="5"/>
  <c r="P1618" i="5"/>
  <c r="O1618" i="5"/>
  <c r="N1618" i="5"/>
  <c r="M1618" i="5"/>
  <c r="L1618" i="5"/>
  <c r="J1618" i="5"/>
  <c r="E1617" i="5"/>
  <c r="J1617" i="5" s="1"/>
  <c r="D1617" i="5"/>
  <c r="B1617" i="5"/>
  <c r="J1616" i="5"/>
  <c r="J1615" i="5"/>
  <c r="D1615" i="5"/>
  <c r="B1615" i="5"/>
  <c r="J1614" i="5"/>
  <c r="P1613" i="5"/>
  <c r="O1613" i="5"/>
  <c r="N1613" i="5"/>
  <c r="M1613" i="5"/>
  <c r="L1613" i="5"/>
  <c r="J1613" i="5"/>
  <c r="K1612" i="5"/>
  <c r="J1612" i="5"/>
  <c r="D1612" i="5"/>
  <c r="B1612" i="5"/>
  <c r="J1611" i="5"/>
  <c r="D1611" i="5"/>
  <c r="B1611" i="5"/>
  <c r="K1610" i="5"/>
  <c r="J1610" i="5"/>
  <c r="D1610" i="5"/>
  <c r="B1610" i="5"/>
  <c r="J1609" i="5"/>
  <c r="P1608" i="5"/>
  <c r="O1608" i="5"/>
  <c r="N1608" i="5"/>
  <c r="M1608" i="5"/>
  <c r="L1608" i="5"/>
  <c r="J1608" i="5"/>
  <c r="K1607" i="5"/>
  <c r="P1607" i="5" s="1"/>
  <c r="J1607" i="5"/>
  <c r="D1607" i="5"/>
  <c r="B1607" i="5"/>
  <c r="K1605" i="5"/>
  <c r="O1605" i="5" s="1"/>
  <c r="O1604" i="5" s="1"/>
  <c r="O2476" i="5" s="1"/>
  <c r="G2476" i="5" s="1"/>
  <c r="J1605" i="5"/>
  <c r="D1605" i="5"/>
  <c r="B1605" i="5"/>
  <c r="J1604" i="5"/>
  <c r="P1603" i="5"/>
  <c r="O1603" i="5"/>
  <c r="N1603" i="5"/>
  <c r="M1603" i="5"/>
  <c r="L1603" i="5"/>
  <c r="J1603" i="5"/>
  <c r="K1602" i="5"/>
  <c r="I1602" i="5"/>
  <c r="H1602" i="5"/>
  <c r="G1602" i="5"/>
  <c r="F1602" i="5"/>
  <c r="E1602" i="5"/>
  <c r="D1602" i="5"/>
  <c r="B1602" i="5"/>
  <c r="J1601" i="5"/>
  <c r="P1600" i="5"/>
  <c r="O1600" i="5"/>
  <c r="N1600" i="5"/>
  <c r="M1600" i="5"/>
  <c r="L1600" i="5"/>
  <c r="J1600" i="5"/>
  <c r="K1599" i="5"/>
  <c r="J1599" i="5"/>
  <c r="D1599" i="5"/>
  <c r="B1599" i="5"/>
  <c r="J1598" i="5"/>
  <c r="D1598" i="5"/>
  <c r="B1598" i="5"/>
  <c r="K1597" i="5"/>
  <c r="P1597" i="5" s="1"/>
  <c r="J1597" i="5"/>
  <c r="D1597" i="5"/>
  <c r="B1597" i="5"/>
  <c r="J1596" i="5"/>
  <c r="I1595" i="5"/>
  <c r="H1595" i="5"/>
  <c r="G1595" i="5"/>
  <c r="F1595" i="5"/>
  <c r="E1595" i="5"/>
  <c r="D1595" i="5"/>
  <c r="B1595" i="5"/>
  <c r="J1594" i="5"/>
  <c r="P1593" i="5"/>
  <c r="O1593" i="5"/>
  <c r="N1593" i="5"/>
  <c r="M1593" i="5"/>
  <c r="L1593" i="5"/>
  <c r="J1593" i="5"/>
  <c r="K1592" i="5"/>
  <c r="J1592" i="5"/>
  <c r="D1592" i="5"/>
  <c r="B1592" i="5"/>
  <c r="K1590" i="5"/>
  <c r="O1590" i="5" s="1"/>
  <c r="O1589" i="5" s="1"/>
  <c r="J1590" i="5"/>
  <c r="D1590" i="5"/>
  <c r="B1590" i="5"/>
  <c r="J1589" i="5"/>
  <c r="J1588" i="5"/>
  <c r="D1588" i="5"/>
  <c r="B1588" i="5"/>
  <c r="J1587" i="5"/>
  <c r="J1586" i="5"/>
  <c r="D1586" i="5"/>
  <c r="B1586" i="5"/>
  <c r="K1585" i="5"/>
  <c r="O1585" i="5" s="1"/>
  <c r="J1585" i="5"/>
  <c r="D1585" i="5"/>
  <c r="B1585" i="5"/>
  <c r="J1584" i="5"/>
  <c r="P1583" i="5"/>
  <c r="O1583" i="5"/>
  <c r="N1583" i="5"/>
  <c r="M1583" i="5"/>
  <c r="L1583" i="5"/>
  <c r="J1583" i="5"/>
  <c r="J1582" i="5"/>
  <c r="D1582" i="5"/>
  <c r="B1582" i="5"/>
  <c r="F1581" i="5"/>
  <c r="J1581" i="5" s="1"/>
  <c r="D1581" i="5"/>
  <c r="B1581" i="5"/>
  <c r="K1580" i="5"/>
  <c r="J1580" i="5"/>
  <c r="D1580" i="5"/>
  <c r="B1580" i="5"/>
  <c r="J1579" i="5"/>
  <c r="P1578" i="5"/>
  <c r="O1578" i="5"/>
  <c r="N1578" i="5"/>
  <c r="M1578" i="5"/>
  <c r="L1578" i="5"/>
  <c r="J1578" i="5"/>
  <c r="J1577" i="5"/>
  <c r="D1577" i="5"/>
  <c r="B1577" i="5"/>
  <c r="K1576" i="5"/>
  <c r="P1576" i="5" s="1"/>
  <c r="J1576" i="5"/>
  <c r="D1576" i="5"/>
  <c r="B1576" i="5"/>
  <c r="J1575" i="5"/>
  <c r="D1575" i="5"/>
  <c r="B1575" i="5"/>
  <c r="J1574" i="5"/>
  <c r="P1573" i="5"/>
  <c r="O1573" i="5"/>
  <c r="N1573" i="5"/>
  <c r="M1573" i="5"/>
  <c r="L1573" i="5"/>
  <c r="J1573" i="5"/>
  <c r="J1572" i="5"/>
  <c r="D1572" i="5"/>
  <c r="B1572" i="5"/>
  <c r="K1571" i="5"/>
  <c r="J1571" i="5"/>
  <c r="D1571" i="5"/>
  <c r="B1571" i="5"/>
  <c r="J1570" i="5"/>
  <c r="P1569" i="5"/>
  <c r="O1569" i="5"/>
  <c r="N1569" i="5"/>
  <c r="M1569" i="5"/>
  <c r="L1569" i="5"/>
  <c r="J1569" i="5"/>
  <c r="J1568" i="5"/>
  <c r="D1568" i="5"/>
  <c r="B1568" i="5"/>
  <c r="J1567" i="5"/>
  <c r="D1567" i="5"/>
  <c r="B1567" i="5"/>
  <c r="J1566" i="5"/>
  <c r="J1565" i="5"/>
  <c r="D1565" i="5"/>
  <c r="B1565" i="5"/>
  <c r="J1564" i="5"/>
  <c r="D1564" i="5"/>
  <c r="B1564" i="5"/>
  <c r="J1563" i="5"/>
  <c r="D1563" i="5"/>
  <c r="B1563" i="5"/>
  <c r="R1562" i="5"/>
  <c r="J1562" i="5"/>
  <c r="P1561" i="5"/>
  <c r="O1561" i="5"/>
  <c r="N1561" i="5"/>
  <c r="M1561" i="5"/>
  <c r="L1561" i="5"/>
  <c r="J1561" i="5"/>
  <c r="J1560" i="5"/>
  <c r="D1560" i="5"/>
  <c r="B1560" i="5"/>
  <c r="J1559" i="5"/>
  <c r="D1559" i="5"/>
  <c r="B1559" i="5"/>
  <c r="J1558" i="5"/>
  <c r="P1557" i="5"/>
  <c r="O1557" i="5"/>
  <c r="N1557" i="5"/>
  <c r="M1557" i="5"/>
  <c r="L1557" i="5"/>
  <c r="J1557" i="5"/>
  <c r="P1552" i="5"/>
  <c r="O1552" i="5"/>
  <c r="N1552" i="5"/>
  <c r="M1552" i="5"/>
  <c r="L1552" i="5"/>
  <c r="J1552" i="5"/>
  <c r="J1556" i="5"/>
  <c r="D1556" i="5"/>
  <c r="B1556" i="5"/>
  <c r="K1555" i="5"/>
  <c r="O1555" i="5" s="1"/>
  <c r="J1555" i="5"/>
  <c r="D1555" i="5"/>
  <c r="B1555" i="5"/>
  <c r="J1554" i="5"/>
  <c r="P1553" i="5"/>
  <c r="O1553" i="5"/>
  <c r="N1553" i="5"/>
  <c r="M1553" i="5"/>
  <c r="L1553" i="5"/>
  <c r="J1553" i="5"/>
  <c r="K1551" i="5"/>
  <c r="M1551" i="5" s="1"/>
  <c r="D1551" i="5"/>
  <c r="B1551" i="5"/>
  <c r="K1550" i="5"/>
  <c r="G1550" i="5"/>
  <c r="D1550" i="5"/>
  <c r="B1550" i="5"/>
  <c r="J1549" i="5"/>
  <c r="K1548" i="5"/>
  <c r="O1548" i="5" s="1"/>
  <c r="F1548" i="5"/>
  <c r="J1548" i="5" s="1"/>
  <c r="D1548" i="5"/>
  <c r="B1548" i="5"/>
  <c r="F1547" i="5"/>
  <c r="J1547" i="5" s="1"/>
  <c r="D1547" i="5"/>
  <c r="B1547" i="5"/>
  <c r="J1546" i="5"/>
  <c r="P1545" i="5"/>
  <c r="O1545" i="5"/>
  <c r="N1545" i="5"/>
  <c r="M1545" i="5"/>
  <c r="L1545" i="5"/>
  <c r="J1545" i="5"/>
  <c r="K1544" i="5"/>
  <c r="O1544" i="5" s="1"/>
  <c r="J1544" i="5"/>
  <c r="D1544" i="5"/>
  <c r="B1544" i="5"/>
  <c r="J1543" i="5"/>
  <c r="D1543" i="5"/>
  <c r="B1543" i="5"/>
  <c r="J1542" i="5"/>
  <c r="E1541" i="5"/>
  <c r="J1541" i="5" s="1"/>
  <c r="D1541" i="5"/>
  <c r="B1541" i="5"/>
  <c r="J1540" i="5"/>
  <c r="D1540" i="5"/>
  <c r="B1540" i="5"/>
  <c r="P1538" i="5"/>
  <c r="O1538" i="5"/>
  <c r="N1538" i="5"/>
  <c r="M1538" i="5"/>
  <c r="L1538" i="5"/>
  <c r="J1538" i="5"/>
  <c r="K1537" i="5"/>
  <c r="D1537" i="5"/>
  <c r="B1537" i="5"/>
  <c r="K1536" i="5"/>
  <c r="D1536" i="5"/>
  <c r="B1536" i="5"/>
  <c r="I1534" i="5"/>
  <c r="H1534" i="5"/>
  <c r="G1534" i="5"/>
  <c r="F1534" i="5"/>
  <c r="E1534" i="5"/>
  <c r="D1534" i="5"/>
  <c r="B1534" i="5"/>
  <c r="J1533" i="5"/>
  <c r="D1533" i="5"/>
  <c r="B1533" i="5"/>
  <c r="P1531" i="5"/>
  <c r="O1531" i="5"/>
  <c r="N1531" i="5"/>
  <c r="M1531" i="5"/>
  <c r="L1531" i="5"/>
  <c r="K1530" i="5"/>
  <c r="D1530" i="5"/>
  <c r="B1530" i="5"/>
  <c r="K1529" i="5"/>
  <c r="I1529" i="5"/>
  <c r="I1530" i="5" s="1"/>
  <c r="I1536" i="5" s="1"/>
  <c r="H1529" i="5"/>
  <c r="H1530" i="5" s="1"/>
  <c r="H1536" i="5" s="1"/>
  <c r="H1537" i="5" s="1"/>
  <c r="G1529" i="5"/>
  <c r="G1530" i="5" s="1"/>
  <c r="F1529" i="5"/>
  <c r="F1530" i="5" s="1"/>
  <c r="F1536" i="5" s="1"/>
  <c r="F1537" i="5" s="1"/>
  <c r="E1529" i="5"/>
  <c r="D1529" i="5"/>
  <c r="B1529" i="5"/>
  <c r="E1528" i="5"/>
  <c r="D1528" i="5"/>
  <c r="B1528" i="5"/>
  <c r="K1526" i="5"/>
  <c r="I1526" i="5"/>
  <c r="H1526" i="5"/>
  <c r="G1526" i="5"/>
  <c r="F1526" i="5"/>
  <c r="E1526" i="5"/>
  <c r="D1526" i="5"/>
  <c r="B1526" i="5"/>
  <c r="I1525" i="5"/>
  <c r="H1525" i="5"/>
  <c r="G1525" i="5"/>
  <c r="F1525" i="5"/>
  <c r="E1525" i="5"/>
  <c r="D1525" i="5"/>
  <c r="B1525" i="5"/>
  <c r="P1523" i="5"/>
  <c r="O1523" i="5"/>
  <c r="N1523" i="5"/>
  <c r="M1523" i="5"/>
  <c r="L1523" i="5"/>
  <c r="I1522" i="5"/>
  <c r="H1522" i="5"/>
  <c r="G1522" i="5"/>
  <c r="F1522" i="5"/>
  <c r="E1522" i="5"/>
  <c r="D1522" i="5"/>
  <c r="B1522" i="5"/>
  <c r="I1521" i="5"/>
  <c r="H1521" i="5"/>
  <c r="G1521" i="5"/>
  <c r="F1521" i="5"/>
  <c r="E1521" i="5"/>
  <c r="D1521" i="5"/>
  <c r="B1521" i="5"/>
  <c r="J1520" i="5"/>
  <c r="K1519" i="5"/>
  <c r="E1519" i="5"/>
  <c r="D1519" i="5"/>
  <c r="B1519" i="5"/>
  <c r="E1518" i="5"/>
  <c r="D1518" i="5"/>
  <c r="B1518" i="5"/>
  <c r="J1517" i="5"/>
  <c r="K1516" i="5"/>
  <c r="E1516" i="5"/>
  <c r="D1516" i="5"/>
  <c r="B1516" i="5"/>
  <c r="J1515" i="5"/>
  <c r="D1515" i="5"/>
  <c r="B1515" i="5"/>
  <c r="J1514" i="5"/>
  <c r="P1513" i="5"/>
  <c r="O1513" i="5"/>
  <c r="N1513" i="5"/>
  <c r="M1513" i="5"/>
  <c r="L1513" i="5"/>
  <c r="J1513" i="5"/>
  <c r="P1512" i="5"/>
  <c r="O1512" i="5"/>
  <c r="N1512" i="5"/>
  <c r="M1512" i="5"/>
  <c r="L1512" i="5"/>
  <c r="J1512" i="5"/>
  <c r="J1511" i="5"/>
  <c r="D1511" i="5"/>
  <c r="B1511" i="5"/>
  <c r="K1510" i="5"/>
  <c r="O1510" i="5" s="1"/>
  <c r="J1510" i="5"/>
  <c r="D1510" i="5"/>
  <c r="B1510" i="5"/>
  <c r="J1509" i="5"/>
  <c r="P1508" i="5"/>
  <c r="O1508" i="5"/>
  <c r="N1508" i="5"/>
  <c r="M1508" i="5"/>
  <c r="L1508" i="5"/>
  <c r="J1508" i="5"/>
  <c r="J1507" i="5"/>
  <c r="D1507" i="5"/>
  <c r="B1507" i="5"/>
  <c r="K1506" i="5"/>
  <c r="P1506" i="5" s="1"/>
  <c r="J1506" i="5"/>
  <c r="D1506" i="5"/>
  <c r="B1506" i="5"/>
  <c r="M1505" i="5"/>
  <c r="M2431" i="5" s="1"/>
  <c r="L1505" i="5"/>
  <c r="L2431" i="5" s="1"/>
  <c r="J1505" i="5"/>
  <c r="P1504" i="5"/>
  <c r="O1504" i="5"/>
  <c r="N1504" i="5"/>
  <c r="M1504" i="5"/>
  <c r="L1504" i="5"/>
  <c r="J1504" i="5"/>
  <c r="P1503" i="5"/>
  <c r="P2429" i="5" s="1"/>
  <c r="H2429" i="5" s="1"/>
  <c r="O1503" i="5"/>
  <c r="O2429" i="5" s="1"/>
  <c r="G2429" i="5" s="1"/>
  <c r="N1503" i="5"/>
  <c r="N2429" i="5" s="1"/>
  <c r="F2429" i="5" s="1"/>
  <c r="M1503" i="5"/>
  <c r="M2429" i="5" s="1"/>
  <c r="E2429" i="5" s="1"/>
  <c r="L1503" i="5"/>
  <c r="L2429" i="5" s="1"/>
  <c r="D2429" i="5" s="1"/>
  <c r="J1503" i="5"/>
  <c r="P1502" i="5"/>
  <c r="P2428" i="5" s="1"/>
  <c r="H2428" i="5" s="1"/>
  <c r="O1502" i="5"/>
  <c r="O2428" i="5" s="1"/>
  <c r="G2428" i="5" s="1"/>
  <c r="N1502" i="5"/>
  <c r="N2428" i="5" s="1"/>
  <c r="F2428" i="5" s="1"/>
  <c r="M1502" i="5"/>
  <c r="M2428" i="5" s="1"/>
  <c r="E2428" i="5" s="1"/>
  <c r="L1502" i="5"/>
  <c r="J1502" i="5"/>
  <c r="P1501" i="5"/>
  <c r="O1501" i="5"/>
  <c r="N1501" i="5"/>
  <c r="M1501" i="5"/>
  <c r="L1501" i="5"/>
  <c r="J1501" i="5"/>
  <c r="P1500" i="5"/>
  <c r="O1500" i="5"/>
  <c r="N1500" i="5"/>
  <c r="M1500" i="5"/>
  <c r="L1500" i="5"/>
  <c r="J1500" i="5"/>
  <c r="F1499" i="5"/>
  <c r="G1499" i="5" s="1"/>
  <c r="D1499" i="5"/>
  <c r="B1499" i="5"/>
  <c r="J1498" i="5"/>
  <c r="J1497" i="5"/>
  <c r="D1497" i="5"/>
  <c r="B1497" i="5"/>
  <c r="K1496" i="5"/>
  <c r="M1496" i="5" s="1"/>
  <c r="J1496" i="5"/>
  <c r="D1496" i="5"/>
  <c r="B1496" i="5"/>
  <c r="J1495" i="5"/>
  <c r="J1494" i="5"/>
  <c r="D1494" i="5"/>
  <c r="B1494" i="5"/>
  <c r="J1493" i="5"/>
  <c r="D1493" i="5"/>
  <c r="B1493" i="5"/>
  <c r="J1492" i="5"/>
  <c r="J1491" i="5"/>
  <c r="D1491" i="5"/>
  <c r="B1491" i="5"/>
  <c r="K1490" i="5"/>
  <c r="J1490" i="5"/>
  <c r="D1490" i="5"/>
  <c r="B1490" i="5"/>
  <c r="J1489" i="5"/>
  <c r="D1489" i="5"/>
  <c r="B1489" i="5"/>
  <c r="J1488" i="5"/>
  <c r="P1487" i="5"/>
  <c r="O1487" i="5"/>
  <c r="N1487" i="5"/>
  <c r="M1487" i="5"/>
  <c r="L1487" i="5"/>
  <c r="J1487" i="5"/>
  <c r="I1486" i="5"/>
  <c r="H1486" i="5"/>
  <c r="G1486" i="5"/>
  <c r="F1486" i="5"/>
  <c r="E1486" i="5"/>
  <c r="D1486" i="5"/>
  <c r="B1486" i="5"/>
  <c r="J1485" i="5"/>
  <c r="F1484" i="5"/>
  <c r="G1484" i="5" s="1"/>
  <c r="H1484" i="5" s="1"/>
  <c r="I1484" i="5" s="1"/>
  <c r="D1484" i="5"/>
  <c r="B1484" i="5"/>
  <c r="E1483" i="5"/>
  <c r="J1483" i="5" s="1"/>
  <c r="D1483" i="5"/>
  <c r="B1483" i="5"/>
  <c r="J1482" i="5"/>
  <c r="P1481" i="5"/>
  <c r="O1481" i="5"/>
  <c r="N1481" i="5"/>
  <c r="M1481" i="5"/>
  <c r="L1481" i="5"/>
  <c r="J1481" i="5"/>
  <c r="H1480" i="5"/>
  <c r="I1480" i="5" s="1"/>
  <c r="F1480" i="5"/>
  <c r="D1480" i="5"/>
  <c r="B1480" i="5"/>
  <c r="J1479" i="5"/>
  <c r="K1478" i="5"/>
  <c r="J1478" i="5"/>
  <c r="D1478" i="5"/>
  <c r="B1478" i="5"/>
  <c r="J1477" i="5"/>
  <c r="P1476" i="5"/>
  <c r="O1476" i="5"/>
  <c r="N1476" i="5"/>
  <c r="M1476" i="5"/>
  <c r="L1476" i="5"/>
  <c r="J1476" i="5"/>
  <c r="F1475" i="5"/>
  <c r="G1475" i="5" s="1"/>
  <c r="H1475" i="5" s="1"/>
  <c r="I1475" i="5" s="1"/>
  <c r="D1475" i="5"/>
  <c r="B1475" i="5"/>
  <c r="E1474" i="5"/>
  <c r="J1474" i="5" s="1"/>
  <c r="D1474" i="5"/>
  <c r="B1474" i="5"/>
  <c r="R1473" i="5"/>
  <c r="J1473" i="5"/>
  <c r="F1472" i="5"/>
  <c r="D1472" i="5"/>
  <c r="B1472" i="5"/>
  <c r="E1471" i="5"/>
  <c r="J1471" i="5" s="1"/>
  <c r="D1471" i="5"/>
  <c r="B1471" i="5"/>
  <c r="R1470" i="5"/>
  <c r="J1470" i="5"/>
  <c r="J1469" i="5"/>
  <c r="D1469" i="5"/>
  <c r="B1469" i="5"/>
  <c r="K1468" i="5"/>
  <c r="O1468" i="5" s="1"/>
  <c r="J1468" i="5"/>
  <c r="D1468" i="5"/>
  <c r="B1468" i="5"/>
  <c r="J1467" i="5"/>
  <c r="P1466" i="5"/>
  <c r="O1466" i="5"/>
  <c r="N1466" i="5"/>
  <c r="M1466" i="5"/>
  <c r="L1466" i="5"/>
  <c r="J1466" i="5"/>
  <c r="G1465" i="5"/>
  <c r="D1465" i="5"/>
  <c r="B1465" i="5"/>
  <c r="E1464" i="5"/>
  <c r="J1464" i="5" s="1"/>
  <c r="D1464" i="5"/>
  <c r="B1464" i="5"/>
  <c r="J1463" i="5"/>
  <c r="K1462" i="5"/>
  <c r="J1462" i="5"/>
  <c r="D1462" i="5"/>
  <c r="B1462" i="5"/>
  <c r="K1461" i="5"/>
  <c r="J1461" i="5"/>
  <c r="D1461" i="5"/>
  <c r="B1461" i="5"/>
  <c r="K1460" i="5"/>
  <c r="E1460" i="5"/>
  <c r="D1460" i="5"/>
  <c r="B1460" i="5"/>
  <c r="J1459" i="5"/>
  <c r="D1459" i="5"/>
  <c r="B1459" i="5"/>
  <c r="K1458" i="5"/>
  <c r="O1458" i="5" s="1"/>
  <c r="J1458" i="5"/>
  <c r="D1458" i="5"/>
  <c r="B1458" i="5"/>
  <c r="R1457" i="5"/>
  <c r="J1457" i="5"/>
  <c r="E1456" i="5"/>
  <c r="J1456" i="5" s="1"/>
  <c r="D1456" i="5"/>
  <c r="B1456" i="5"/>
  <c r="E1455" i="5"/>
  <c r="J1455" i="5" s="1"/>
  <c r="D1455" i="5"/>
  <c r="B1455" i="5"/>
  <c r="J1454" i="5"/>
  <c r="D1454" i="5"/>
  <c r="B1454" i="5"/>
  <c r="J1453" i="5"/>
  <c r="P1452" i="5"/>
  <c r="O1452" i="5"/>
  <c r="N1452" i="5"/>
  <c r="M1452" i="5"/>
  <c r="L1452" i="5"/>
  <c r="J1452" i="5"/>
  <c r="P1451" i="5"/>
  <c r="O1451" i="5"/>
  <c r="N1451" i="5"/>
  <c r="M1451" i="5"/>
  <c r="L1451" i="5"/>
  <c r="J1451" i="5"/>
  <c r="J1403" i="5"/>
  <c r="D1403" i="5"/>
  <c r="B1403" i="5"/>
  <c r="K1402" i="5"/>
  <c r="J1402" i="5"/>
  <c r="D1402" i="5"/>
  <c r="B1402" i="5"/>
  <c r="J1401" i="5"/>
  <c r="P1400" i="5"/>
  <c r="O1400" i="5"/>
  <c r="N1400" i="5"/>
  <c r="M1400" i="5"/>
  <c r="L1400" i="5"/>
  <c r="J1400" i="5"/>
  <c r="K1399" i="5"/>
  <c r="O1399" i="5" s="1"/>
  <c r="O1398" i="5" s="1"/>
  <c r="O2381" i="5" s="1"/>
  <c r="G2381" i="5" s="1"/>
  <c r="J1399" i="5"/>
  <c r="D1399" i="5"/>
  <c r="B1399" i="5"/>
  <c r="J1398" i="5"/>
  <c r="J1397" i="5"/>
  <c r="D1397" i="5"/>
  <c r="B1397" i="5"/>
  <c r="K1396" i="5"/>
  <c r="O1396" i="5" s="1"/>
  <c r="J1396" i="5"/>
  <c r="D1396" i="5"/>
  <c r="B1396" i="5"/>
  <c r="J1395" i="5"/>
  <c r="D1395" i="5"/>
  <c r="B1395" i="5"/>
  <c r="J1394" i="5"/>
  <c r="P1393" i="5"/>
  <c r="O1393" i="5"/>
  <c r="N1393" i="5"/>
  <c r="M1393" i="5"/>
  <c r="L1393" i="5"/>
  <c r="J1393" i="5"/>
  <c r="D1450" i="5"/>
  <c r="B1450" i="5"/>
  <c r="J1430" i="5"/>
  <c r="D1430" i="5"/>
  <c r="B1430" i="5"/>
  <c r="J1429" i="5"/>
  <c r="D1429" i="5"/>
  <c r="B1429" i="5"/>
  <c r="D1428" i="5"/>
  <c r="B1428" i="5"/>
  <c r="K1427" i="5"/>
  <c r="J1427" i="5"/>
  <c r="D1427" i="5"/>
  <c r="B1427" i="5"/>
  <c r="J1426" i="5"/>
  <c r="P1425" i="5"/>
  <c r="O1425" i="5"/>
  <c r="N1425" i="5"/>
  <c r="M1425" i="5"/>
  <c r="L1425" i="5"/>
  <c r="J1425" i="5"/>
  <c r="J1424" i="5"/>
  <c r="D1424" i="5"/>
  <c r="B1424" i="5"/>
  <c r="J1423" i="5"/>
  <c r="J1422" i="5"/>
  <c r="D1422" i="5"/>
  <c r="B1422" i="5"/>
  <c r="J1421" i="5"/>
  <c r="J1420" i="5"/>
  <c r="D1420" i="5"/>
  <c r="B1420" i="5"/>
  <c r="K1419" i="5"/>
  <c r="J1419" i="5"/>
  <c r="D1419" i="5"/>
  <c r="B1419" i="5"/>
  <c r="J1418" i="5"/>
  <c r="J1417" i="5"/>
  <c r="D1417" i="5"/>
  <c r="B1417" i="5"/>
  <c r="J1416" i="5"/>
  <c r="D1416" i="5"/>
  <c r="B1416" i="5"/>
  <c r="J1415" i="5"/>
  <c r="D1415" i="5"/>
  <c r="B1415" i="5"/>
  <c r="K1414" i="5"/>
  <c r="J1414" i="5"/>
  <c r="D1414" i="5"/>
  <c r="B1414" i="5"/>
  <c r="J1413" i="5"/>
  <c r="P1412" i="5"/>
  <c r="O1412" i="5"/>
  <c r="N1412" i="5"/>
  <c r="M1412" i="5"/>
  <c r="L1412" i="5"/>
  <c r="J1412" i="5"/>
  <c r="P1411" i="5"/>
  <c r="P2387" i="5" s="1"/>
  <c r="H2387" i="5" s="1"/>
  <c r="O1411" i="5"/>
  <c r="O2387" i="5" s="1"/>
  <c r="G2387" i="5" s="1"/>
  <c r="N1411" i="5"/>
  <c r="N2387" i="5" s="1"/>
  <c r="F2387" i="5" s="1"/>
  <c r="M1411" i="5"/>
  <c r="M2387" i="5" s="1"/>
  <c r="E2387" i="5" s="1"/>
  <c r="L1411" i="5"/>
  <c r="J1411" i="5"/>
  <c r="J1410" i="5"/>
  <c r="D1410" i="5"/>
  <c r="B1410" i="5"/>
  <c r="J1409" i="5"/>
  <c r="D1409" i="5"/>
  <c r="B1409" i="5"/>
  <c r="J1408" i="5"/>
  <c r="D1408" i="5"/>
  <c r="B1408" i="5"/>
  <c r="K1407" i="5"/>
  <c r="O1407" i="5" s="1"/>
  <c r="J1407" i="5"/>
  <c r="D1407" i="5"/>
  <c r="B1407" i="5"/>
  <c r="J1406" i="5"/>
  <c r="P1405" i="5"/>
  <c r="O1405" i="5"/>
  <c r="N1405" i="5"/>
  <c r="M1405" i="5"/>
  <c r="L1405" i="5"/>
  <c r="J1405" i="5"/>
  <c r="P1404" i="5"/>
  <c r="O1404" i="5"/>
  <c r="N1404" i="5"/>
  <c r="M1404" i="5"/>
  <c r="L1404" i="5"/>
  <c r="J1404" i="5"/>
  <c r="F1385" i="5"/>
  <c r="G1385" i="5" s="1"/>
  <c r="H1385" i="5" s="1"/>
  <c r="I1385" i="5" s="1"/>
  <c r="D1385" i="5"/>
  <c r="B1385" i="5"/>
  <c r="J1384" i="5"/>
  <c r="D1384" i="5"/>
  <c r="B1384" i="5"/>
  <c r="K1383" i="5"/>
  <c r="J1383" i="5"/>
  <c r="D1383" i="5"/>
  <c r="B1383" i="5"/>
  <c r="J1382" i="5"/>
  <c r="E1381" i="5"/>
  <c r="J1381" i="5" s="1"/>
  <c r="D1381" i="5"/>
  <c r="B1381" i="5"/>
  <c r="E1380" i="5"/>
  <c r="J1380" i="5" s="1"/>
  <c r="D1380" i="5"/>
  <c r="B1380" i="5"/>
  <c r="E1379" i="5"/>
  <c r="J1379" i="5" s="1"/>
  <c r="D1379" i="5"/>
  <c r="B1379" i="5"/>
  <c r="J1378" i="5"/>
  <c r="J1377" i="5"/>
  <c r="D1377" i="5"/>
  <c r="B1377" i="5"/>
  <c r="J1376" i="5"/>
  <c r="D1376" i="5"/>
  <c r="B1376" i="5"/>
  <c r="J1375" i="5"/>
  <c r="D1375" i="5"/>
  <c r="B1375" i="5"/>
  <c r="E1374" i="5"/>
  <c r="D1374" i="5"/>
  <c r="B1374" i="5"/>
  <c r="E1373" i="5"/>
  <c r="J1373" i="5" s="1"/>
  <c r="D1373" i="5"/>
  <c r="B1373" i="5"/>
  <c r="J1372" i="5"/>
  <c r="P1371" i="5"/>
  <c r="O1371" i="5"/>
  <c r="N1371" i="5"/>
  <c r="M1371" i="5"/>
  <c r="L1371" i="5"/>
  <c r="J1371" i="5"/>
  <c r="J1370" i="5"/>
  <c r="D1370" i="5"/>
  <c r="B1370" i="5"/>
  <c r="J1369" i="5"/>
  <c r="J1368" i="5"/>
  <c r="D1368" i="5"/>
  <c r="B1368" i="5"/>
  <c r="K1367" i="5"/>
  <c r="O1367" i="5" s="1"/>
  <c r="J1367" i="5"/>
  <c r="D1367" i="5"/>
  <c r="B1367" i="5"/>
  <c r="J1366" i="5"/>
  <c r="P1365" i="5"/>
  <c r="O1365" i="5"/>
  <c r="N1365" i="5"/>
  <c r="M1365" i="5"/>
  <c r="L1365" i="5"/>
  <c r="J1365" i="5"/>
  <c r="P1364" i="5"/>
  <c r="O1364" i="5"/>
  <c r="N1364" i="5"/>
  <c r="M1364" i="5"/>
  <c r="L1364" i="5"/>
  <c r="J1364" i="5"/>
  <c r="J1357" i="5"/>
  <c r="D1357" i="5"/>
  <c r="B1357" i="5"/>
  <c r="K1356" i="5"/>
  <c r="J1356" i="5"/>
  <c r="D1356" i="5"/>
  <c r="B1356" i="5"/>
  <c r="J1355" i="5"/>
  <c r="D1355" i="5"/>
  <c r="B1355" i="5"/>
  <c r="J1354" i="5"/>
  <c r="J1353" i="5"/>
  <c r="D1353" i="5"/>
  <c r="B1353" i="5"/>
  <c r="J1352" i="5"/>
  <c r="D1352" i="5"/>
  <c r="B1352" i="5"/>
  <c r="K1351" i="5"/>
  <c r="O1351" i="5" s="1"/>
  <c r="J1351" i="5"/>
  <c r="D1351" i="5"/>
  <c r="B1351" i="5"/>
  <c r="J1350" i="5"/>
  <c r="D1350" i="5"/>
  <c r="B1350" i="5"/>
  <c r="P1348" i="5"/>
  <c r="O1348" i="5"/>
  <c r="N1348" i="5"/>
  <c r="M1348" i="5"/>
  <c r="L1348" i="5"/>
  <c r="J1348" i="5"/>
  <c r="K1347" i="5"/>
  <c r="P1347" i="5" s="1"/>
  <c r="P1346" i="5" s="1"/>
  <c r="P2361" i="5" s="1"/>
  <c r="H2361" i="5" s="1"/>
  <c r="J1347" i="5"/>
  <c r="D1347" i="5"/>
  <c r="B1347" i="5"/>
  <c r="J1346" i="5"/>
  <c r="J1345" i="5"/>
  <c r="D1345" i="5"/>
  <c r="B1345" i="5"/>
  <c r="J1344" i="5"/>
  <c r="D1344" i="5"/>
  <c r="B1344" i="5"/>
  <c r="K1343" i="5"/>
  <c r="J1343" i="5"/>
  <c r="D1343" i="5"/>
  <c r="B1343" i="5"/>
  <c r="J1342" i="5"/>
  <c r="P1341" i="5"/>
  <c r="O1341" i="5"/>
  <c r="N1341" i="5"/>
  <c r="M1341" i="5"/>
  <c r="L1341" i="5"/>
  <c r="J1341" i="5"/>
  <c r="P1340" i="5"/>
  <c r="O1340" i="5"/>
  <c r="N1340" i="5"/>
  <c r="M1340" i="5"/>
  <c r="L1340" i="5"/>
  <c r="J1340" i="5"/>
  <c r="K1339" i="5"/>
  <c r="G1339" i="5"/>
  <c r="F1339" i="5"/>
  <c r="E1339" i="5"/>
  <c r="D1339" i="5"/>
  <c r="B1339" i="5"/>
  <c r="E1338" i="5"/>
  <c r="F1338" i="5" s="1"/>
  <c r="G1338" i="5" s="1"/>
  <c r="D1338" i="5"/>
  <c r="B1338" i="5"/>
  <c r="J1337" i="5"/>
  <c r="P1336" i="5"/>
  <c r="O1336" i="5"/>
  <c r="N1336" i="5"/>
  <c r="M1336" i="5"/>
  <c r="L1336" i="5"/>
  <c r="J1336" i="5"/>
  <c r="J1335" i="5"/>
  <c r="D1335" i="5"/>
  <c r="B1335" i="5"/>
  <c r="F1334" i="5"/>
  <c r="J1334" i="5" s="1"/>
  <c r="D1334" i="5"/>
  <c r="B1334" i="5"/>
  <c r="K1333" i="5"/>
  <c r="P1333" i="5" s="1"/>
  <c r="F1333" i="5"/>
  <c r="J1333" i="5" s="1"/>
  <c r="D1333" i="5"/>
  <c r="B1333" i="5"/>
  <c r="J1332" i="5"/>
  <c r="P1331" i="5"/>
  <c r="O1331" i="5"/>
  <c r="N1331" i="5"/>
  <c r="M1331" i="5"/>
  <c r="L1331" i="5"/>
  <c r="J1331" i="5"/>
  <c r="J1330" i="5"/>
  <c r="D1330" i="5"/>
  <c r="B1330" i="5"/>
  <c r="K1329" i="5"/>
  <c r="O1329" i="5" s="1"/>
  <c r="J1329" i="5"/>
  <c r="D1329" i="5"/>
  <c r="B1329" i="5"/>
  <c r="J1328" i="5"/>
  <c r="P1327" i="5"/>
  <c r="O1327" i="5"/>
  <c r="N1327" i="5"/>
  <c r="M1327" i="5"/>
  <c r="L1327" i="5"/>
  <c r="J1327" i="5"/>
  <c r="P1326" i="5"/>
  <c r="O1326" i="5"/>
  <c r="N1326" i="5"/>
  <c r="M1326" i="5"/>
  <c r="L1326" i="5"/>
  <c r="J1326" i="5"/>
  <c r="E1325" i="5"/>
  <c r="J1325" i="5" s="1"/>
  <c r="D1325" i="5"/>
  <c r="B1325" i="5"/>
  <c r="K1324" i="5"/>
  <c r="O1324" i="5" s="1"/>
  <c r="J1324" i="5"/>
  <c r="D1324" i="5"/>
  <c r="B1324" i="5"/>
  <c r="J1323" i="5"/>
  <c r="E1322" i="5"/>
  <c r="J1322" i="5" s="1"/>
  <c r="D1322" i="5"/>
  <c r="B1322" i="5"/>
  <c r="E1321" i="5"/>
  <c r="J1321" i="5" s="1"/>
  <c r="D1321" i="5"/>
  <c r="B1321" i="5"/>
  <c r="K1320" i="5"/>
  <c r="E1320" i="5"/>
  <c r="J1320" i="5" s="1"/>
  <c r="D1320" i="5"/>
  <c r="B1320" i="5"/>
  <c r="J1319" i="5"/>
  <c r="P1318" i="5"/>
  <c r="O1318" i="5"/>
  <c r="N1318" i="5"/>
  <c r="M1318" i="5"/>
  <c r="L1318" i="5"/>
  <c r="J1318" i="5"/>
  <c r="K1317" i="5"/>
  <c r="J1317" i="5"/>
  <c r="D1317" i="5"/>
  <c r="B1317" i="5"/>
  <c r="J1316" i="5"/>
  <c r="P1315" i="5"/>
  <c r="O1315" i="5"/>
  <c r="N1315" i="5"/>
  <c r="M1315" i="5"/>
  <c r="L1315" i="5"/>
  <c r="J1315" i="5"/>
  <c r="P1314" i="5"/>
  <c r="O1314" i="5"/>
  <c r="N1314" i="5"/>
  <c r="M1314" i="5"/>
  <c r="L1314" i="5"/>
  <c r="J1314" i="5"/>
  <c r="J1313" i="5"/>
  <c r="D1313" i="5"/>
  <c r="B1313" i="5"/>
  <c r="K1312" i="5"/>
  <c r="O1312" i="5" s="1"/>
  <c r="J1312" i="5"/>
  <c r="D1312" i="5"/>
  <c r="B1312" i="5"/>
  <c r="J1311" i="5"/>
  <c r="J1310" i="5"/>
  <c r="K1309" i="5"/>
  <c r="P1309" i="5" s="1"/>
  <c r="F1309" i="5"/>
  <c r="E1309" i="5"/>
  <c r="D1309" i="5"/>
  <c r="B1309" i="5"/>
  <c r="J1308" i="5"/>
  <c r="D1308" i="5"/>
  <c r="B1308" i="5"/>
  <c r="K1307" i="5"/>
  <c r="O1307" i="5" s="1"/>
  <c r="J1307" i="5"/>
  <c r="D1307" i="5"/>
  <c r="B1307" i="5"/>
  <c r="J1306" i="5"/>
  <c r="K1305" i="5"/>
  <c r="O1305" i="5" s="1"/>
  <c r="F1305" i="5"/>
  <c r="E1305" i="5"/>
  <c r="D1305" i="5"/>
  <c r="B1305" i="5"/>
  <c r="J1304" i="5"/>
  <c r="D1304" i="5"/>
  <c r="B1304" i="5"/>
  <c r="K1303" i="5"/>
  <c r="O1303" i="5" s="1"/>
  <c r="J1303" i="5"/>
  <c r="D1303" i="5"/>
  <c r="B1303" i="5"/>
  <c r="J1302" i="5"/>
  <c r="K1301" i="5"/>
  <c r="O1301" i="5" s="1"/>
  <c r="F1301" i="5"/>
  <c r="E1301" i="5"/>
  <c r="D1301" i="5"/>
  <c r="B1301" i="5"/>
  <c r="J1300" i="5"/>
  <c r="D1300" i="5"/>
  <c r="B1300" i="5"/>
  <c r="K1299" i="5"/>
  <c r="P1299" i="5" s="1"/>
  <c r="J1299" i="5"/>
  <c r="D1299" i="5"/>
  <c r="B1299" i="5"/>
  <c r="J1298" i="5"/>
  <c r="P1297" i="5"/>
  <c r="O1297" i="5"/>
  <c r="N1297" i="5"/>
  <c r="M1297" i="5"/>
  <c r="L1297" i="5"/>
  <c r="J1297" i="5"/>
  <c r="P1296" i="5"/>
  <c r="O1296" i="5"/>
  <c r="N1296" i="5"/>
  <c r="M1296" i="5"/>
  <c r="L1296" i="5"/>
  <c r="J1296" i="5"/>
  <c r="J1270" i="5"/>
  <c r="D1270" i="5"/>
  <c r="B1270" i="5"/>
  <c r="J1269" i="5"/>
  <c r="D1269" i="5"/>
  <c r="B1269" i="5"/>
  <c r="J1268" i="5"/>
  <c r="J2329" i="5" s="1"/>
  <c r="P1267" i="5"/>
  <c r="O1267" i="5"/>
  <c r="N1267" i="5"/>
  <c r="M1267" i="5"/>
  <c r="L1267" i="5"/>
  <c r="J1267" i="5"/>
  <c r="H1252" i="5"/>
  <c r="F1252" i="5"/>
  <c r="D1252" i="5"/>
  <c r="B1252" i="5"/>
  <c r="J1251" i="5"/>
  <c r="I1250" i="5"/>
  <c r="G1250" i="5"/>
  <c r="E1250" i="5"/>
  <c r="D1250" i="5"/>
  <c r="B1250" i="5"/>
  <c r="J1249" i="5"/>
  <c r="J1246" i="5"/>
  <c r="P1245" i="5"/>
  <c r="O1245" i="5"/>
  <c r="N1245" i="5"/>
  <c r="M1245" i="5"/>
  <c r="L1245" i="5"/>
  <c r="J1245" i="5"/>
  <c r="P1244" i="5"/>
  <c r="O1244" i="5"/>
  <c r="N1244" i="5"/>
  <c r="M1244" i="5"/>
  <c r="L1244" i="5"/>
  <c r="J1244" i="5"/>
  <c r="K774" i="5"/>
  <c r="J774" i="5"/>
  <c r="D774" i="5"/>
  <c r="B774" i="5"/>
  <c r="J772" i="5"/>
  <c r="D772" i="5"/>
  <c r="B772" i="5"/>
  <c r="K771" i="5"/>
  <c r="O771" i="5" s="1"/>
  <c r="J771" i="5"/>
  <c r="D771" i="5"/>
  <c r="B771" i="5"/>
  <c r="J770" i="5"/>
  <c r="J2089" i="5" s="1"/>
  <c r="P769" i="5"/>
  <c r="O769" i="5"/>
  <c r="N769" i="5"/>
  <c r="M769" i="5"/>
  <c r="L769" i="5"/>
  <c r="J769" i="5"/>
  <c r="J2088" i="5" s="1"/>
  <c r="J174" i="8" s="1"/>
  <c r="J768" i="5"/>
  <c r="D768" i="5"/>
  <c r="B768" i="5"/>
  <c r="K767" i="5"/>
  <c r="J767" i="5"/>
  <c r="D767" i="5"/>
  <c r="B767" i="5"/>
  <c r="J766" i="5"/>
  <c r="J2087" i="5" s="1"/>
  <c r="P765" i="5"/>
  <c r="P2086" i="5" s="1"/>
  <c r="H2086" i="5" s="1"/>
  <c r="O765" i="5"/>
  <c r="O2086" i="5" s="1"/>
  <c r="G2086" i="5" s="1"/>
  <c r="N765" i="5"/>
  <c r="N2086" i="5" s="1"/>
  <c r="F2086" i="5" s="1"/>
  <c r="M765" i="5"/>
  <c r="M2086" i="5" s="1"/>
  <c r="E2086" i="5" s="1"/>
  <c r="L765" i="5"/>
  <c r="L2086" i="5" s="1"/>
  <c r="D2086" i="5" s="1"/>
  <c r="J765" i="5"/>
  <c r="J2086" i="5" s="1"/>
  <c r="P764" i="5"/>
  <c r="O764" i="5"/>
  <c r="N764" i="5"/>
  <c r="M764" i="5"/>
  <c r="L764" i="5"/>
  <c r="J764" i="5"/>
  <c r="J2085" i="5" s="1"/>
  <c r="J173" i="8" s="1"/>
  <c r="K763" i="5"/>
  <c r="J763" i="5"/>
  <c r="D763" i="5"/>
  <c r="B763" i="5"/>
  <c r="K762" i="5"/>
  <c r="P762" i="5" s="1"/>
  <c r="J762" i="5"/>
  <c r="D762" i="5"/>
  <c r="B762" i="5"/>
  <c r="E760" i="5"/>
  <c r="J760" i="5" s="1"/>
  <c r="D760" i="5"/>
  <c r="B760" i="5"/>
  <c r="K759" i="5"/>
  <c r="J759" i="5"/>
  <c r="D759" i="5"/>
  <c r="B759" i="5"/>
  <c r="J758" i="5"/>
  <c r="D758" i="5"/>
  <c r="B758" i="5"/>
  <c r="J757" i="5"/>
  <c r="J2083" i="5" s="1"/>
  <c r="J756" i="5"/>
  <c r="D756" i="5"/>
  <c r="B756" i="5"/>
  <c r="K755" i="5"/>
  <c r="J755" i="5"/>
  <c r="D755" i="5"/>
  <c r="B755" i="5"/>
  <c r="J754" i="5"/>
  <c r="J2082" i="5" s="1"/>
  <c r="P753" i="5"/>
  <c r="O753" i="5"/>
  <c r="N753" i="5"/>
  <c r="M753" i="5"/>
  <c r="L753" i="5"/>
  <c r="E752" i="5"/>
  <c r="J752" i="5" s="1"/>
  <c r="D752" i="5"/>
  <c r="B752" i="5"/>
  <c r="K751" i="5"/>
  <c r="O751" i="5" s="1"/>
  <c r="J751" i="5"/>
  <c r="D751" i="5"/>
  <c r="B751" i="5"/>
  <c r="J750" i="5"/>
  <c r="D750" i="5"/>
  <c r="B750" i="5"/>
  <c r="P748" i="5"/>
  <c r="O748" i="5"/>
  <c r="N748" i="5"/>
  <c r="M748" i="5"/>
  <c r="L748" i="5"/>
  <c r="E747" i="5"/>
  <c r="J747" i="5" s="1"/>
  <c r="D747" i="5"/>
  <c r="B747" i="5"/>
  <c r="K746" i="5"/>
  <c r="O746" i="5" s="1"/>
  <c r="J746" i="5"/>
  <c r="D746" i="5"/>
  <c r="B746" i="5"/>
  <c r="J745" i="5"/>
  <c r="D745" i="5"/>
  <c r="B745" i="5"/>
  <c r="J744" i="5"/>
  <c r="J2078" i="5" s="1"/>
  <c r="P743" i="5"/>
  <c r="O743" i="5"/>
  <c r="N743" i="5"/>
  <c r="M743" i="5"/>
  <c r="L743" i="5"/>
  <c r="J743" i="5"/>
  <c r="J2077" i="5" s="1"/>
  <c r="J170" i="8" s="1"/>
  <c r="P742" i="5"/>
  <c r="O742" i="5"/>
  <c r="N742" i="5"/>
  <c r="M742" i="5"/>
  <c r="L742" i="5"/>
  <c r="J742" i="5"/>
  <c r="K331" i="5"/>
  <c r="M331" i="5" s="1"/>
  <c r="M330" i="5" s="1"/>
  <c r="M1872" i="5" s="1"/>
  <c r="G331" i="5"/>
  <c r="D331" i="5"/>
  <c r="B331" i="5"/>
  <c r="J330" i="5"/>
  <c r="J1872" i="5" s="1"/>
  <c r="P329" i="5"/>
  <c r="O329" i="5"/>
  <c r="N329" i="5"/>
  <c r="M329" i="5"/>
  <c r="L329" i="5"/>
  <c r="J329" i="5"/>
  <c r="J1871" i="5" s="1"/>
  <c r="J74" i="8" s="1"/>
  <c r="J328" i="5"/>
  <c r="D328" i="5"/>
  <c r="B328" i="5"/>
  <c r="H327" i="5"/>
  <c r="H331" i="5" s="1"/>
  <c r="D327" i="5"/>
  <c r="B327" i="5"/>
  <c r="J325" i="5"/>
  <c r="D325" i="5"/>
  <c r="B325" i="5"/>
  <c r="J324" i="5"/>
  <c r="D324" i="5"/>
  <c r="B324" i="5"/>
  <c r="K323" i="5"/>
  <c r="O323" i="5" s="1"/>
  <c r="J323" i="5"/>
  <c r="D323" i="5"/>
  <c r="B323" i="5"/>
  <c r="J322" i="5"/>
  <c r="D322" i="5"/>
  <c r="B322" i="5"/>
  <c r="P320" i="5"/>
  <c r="O320" i="5"/>
  <c r="N320" i="5"/>
  <c r="M320" i="5"/>
  <c r="L320" i="5"/>
  <c r="E319" i="5"/>
  <c r="J319" i="5" s="1"/>
  <c r="D319" i="5"/>
  <c r="B319" i="5"/>
  <c r="K318" i="5"/>
  <c r="J318" i="5"/>
  <c r="D318" i="5"/>
  <c r="B318" i="5"/>
  <c r="J317" i="5"/>
  <c r="D317" i="5"/>
  <c r="B317" i="5"/>
  <c r="E315" i="5"/>
  <c r="J315" i="5" s="1"/>
  <c r="D315" i="5"/>
  <c r="B315" i="5"/>
  <c r="K314" i="5"/>
  <c r="J314" i="5"/>
  <c r="D314" i="5"/>
  <c r="B314" i="5"/>
  <c r="J313" i="5"/>
  <c r="D313" i="5"/>
  <c r="B313" i="5"/>
  <c r="P311" i="5"/>
  <c r="O311" i="5"/>
  <c r="N311" i="5"/>
  <c r="M311" i="5"/>
  <c r="L311" i="5"/>
  <c r="E310" i="5"/>
  <c r="J310" i="5" s="1"/>
  <c r="D310" i="5"/>
  <c r="B310" i="5"/>
  <c r="K309" i="5"/>
  <c r="P309" i="5" s="1"/>
  <c r="J309" i="5"/>
  <c r="D309" i="5"/>
  <c r="B309" i="5"/>
  <c r="J308" i="5"/>
  <c r="D308" i="5"/>
  <c r="B308" i="5"/>
  <c r="J307" i="5"/>
  <c r="J1864" i="5" s="1"/>
  <c r="J306" i="5"/>
  <c r="D306" i="5"/>
  <c r="B306" i="5"/>
  <c r="K305" i="5"/>
  <c r="O305" i="5" s="1"/>
  <c r="J305" i="5"/>
  <c r="D305" i="5"/>
  <c r="B305" i="5"/>
  <c r="J304" i="5"/>
  <c r="J1863" i="5" s="1"/>
  <c r="P303" i="5"/>
  <c r="O303" i="5"/>
  <c r="N303" i="5"/>
  <c r="M303" i="5"/>
  <c r="L303" i="5"/>
  <c r="J303" i="5"/>
  <c r="J1862" i="5" s="1"/>
  <c r="J71" i="8" s="1"/>
  <c r="P302" i="5"/>
  <c r="O302" i="5"/>
  <c r="N302" i="5"/>
  <c r="M302" i="5"/>
  <c r="L302" i="5"/>
  <c r="J302" i="5"/>
  <c r="F1243" i="5"/>
  <c r="J1243" i="5" s="1"/>
  <c r="D1243" i="5"/>
  <c r="B1243" i="5"/>
  <c r="K1242" i="5"/>
  <c r="O1242" i="5" s="1"/>
  <c r="F1242" i="5"/>
  <c r="J1242" i="5" s="1"/>
  <c r="D1242" i="5"/>
  <c r="B1242" i="5"/>
  <c r="F1241" i="5"/>
  <c r="J1241" i="5" s="1"/>
  <c r="D1241" i="5"/>
  <c r="B1241" i="5"/>
  <c r="J1240" i="5"/>
  <c r="P1239" i="5"/>
  <c r="O1239" i="5"/>
  <c r="N1239" i="5"/>
  <c r="M1239" i="5"/>
  <c r="L1239" i="5"/>
  <c r="J1239" i="5"/>
  <c r="J1238" i="5"/>
  <c r="D1238" i="5"/>
  <c r="B1238" i="5"/>
  <c r="E1237" i="5"/>
  <c r="J1237" i="5" s="1"/>
  <c r="D1237" i="5"/>
  <c r="B1237" i="5"/>
  <c r="K1236" i="5"/>
  <c r="P1236" i="5" s="1"/>
  <c r="E1236" i="5"/>
  <c r="J1236" i="5" s="1"/>
  <c r="D1236" i="5"/>
  <c r="B1236" i="5"/>
  <c r="E1235" i="5"/>
  <c r="J1235" i="5" s="1"/>
  <c r="D1235" i="5"/>
  <c r="B1235" i="5"/>
  <c r="J1234" i="5"/>
  <c r="P1233" i="5"/>
  <c r="O1233" i="5"/>
  <c r="N1233" i="5"/>
  <c r="M1233" i="5"/>
  <c r="L1233" i="5"/>
  <c r="J1233" i="5"/>
  <c r="P1232" i="5"/>
  <c r="O1232" i="5"/>
  <c r="N1232" i="5"/>
  <c r="M1232" i="5"/>
  <c r="L1232" i="5"/>
  <c r="J1232" i="5"/>
  <c r="D1231" i="5"/>
  <c r="B1231" i="5"/>
  <c r="J1230" i="5"/>
  <c r="P1229" i="5"/>
  <c r="O1229" i="5"/>
  <c r="N1229" i="5"/>
  <c r="M1229" i="5"/>
  <c r="J1229" i="5"/>
  <c r="D1228" i="5"/>
  <c r="B1228" i="5"/>
  <c r="J1227" i="5"/>
  <c r="P1226" i="5"/>
  <c r="O1226" i="5"/>
  <c r="N1226" i="5"/>
  <c r="M1226" i="5"/>
  <c r="L1226" i="5"/>
  <c r="J1226" i="5"/>
  <c r="P1225" i="5"/>
  <c r="O1225" i="5"/>
  <c r="N1225" i="5"/>
  <c r="M1225" i="5"/>
  <c r="L1225" i="5"/>
  <c r="J1225" i="5"/>
  <c r="K1224" i="5"/>
  <c r="D1224" i="5"/>
  <c r="B1224" i="5"/>
  <c r="K1222" i="5"/>
  <c r="D1222" i="5"/>
  <c r="B1222" i="5"/>
  <c r="K1220" i="5"/>
  <c r="D1220" i="5"/>
  <c r="B1220" i="5"/>
  <c r="K1218" i="5"/>
  <c r="D1218" i="5"/>
  <c r="B1218" i="5"/>
  <c r="P1216" i="5"/>
  <c r="O1216" i="5"/>
  <c r="N1216" i="5"/>
  <c r="M1216" i="5"/>
  <c r="L1216" i="5"/>
  <c r="J1216" i="5"/>
  <c r="K1215" i="5"/>
  <c r="D1215" i="5"/>
  <c r="B1215" i="5"/>
  <c r="J1214" i="5"/>
  <c r="K1213" i="5"/>
  <c r="D1213" i="5"/>
  <c r="B1213" i="5"/>
  <c r="J1212" i="5"/>
  <c r="K1211" i="5"/>
  <c r="D1211" i="5"/>
  <c r="B1211" i="5"/>
  <c r="K1209" i="5"/>
  <c r="D1209" i="5"/>
  <c r="B1209" i="5"/>
  <c r="J1208" i="5"/>
  <c r="P1207" i="5"/>
  <c r="O1207" i="5"/>
  <c r="N1207" i="5"/>
  <c r="M1207" i="5"/>
  <c r="L1207" i="5"/>
  <c r="J1207" i="5"/>
  <c r="K1206" i="5"/>
  <c r="D1206" i="5"/>
  <c r="B1206" i="5"/>
  <c r="J1205" i="5"/>
  <c r="K1204" i="5"/>
  <c r="D1204" i="5"/>
  <c r="B1204" i="5"/>
  <c r="K1202" i="5"/>
  <c r="D1202" i="5"/>
  <c r="B1202" i="5"/>
  <c r="K1200" i="5"/>
  <c r="D1200" i="5"/>
  <c r="B1200" i="5"/>
  <c r="J1199" i="5"/>
  <c r="P1198" i="5"/>
  <c r="O1198" i="5"/>
  <c r="N1198" i="5"/>
  <c r="M1198" i="5"/>
  <c r="L1198" i="5"/>
  <c r="J1198" i="5"/>
  <c r="P1197" i="5"/>
  <c r="O1197" i="5"/>
  <c r="N1197" i="5"/>
  <c r="M1197" i="5"/>
  <c r="L1197" i="5"/>
  <c r="J1197" i="5"/>
  <c r="P1196" i="5"/>
  <c r="O1196" i="5"/>
  <c r="N1196" i="5"/>
  <c r="M1196" i="5"/>
  <c r="L1196" i="5"/>
  <c r="J1196" i="5"/>
  <c r="J1195" i="5"/>
  <c r="D1195" i="5"/>
  <c r="B1195" i="5"/>
  <c r="K1194" i="5"/>
  <c r="P1194" i="5" s="1"/>
  <c r="J1194" i="5"/>
  <c r="D1194" i="5"/>
  <c r="B1194" i="5"/>
  <c r="J1193" i="5"/>
  <c r="D1193" i="5"/>
  <c r="B1193" i="5"/>
  <c r="J1192" i="5"/>
  <c r="P1191" i="5"/>
  <c r="O1191" i="5"/>
  <c r="N1191" i="5"/>
  <c r="M1191" i="5"/>
  <c r="L1191" i="5"/>
  <c r="J1191" i="5"/>
  <c r="G1190" i="5"/>
  <c r="D1190" i="5"/>
  <c r="B1190" i="5"/>
  <c r="K1189" i="5"/>
  <c r="J1189" i="5"/>
  <c r="D1189" i="5"/>
  <c r="B1189" i="5"/>
  <c r="J1188" i="5"/>
  <c r="P1187" i="5"/>
  <c r="O1187" i="5"/>
  <c r="N1187" i="5"/>
  <c r="M1187" i="5"/>
  <c r="L1187" i="5"/>
  <c r="J1187" i="5"/>
  <c r="K1186" i="5"/>
  <c r="O1186" i="5" s="1"/>
  <c r="F1186" i="5"/>
  <c r="J1186" i="5" s="1"/>
  <c r="D1186" i="5"/>
  <c r="B1186" i="5"/>
  <c r="F1185" i="5"/>
  <c r="J1185" i="5" s="1"/>
  <c r="D1185" i="5"/>
  <c r="B1185" i="5"/>
  <c r="K1184" i="5"/>
  <c r="O1184" i="5" s="1"/>
  <c r="J1184" i="5"/>
  <c r="D1184" i="5"/>
  <c r="B1184" i="5"/>
  <c r="J1183" i="5"/>
  <c r="E1182" i="5"/>
  <c r="J1182" i="5" s="1"/>
  <c r="D1182" i="5"/>
  <c r="B1182" i="5"/>
  <c r="E1181" i="5"/>
  <c r="J1181" i="5" s="1"/>
  <c r="D1181" i="5"/>
  <c r="B1181" i="5"/>
  <c r="E1180" i="5"/>
  <c r="J1180" i="5" s="1"/>
  <c r="D1180" i="5"/>
  <c r="B1180" i="5"/>
  <c r="J1179" i="5"/>
  <c r="P1178" i="5"/>
  <c r="O1178" i="5"/>
  <c r="N1178" i="5"/>
  <c r="M1178" i="5"/>
  <c r="L1178" i="5"/>
  <c r="J1178" i="5"/>
  <c r="J1177" i="5"/>
  <c r="D1177" i="5"/>
  <c r="B1177" i="5"/>
  <c r="K1176" i="5"/>
  <c r="J1176" i="5"/>
  <c r="D1176" i="5"/>
  <c r="B1176" i="5"/>
  <c r="J1175" i="5"/>
  <c r="P1174" i="5"/>
  <c r="O1174" i="5"/>
  <c r="N1174" i="5"/>
  <c r="M1174" i="5"/>
  <c r="L1174" i="5"/>
  <c r="J1174" i="5"/>
  <c r="P1173" i="5"/>
  <c r="O1173" i="5"/>
  <c r="N1173" i="5"/>
  <c r="M1173" i="5"/>
  <c r="L1173" i="5"/>
  <c r="J1173" i="5"/>
  <c r="K1172" i="5"/>
  <c r="G1172" i="5"/>
  <c r="D1172" i="5"/>
  <c r="B1172" i="5"/>
  <c r="K1171" i="5"/>
  <c r="O1171" i="5" s="1"/>
  <c r="J1171" i="5"/>
  <c r="D1171" i="5"/>
  <c r="B1171" i="5"/>
  <c r="J1170" i="5"/>
  <c r="P1169" i="5"/>
  <c r="O1169" i="5"/>
  <c r="N1169" i="5"/>
  <c r="M1169" i="5"/>
  <c r="L1169" i="5"/>
  <c r="J1169" i="5"/>
  <c r="K1168" i="5"/>
  <c r="O1168" i="5" s="1"/>
  <c r="J1168" i="5"/>
  <c r="D1168" i="5"/>
  <c r="B1168" i="5"/>
  <c r="F1167" i="5"/>
  <c r="G1167" i="5" s="1"/>
  <c r="J1167" i="5" s="1"/>
  <c r="D1167" i="5"/>
  <c r="B1167" i="5"/>
  <c r="J1166" i="5"/>
  <c r="K1165" i="5"/>
  <c r="F1165" i="5"/>
  <c r="J1165" i="5" s="1"/>
  <c r="D1165" i="5"/>
  <c r="B1165" i="5"/>
  <c r="J1164" i="5"/>
  <c r="D1164" i="5"/>
  <c r="B1164" i="5"/>
  <c r="K1163" i="5"/>
  <c r="J1163" i="5"/>
  <c r="D1163" i="5"/>
  <c r="B1163" i="5"/>
  <c r="J1162" i="5"/>
  <c r="K1161" i="5"/>
  <c r="H1161" i="5"/>
  <c r="G1161" i="5"/>
  <c r="F1161" i="5"/>
  <c r="D1161" i="5"/>
  <c r="B1161" i="5"/>
  <c r="K1160" i="5"/>
  <c r="H1160" i="5"/>
  <c r="G1160" i="5"/>
  <c r="F1160" i="5"/>
  <c r="D1160" i="5"/>
  <c r="B1160" i="5"/>
  <c r="H1159" i="5"/>
  <c r="G1159" i="5"/>
  <c r="F1159" i="5"/>
  <c r="D1159" i="5"/>
  <c r="B1159" i="5"/>
  <c r="J1158" i="5"/>
  <c r="P1157" i="5"/>
  <c r="O1157" i="5"/>
  <c r="N1157" i="5"/>
  <c r="M1157" i="5"/>
  <c r="L1157" i="5"/>
  <c r="J1157" i="5"/>
  <c r="G1156" i="5"/>
  <c r="G1155" i="5" s="1"/>
  <c r="F1156" i="5"/>
  <c r="F1155" i="5" s="1"/>
  <c r="D1156" i="5"/>
  <c r="B1156" i="5"/>
  <c r="D1155" i="5"/>
  <c r="B1155" i="5"/>
  <c r="J1154" i="5"/>
  <c r="J1153" i="5"/>
  <c r="D1153" i="5"/>
  <c r="B1153" i="5"/>
  <c r="E1152" i="5"/>
  <c r="J1152" i="5" s="1"/>
  <c r="D1152" i="5"/>
  <c r="B1152" i="5"/>
  <c r="J1151" i="5"/>
  <c r="F1150" i="5"/>
  <c r="G1150" i="5" s="1"/>
  <c r="J1150" i="5" s="1"/>
  <c r="D1150" i="5"/>
  <c r="B1150" i="5"/>
  <c r="K1149" i="5"/>
  <c r="O1149" i="5" s="1"/>
  <c r="J1149" i="5"/>
  <c r="D1149" i="5"/>
  <c r="B1149" i="5"/>
  <c r="K1148" i="5"/>
  <c r="J1148" i="5"/>
  <c r="D1148" i="5"/>
  <c r="B1148" i="5"/>
  <c r="K1147" i="5"/>
  <c r="J1147" i="5"/>
  <c r="D1147" i="5"/>
  <c r="B1147" i="5"/>
  <c r="J1146" i="5"/>
  <c r="P1145" i="5"/>
  <c r="O1145" i="5"/>
  <c r="N1145" i="5"/>
  <c r="M1145" i="5"/>
  <c r="L1145" i="5"/>
  <c r="J1145" i="5"/>
  <c r="P1144" i="5"/>
  <c r="O1144" i="5"/>
  <c r="N1144" i="5"/>
  <c r="M1144" i="5"/>
  <c r="L1144" i="5"/>
  <c r="J1144" i="5"/>
  <c r="F1143" i="5"/>
  <c r="J1143" i="5" s="1"/>
  <c r="D1143" i="5"/>
  <c r="B1143" i="5"/>
  <c r="J1142" i="5"/>
  <c r="D1142" i="5"/>
  <c r="B1142" i="5"/>
  <c r="K1141" i="5"/>
  <c r="J1141" i="5"/>
  <c r="D1141" i="5"/>
  <c r="B1141" i="5"/>
  <c r="J1140" i="5"/>
  <c r="G1139" i="5"/>
  <c r="F1139" i="5"/>
  <c r="D1139" i="5"/>
  <c r="B1139" i="5"/>
  <c r="G1138" i="5"/>
  <c r="F1138" i="5"/>
  <c r="D1138" i="5"/>
  <c r="B1138" i="5"/>
  <c r="J1137" i="5"/>
  <c r="I1136" i="5"/>
  <c r="H1136" i="5"/>
  <c r="G1136" i="5"/>
  <c r="F1136" i="5"/>
  <c r="D1136" i="5"/>
  <c r="B1136" i="5"/>
  <c r="J1135" i="5"/>
  <c r="D1135" i="5"/>
  <c r="B1135" i="5"/>
  <c r="J1134" i="5"/>
  <c r="D1134" i="5"/>
  <c r="B1134" i="5"/>
  <c r="J1133" i="5"/>
  <c r="J1132" i="5"/>
  <c r="D1132" i="5"/>
  <c r="B1132" i="5"/>
  <c r="J1131" i="5"/>
  <c r="D1131" i="5"/>
  <c r="B1131" i="5"/>
  <c r="K1130" i="5"/>
  <c r="O1130" i="5" s="1"/>
  <c r="E1130" i="5"/>
  <c r="D1130" i="5"/>
  <c r="B1130" i="5"/>
  <c r="J1129" i="5"/>
  <c r="D1129" i="5"/>
  <c r="B1129" i="5"/>
  <c r="J1128" i="5"/>
  <c r="P1127" i="5"/>
  <c r="O1127" i="5"/>
  <c r="N1127" i="5"/>
  <c r="M1127" i="5"/>
  <c r="L1127" i="5"/>
  <c r="J1127" i="5"/>
  <c r="K1126" i="5"/>
  <c r="J1126" i="5"/>
  <c r="D1126" i="5"/>
  <c r="B1126" i="5"/>
  <c r="J1125" i="5"/>
  <c r="D1125" i="5"/>
  <c r="B1125" i="5"/>
  <c r="K1124" i="5"/>
  <c r="O1124" i="5" s="1"/>
  <c r="F1124" i="5"/>
  <c r="J1124" i="5" s="1"/>
  <c r="D1124" i="5"/>
  <c r="B1124" i="5"/>
  <c r="E1122" i="5"/>
  <c r="J1122" i="5" s="1"/>
  <c r="D1122" i="5"/>
  <c r="B1122" i="5"/>
  <c r="E1121" i="5"/>
  <c r="J1121" i="5" s="1"/>
  <c r="D1121" i="5"/>
  <c r="B1121" i="5"/>
  <c r="K1120" i="5"/>
  <c r="E1120" i="5"/>
  <c r="J1120" i="5" s="1"/>
  <c r="D1120" i="5"/>
  <c r="B1120" i="5"/>
  <c r="P1118" i="5"/>
  <c r="O1118" i="5"/>
  <c r="N1118" i="5"/>
  <c r="M1118" i="5"/>
  <c r="L1118" i="5"/>
  <c r="J1118" i="5"/>
  <c r="J1117" i="5"/>
  <c r="D1117" i="5"/>
  <c r="B1117" i="5"/>
  <c r="E1116" i="5"/>
  <c r="J1116" i="5" s="1"/>
  <c r="D1116" i="5"/>
  <c r="B1116" i="5"/>
  <c r="K1115" i="5"/>
  <c r="J1115" i="5"/>
  <c r="D1115" i="5"/>
  <c r="B1115" i="5"/>
  <c r="P1113" i="5"/>
  <c r="O1113" i="5"/>
  <c r="N1113" i="5"/>
  <c r="M1113" i="5"/>
  <c r="L1113" i="5"/>
  <c r="J1113" i="5"/>
  <c r="E1112" i="5"/>
  <c r="J1112" i="5" s="1"/>
  <c r="D1112" i="5"/>
  <c r="B1112" i="5"/>
  <c r="J1111" i="5"/>
  <c r="D1111" i="5"/>
  <c r="B1111" i="5"/>
  <c r="K1110" i="5"/>
  <c r="O1110" i="5" s="1"/>
  <c r="J1110" i="5"/>
  <c r="D1110" i="5"/>
  <c r="B1110" i="5"/>
  <c r="J1109" i="5"/>
  <c r="D1109" i="5"/>
  <c r="B1109" i="5"/>
  <c r="P1107" i="5"/>
  <c r="O1107" i="5"/>
  <c r="N1107" i="5"/>
  <c r="M1107" i="5"/>
  <c r="L1107" i="5"/>
  <c r="J1107" i="5"/>
  <c r="E1106" i="5"/>
  <c r="J1106" i="5" s="1"/>
  <c r="D1106" i="5"/>
  <c r="B1106" i="5"/>
  <c r="E1105" i="5"/>
  <c r="J1105" i="5" s="1"/>
  <c r="D1105" i="5"/>
  <c r="B1105" i="5"/>
  <c r="K1104" i="5"/>
  <c r="O1104" i="5" s="1"/>
  <c r="E1104" i="5"/>
  <c r="J1104" i="5" s="1"/>
  <c r="D1104" i="5"/>
  <c r="B1104" i="5"/>
  <c r="E1103" i="5"/>
  <c r="J1103" i="5" s="1"/>
  <c r="D1103" i="5"/>
  <c r="B1103" i="5"/>
  <c r="J1102" i="5"/>
  <c r="P1101" i="5"/>
  <c r="O1101" i="5"/>
  <c r="N1101" i="5"/>
  <c r="M1101" i="5"/>
  <c r="L1101" i="5"/>
  <c r="J1101" i="5"/>
  <c r="P1100" i="5"/>
  <c r="O1100" i="5"/>
  <c r="N1100" i="5"/>
  <c r="M1100" i="5"/>
  <c r="L1100" i="5"/>
  <c r="J1100" i="5"/>
  <c r="K1099" i="5"/>
  <c r="L1099" i="5" s="1"/>
  <c r="L1098" i="5" s="1"/>
  <c r="L2252" i="5" s="1"/>
  <c r="F1099" i="5"/>
  <c r="G1099" i="5" s="1"/>
  <c r="H1099" i="5" s="1"/>
  <c r="I1099" i="5" s="1"/>
  <c r="D1099" i="5"/>
  <c r="B1099" i="5"/>
  <c r="J1098" i="5"/>
  <c r="J1097" i="5"/>
  <c r="D1097" i="5"/>
  <c r="B1097" i="5"/>
  <c r="K1096" i="5"/>
  <c r="P1096" i="5" s="1"/>
  <c r="J1096" i="5"/>
  <c r="D1096" i="5"/>
  <c r="B1096" i="5"/>
  <c r="J1095" i="5"/>
  <c r="P1094" i="5"/>
  <c r="O1094" i="5"/>
  <c r="N1094" i="5"/>
  <c r="M1094" i="5"/>
  <c r="L1094" i="5"/>
  <c r="J1094" i="5"/>
  <c r="J1093" i="5"/>
  <c r="D1093" i="5"/>
  <c r="B1093" i="5"/>
  <c r="E1092" i="5"/>
  <c r="D1092" i="5"/>
  <c r="B1092" i="5"/>
  <c r="J1091" i="5"/>
  <c r="K1090" i="5"/>
  <c r="J1090" i="5"/>
  <c r="D1090" i="5"/>
  <c r="B1090" i="5"/>
  <c r="J1089" i="5"/>
  <c r="P1088" i="5"/>
  <c r="O1088" i="5"/>
  <c r="N1088" i="5"/>
  <c r="M1088" i="5"/>
  <c r="L1088" i="5"/>
  <c r="J1088" i="5"/>
  <c r="P1087" i="5"/>
  <c r="O1087" i="5"/>
  <c r="N1087" i="5"/>
  <c r="M1087" i="5"/>
  <c r="L1087" i="5"/>
  <c r="J1087" i="5"/>
  <c r="K1086" i="5"/>
  <c r="J1086" i="5"/>
  <c r="D1086" i="5"/>
  <c r="B1086" i="5"/>
  <c r="J1085" i="5"/>
  <c r="K1084" i="5"/>
  <c r="P1084" i="5" s="1"/>
  <c r="P1083" i="5" s="1"/>
  <c r="P2244" i="5" s="1"/>
  <c r="H2244" i="5" s="1"/>
  <c r="J1084" i="5"/>
  <c r="D1084" i="5"/>
  <c r="B1084" i="5"/>
  <c r="J1083" i="5"/>
  <c r="J1082" i="5"/>
  <c r="D1082" i="5"/>
  <c r="B1082" i="5"/>
  <c r="K1081" i="5"/>
  <c r="J1081" i="5"/>
  <c r="D1081" i="5"/>
  <c r="B1081" i="5"/>
  <c r="J1080" i="5"/>
  <c r="D1080" i="5"/>
  <c r="B1080" i="5"/>
  <c r="J1079" i="5"/>
  <c r="P1078" i="5"/>
  <c r="O1078" i="5"/>
  <c r="N1078" i="5"/>
  <c r="M1078" i="5"/>
  <c r="L1078" i="5"/>
  <c r="J1078" i="5"/>
  <c r="K1077" i="5"/>
  <c r="J1077" i="5"/>
  <c r="D1077" i="5"/>
  <c r="B1077" i="5"/>
  <c r="K1076" i="5"/>
  <c r="O1076" i="5" s="1"/>
  <c r="J1076" i="5"/>
  <c r="D1076" i="5"/>
  <c r="B1076" i="5"/>
  <c r="J1075" i="5"/>
  <c r="J1074" i="5"/>
  <c r="D1074" i="5"/>
  <c r="B1074" i="5"/>
  <c r="K1073" i="5"/>
  <c r="J1073" i="5"/>
  <c r="D1073" i="5"/>
  <c r="B1073" i="5"/>
  <c r="J1072" i="5"/>
  <c r="D1072" i="5"/>
  <c r="B1072" i="5"/>
  <c r="J1071" i="5"/>
  <c r="P1070" i="5"/>
  <c r="O1070" i="5"/>
  <c r="N1070" i="5"/>
  <c r="M1070" i="5"/>
  <c r="L1070" i="5"/>
  <c r="J1070" i="5"/>
  <c r="K1069" i="5"/>
  <c r="H1069" i="5"/>
  <c r="I1069" i="5" s="1"/>
  <c r="D1069" i="5"/>
  <c r="B1069" i="5"/>
  <c r="K1068" i="5"/>
  <c r="G1068" i="5"/>
  <c r="H1068" i="5" s="1"/>
  <c r="I1068" i="5" s="1"/>
  <c r="F1068" i="5"/>
  <c r="D1068" i="5"/>
  <c r="B1068" i="5"/>
  <c r="J1067" i="5"/>
  <c r="J1066" i="5"/>
  <c r="D1066" i="5"/>
  <c r="B1066" i="5"/>
  <c r="K1065" i="5"/>
  <c r="J1065" i="5"/>
  <c r="D1065" i="5"/>
  <c r="B1065" i="5"/>
  <c r="J1064" i="5"/>
  <c r="D1064" i="5"/>
  <c r="B1064" i="5"/>
  <c r="J1063" i="5"/>
  <c r="P1062" i="5"/>
  <c r="O1062" i="5"/>
  <c r="N1062" i="5"/>
  <c r="M1062" i="5"/>
  <c r="L1062" i="5"/>
  <c r="J1062" i="5"/>
  <c r="K1061" i="5"/>
  <c r="F1061" i="5"/>
  <c r="D1061" i="5"/>
  <c r="B1061" i="5"/>
  <c r="J1060" i="5"/>
  <c r="K1059" i="5"/>
  <c r="J1059" i="5"/>
  <c r="D1059" i="5"/>
  <c r="B1059" i="5"/>
  <c r="J1058" i="5"/>
  <c r="P1057" i="5"/>
  <c r="O1057" i="5"/>
  <c r="N1057" i="5"/>
  <c r="M1057" i="5"/>
  <c r="L1057" i="5"/>
  <c r="J1057" i="5"/>
  <c r="P1056" i="5"/>
  <c r="O1056" i="5"/>
  <c r="N1056" i="5"/>
  <c r="M1056" i="5"/>
  <c r="L1056" i="5"/>
  <c r="J1056" i="5"/>
  <c r="J1055" i="5"/>
  <c r="D1055" i="5"/>
  <c r="B1055" i="5"/>
  <c r="J1054" i="5"/>
  <c r="K1053" i="5"/>
  <c r="J1053" i="5"/>
  <c r="D1053" i="5"/>
  <c r="B1053" i="5"/>
  <c r="J1052" i="5"/>
  <c r="K1051" i="5"/>
  <c r="J1051" i="5"/>
  <c r="D1051" i="5"/>
  <c r="B1051" i="5"/>
  <c r="J1050" i="5"/>
  <c r="J1049" i="5"/>
  <c r="D1049" i="5"/>
  <c r="B1049" i="5"/>
  <c r="J1048" i="5"/>
  <c r="D1048" i="5"/>
  <c r="B1048" i="5"/>
  <c r="J1047" i="5"/>
  <c r="P1046" i="5"/>
  <c r="O1046" i="5"/>
  <c r="N1046" i="5"/>
  <c r="M1046" i="5"/>
  <c r="L1046" i="5"/>
  <c r="J1046" i="5"/>
  <c r="K1045" i="5"/>
  <c r="O1045" i="5" s="1"/>
  <c r="J1045" i="5"/>
  <c r="D1045" i="5"/>
  <c r="B1045" i="5"/>
  <c r="K1044" i="5"/>
  <c r="I1044" i="5"/>
  <c r="H1044" i="5"/>
  <c r="G1044" i="5"/>
  <c r="F1044" i="5"/>
  <c r="D1044" i="5"/>
  <c r="B1044" i="5"/>
  <c r="J1043" i="5"/>
  <c r="J1042" i="5"/>
  <c r="D1042" i="5"/>
  <c r="B1042" i="5"/>
  <c r="J1041" i="5"/>
  <c r="D1041" i="5"/>
  <c r="B1041" i="5"/>
  <c r="J1040" i="5"/>
  <c r="P1039" i="5"/>
  <c r="O1039" i="5"/>
  <c r="N1039" i="5"/>
  <c r="M1039" i="5"/>
  <c r="L1039" i="5"/>
  <c r="J1039" i="5"/>
  <c r="P1038" i="5"/>
  <c r="O1038" i="5"/>
  <c r="N1038" i="5"/>
  <c r="M1038" i="5"/>
  <c r="L1038" i="5"/>
  <c r="J1038" i="5"/>
  <c r="K1037" i="5"/>
  <c r="J1037" i="5"/>
  <c r="D1037" i="5"/>
  <c r="B1037" i="5"/>
  <c r="J1036" i="5"/>
  <c r="D1036" i="5"/>
  <c r="B1036" i="5"/>
  <c r="J1035" i="5"/>
  <c r="J1034" i="5"/>
  <c r="D1034" i="5"/>
  <c r="B1034" i="5"/>
  <c r="J1033" i="5"/>
  <c r="D1033" i="5"/>
  <c r="B1033" i="5"/>
  <c r="J1032" i="5"/>
  <c r="P1031" i="5"/>
  <c r="O1031" i="5"/>
  <c r="N1031" i="5"/>
  <c r="M1031" i="5"/>
  <c r="L1031" i="5"/>
  <c r="J1031" i="5"/>
  <c r="J1030" i="5"/>
  <c r="D1030" i="5"/>
  <c r="B1030" i="5"/>
  <c r="K1029" i="5"/>
  <c r="O1029" i="5" s="1"/>
  <c r="J1029" i="5"/>
  <c r="D1029" i="5"/>
  <c r="B1029" i="5"/>
  <c r="J1028" i="5"/>
  <c r="D1028" i="5"/>
  <c r="B1028" i="5"/>
  <c r="J1027" i="5"/>
  <c r="F1026" i="5"/>
  <c r="G1026" i="5" s="1"/>
  <c r="H1026" i="5" s="1"/>
  <c r="I1026" i="5" s="1"/>
  <c r="D1026" i="5"/>
  <c r="B1026" i="5"/>
  <c r="K1025" i="5"/>
  <c r="G1025" i="5"/>
  <c r="D1025" i="5"/>
  <c r="B1025" i="5"/>
  <c r="J1024" i="5"/>
  <c r="J1023" i="5"/>
  <c r="D1023" i="5"/>
  <c r="B1023" i="5"/>
  <c r="J1022" i="5"/>
  <c r="D1022" i="5"/>
  <c r="B1022" i="5"/>
  <c r="J1021" i="5"/>
  <c r="D1021" i="5"/>
  <c r="B1021" i="5"/>
  <c r="J1020" i="5"/>
  <c r="P1019" i="5"/>
  <c r="O1019" i="5"/>
  <c r="N1019" i="5"/>
  <c r="M1019" i="5"/>
  <c r="L1019" i="5"/>
  <c r="J1019" i="5"/>
  <c r="P1018" i="5"/>
  <c r="O1018" i="5"/>
  <c r="N1018" i="5"/>
  <c r="M1018" i="5"/>
  <c r="L1018" i="5"/>
  <c r="J1018" i="5"/>
  <c r="K1017" i="5"/>
  <c r="G1017" i="5"/>
  <c r="J1017" i="5" s="1"/>
  <c r="D1017" i="5"/>
  <c r="B1017" i="5"/>
  <c r="J1016" i="5"/>
  <c r="P1015" i="5"/>
  <c r="O1015" i="5"/>
  <c r="N1015" i="5"/>
  <c r="M1015" i="5"/>
  <c r="L1015" i="5"/>
  <c r="J1015" i="5"/>
  <c r="G1014" i="5"/>
  <c r="J1014" i="5" s="1"/>
  <c r="D1014" i="5"/>
  <c r="B1014" i="5"/>
  <c r="K1013" i="5"/>
  <c r="O1013" i="5" s="1"/>
  <c r="J1013" i="5"/>
  <c r="D1013" i="5"/>
  <c r="B1013" i="5"/>
  <c r="J1012" i="5"/>
  <c r="P1011" i="5"/>
  <c r="O1011" i="5"/>
  <c r="N1011" i="5"/>
  <c r="M1011" i="5"/>
  <c r="L1011" i="5"/>
  <c r="J1011" i="5"/>
  <c r="F1010" i="5"/>
  <c r="G1010" i="5" s="1"/>
  <c r="J1010" i="5" s="1"/>
  <c r="D1010" i="5"/>
  <c r="B1010" i="5"/>
  <c r="K1009" i="5"/>
  <c r="J1009" i="5"/>
  <c r="D1009" i="5"/>
  <c r="B1009" i="5"/>
  <c r="J1008" i="5"/>
  <c r="K1007" i="5"/>
  <c r="O1007" i="5" s="1"/>
  <c r="O1006" i="5" s="1"/>
  <c r="F1007" i="5"/>
  <c r="G1007" i="5" s="1"/>
  <c r="J1007" i="5" s="1"/>
  <c r="D1007" i="5"/>
  <c r="B1007" i="5"/>
  <c r="J1006" i="5"/>
  <c r="J1005" i="5"/>
  <c r="D1005" i="5"/>
  <c r="B1005" i="5"/>
  <c r="J1004" i="5"/>
  <c r="D1004" i="5"/>
  <c r="B1004" i="5"/>
  <c r="K1003" i="5"/>
  <c r="D1003" i="5"/>
  <c r="B1003" i="5"/>
  <c r="F1002" i="5"/>
  <c r="F1003" i="5" s="1"/>
  <c r="D1002" i="5"/>
  <c r="B1002" i="5"/>
  <c r="J1001" i="5"/>
  <c r="J1000" i="5"/>
  <c r="D1000" i="5"/>
  <c r="B1000" i="5"/>
  <c r="J999" i="5"/>
  <c r="D999" i="5"/>
  <c r="B999" i="5"/>
  <c r="J998" i="5"/>
  <c r="D998" i="5"/>
  <c r="B998" i="5"/>
  <c r="K997" i="5"/>
  <c r="J997" i="5"/>
  <c r="D997" i="5"/>
  <c r="B997" i="5"/>
  <c r="J996" i="5"/>
  <c r="D996" i="5"/>
  <c r="B996" i="5"/>
  <c r="J995" i="5"/>
  <c r="P994" i="5"/>
  <c r="O994" i="5"/>
  <c r="N994" i="5"/>
  <c r="M994" i="5"/>
  <c r="L994" i="5"/>
  <c r="J994" i="5"/>
  <c r="P993" i="5"/>
  <c r="O993" i="5"/>
  <c r="N993" i="5"/>
  <c r="M993" i="5"/>
  <c r="L993" i="5"/>
  <c r="J993" i="5"/>
  <c r="J992" i="5"/>
  <c r="D992" i="5"/>
  <c r="B992" i="5"/>
  <c r="J991" i="5"/>
  <c r="D991" i="5"/>
  <c r="B991" i="5"/>
  <c r="J990" i="5"/>
  <c r="D990" i="5"/>
  <c r="B990" i="5"/>
  <c r="J989" i="5"/>
  <c r="J988" i="5"/>
  <c r="D988" i="5"/>
  <c r="B988" i="5"/>
  <c r="K987" i="5"/>
  <c r="J987" i="5"/>
  <c r="D987" i="5"/>
  <c r="B987" i="5"/>
  <c r="J986" i="5"/>
  <c r="D986" i="5"/>
  <c r="B986" i="5"/>
  <c r="J985" i="5"/>
  <c r="P984" i="5"/>
  <c r="O984" i="5"/>
  <c r="N984" i="5"/>
  <c r="M984" i="5"/>
  <c r="L984" i="5"/>
  <c r="J984" i="5"/>
  <c r="F983" i="5"/>
  <c r="D983" i="5"/>
  <c r="B983" i="5"/>
  <c r="K982" i="5"/>
  <c r="G982" i="5"/>
  <c r="F982" i="5"/>
  <c r="D982" i="5"/>
  <c r="B982" i="5"/>
  <c r="J981" i="5"/>
  <c r="E980" i="5"/>
  <c r="D980" i="5"/>
  <c r="B980" i="5"/>
  <c r="K979" i="5"/>
  <c r="J979" i="5"/>
  <c r="D979" i="5"/>
  <c r="B979" i="5"/>
  <c r="J978" i="5"/>
  <c r="D978" i="5"/>
  <c r="B978" i="5"/>
  <c r="J977" i="5"/>
  <c r="P976" i="5"/>
  <c r="O976" i="5"/>
  <c r="N976" i="5"/>
  <c r="M976" i="5"/>
  <c r="L976" i="5"/>
  <c r="J976" i="5"/>
  <c r="P975" i="5"/>
  <c r="O975" i="5"/>
  <c r="N975" i="5"/>
  <c r="M975" i="5"/>
  <c r="L975" i="5"/>
  <c r="J975" i="5"/>
  <c r="J974" i="5"/>
  <c r="D974" i="5"/>
  <c r="B974" i="5"/>
  <c r="K973" i="5"/>
  <c r="O973" i="5" s="1"/>
  <c r="J973" i="5"/>
  <c r="D973" i="5"/>
  <c r="B973" i="5"/>
  <c r="J972" i="5"/>
  <c r="J971" i="5"/>
  <c r="D971" i="5"/>
  <c r="B971" i="5"/>
  <c r="J970" i="5"/>
  <c r="D970" i="5"/>
  <c r="B970" i="5"/>
  <c r="J969" i="5"/>
  <c r="P968" i="5"/>
  <c r="O968" i="5"/>
  <c r="N968" i="5"/>
  <c r="M968" i="5"/>
  <c r="L968" i="5"/>
  <c r="J968" i="5"/>
  <c r="E967" i="5"/>
  <c r="D967" i="5"/>
  <c r="B967" i="5"/>
  <c r="J966" i="5"/>
  <c r="E965" i="5"/>
  <c r="D965" i="5"/>
  <c r="B965" i="5"/>
  <c r="J964" i="5"/>
  <c r="E963" i="5"/>
  <c r="J963" i="5" s="1"/>
  <c r="D963" i="5"/>
  <c r="B963" i="5"/>
  <c r="J962" i="5"/>
  <c r="P961" i="5"/>
  <c r="O961" i="5"/>
  <c r="N961" i="5"/>
  <c r="M961" i="5"/>
  <c r="L961" i="5"/>
  <c r="J961" i="5"/>
  <c r="P960" i="5"/>
  <c r="O960" i="5"/>
  <c r="N960" i="5"/>
  <c r="M960" i="5"/>
  <c r="L960" i="5"/>
  <c r="J960" i="5"/>
  <c r="K959" i="5"/>
  <c r="J959" i="5"/>
  <c r="D959" i="5"/>
  <c r="B959" i="5"/>
  <c r="K958" i="5"/>
  <c r="J958" i="5"/>
  <c r="D958" i="5"/>
  <c r="B958" i="5"/>
  <c r="J957" i="5"/>
  <c r="J956" i="5"/>
  <c r="D956" i="5"/>
  <c r="B956" i="5"/>
  <c r="J955" i="5"/>
  <c r="J954" i="5"/>
  <c r="D954" i="5"/>
  <c r="B954" i="5"/>
  <c r="J953" i="5"/>
  <c r="P952" i="5"/>
  <c r="O952" i="5"/>
  <c r="N952" i="5"/>
  <c r="M952" i="5"/>
  <c r="L952" i="5"/>
  <c r="J952" i="5"/>
  <c r="J951" i="5"/>
  <c r="D951" i="5"/>
  <c r="B951" i="5"/>
  <c r="J950" i="5"/>
  <c r="P949" i="5"/>
  <c r="O949" i="5"/>
  <c r="N949" i="5"/>
  <c r="M949" i="5"/>
  <c r="L949" i="5"/>
  <c r="J949" i="5"/>
  <c r="P948" i="5"/>
  <c r="O948" i="5"/>
  <c r="N948" i="5"/>
  <c r="M948" i="5"/>
  <c r="L948" i="5"/>
  <c r="J948" i="5"/>
  <c r="I947" i="5"/>
  <c r="H947" i="5"/>
  <c r="D947" i="5"/>
  <c r="B947" i="5"/>
  <c r="J946" i="5"/>
  <c r="D945" i="5"/>
  <c r="B945" i="5"/>
  <c r="K944" i="5"/>
  <c r="D944" i="5"/>
  <c r="B944" i="5"/>
  <c r="J943" i="5"/>
  <c r="P942" i="5"/>
  <c r="O942" i="5"/>
  <c r="N942" i="5"/>
  <c r="M942" i="5"/>
  <c r="L942" i="5"/>
  <c r="J942" i="5"/>
  <c r="P941" i="5"/>
  <c r="O941" i="5"/>
  <c r="N941" i="5"/>
  <c r="M941" i="5"/>
  <c r="L941" i="5"/>
  <c r="J941" i="5"/>
  <c r="F940" i="5"/>
  <c r="G940" i="5" s="1"/>
  <c r="H940" i="5" s="1"/>
  <c r="I940" i="5" s="1"/>
  <c r="D940" i="5"/>
  <c r="B940" i="5"/>
  <c r="J939" i="5"/>
  <c r="P938" i="5"/>
  <c r="O938" i="5"/>
  <c r="N938" i="5"/>
  <c r="M938" i="5"/>
  <c r="L938" i="5"/>
  <c r="J938" i="5"/>
  <c r="P937" i="5"/>
  <c r="O937" i="5"/>
  <c r="N937" i="5"/>
  <c r="M937" i="5"/>
  <c r="L937" i="5"/>
  <c r="J937" i="5"/>
  <c r="P936" i="5"/>
  <c r="O936" i="5"/>
  <c r="N936" i="5"/>
  <c r="M936" i="5"/>
  <c r="L936" i="5"/>
  <c r="J936" i="5"/>
  <c r="J935" i="5"/>
  <c r="D935" i="5"/>
  <c r="B935" i="5"/>
  <c r="K934" i="5"/>
  <c r="L934" i="5" s="1"/>
  <c r="J934" i="5"/>
  <c r="D934" i="5"/>
  <c r="B934" i="5"/>
  <c r="J933" i="5"/>
  <c r="D933" i="5"/>
  <c r="B933" i="5"/>
  <c r="K931" i="5"/>
  <c r="O931" i="5" s="1"/>
  <c r="O930" i="5" s="1"/>
  <c r="O2173" i="5" s="1"/>
  <c r="G2173" i="5" s="1"/>
  <c r="J931" i="5"/>
  <c r="D931" i="5"/>
  <c r="B931" i="5"/>
  <c r="J930" i="5"/>
  <c r="P929" i="5"/>
  <c r="O929" i="5"/>
  <c r="N929" i="5"/>
  <c r="M929" i="5"/>
  <c r="L929" i="5"/>
  <c r="K928" i="5"/>
  <c r="D928" i="5"/>
  <c r="B928" i="5"/>
  <c r="J927" i="5"/>
  <c r="P926" i="5"/>
  <c r="O926" i="5"/>
  <c r="N926" i="5"/>
  <c r="M926" i="5"/>
  <c r="L926" i="5"/>
  <c r="J926" i="5"/>
  <c r="K925" i="5"/>
  <c r="I925" i="5"/>
  <c r="H925" i="5"/>
  <c r="G925" i="5"/>
  <c r="G928" i="5" s="1"/>
  <c r="J928" i="5" s="1"/>
  <c r="D925" i="5"/>
  <c r="B925" i="5"/>
  <c r="J924" i="5"/>
  <c r="P923" i="5"/>
  <c r="O923" i="5"/>
  <c r="N923" i="5"/>
  <c r="M923" i="5"/>
  <c r="L923" i="5"/>
  <c r="J923" i="5"/>
  <c r="K922" i="5"/>
  <c r="G922" i="5"/>
  <c r="J922" i="5" s="1"/>
  <c r="D922" i="5"/>
  <c r="B922" i="5"/>
  <c r="K921" i="5"/>
  <c r="O921" i="5" s="1"/>
  <c r="J921" i="5"/>
  <c r="D921" i="5"/>
  <c r="B921" i="5"/>
  <c r="J920" i="5"/>
  <c r="P919" i="5"/>
  <c r="O919" i="5"/>
  <c r="N919" i="5"/>
  <c r="M919" i="5"/>
  <c r="L919" i="5"/>
  <c r="J919" i="5"/>
  <c r="P918" i="5"/>
  <c r="O918" i="5"/>
  <c r="N918" i="5"/>
  <c r="M918" i="5"/>
  <c r="L918" i="5"/>
  <c r="J918" i="5"/>
  <c r="D914" i="5"/>
  <c r="B914" i="5"/>
  <c r="J913" i="5"/>
  <c r="J912" i="5"/>
  <c r="D912" i="5"/>
  <c r="B912" i="5"/>
  <c r="K911" i="5"/>
  <c r="O911" i="5" s="1"/>
  <c r="J911" i="5"/>
  <c r="D911" i="5"/>
  <c r="B911" i="5"/>
  <c r="J910" i="5"/>
  <c r="P909" i="5"/>
  <c r="O909" i="5"/>
  <c r="N909" i="5"/>
  <c r="M909" i="5"/>
  <c r="L909" i="5"/>
  <c r="J909" i="5"/>
  <c r="J908" i="5"/>
  <c r="D908" i="5"/>
  <c r="B908" i="5"/>
  <c r="J907" i="5"/>
  <c r="D907" i="5"/>
  <c r="B907" i="5"/>
  <c r="J906" i="5"/>
  <c r="J905" i="5"/>
  <c r="D905" i="5"/>
  <c r="B905" i="5"/>
  <c r="K904" i="5"/>
  <c r="L904" i="5" s="1"/>
  <c r="J904" i="5"/>
  <c r="D904" i="5"/>
  <c r="B904" i="5"/>
  <c r="J903" i="5"/>
  <c r="D903" i="5"/>
  <c r="B903" i="5"/>
  <c r="J902" i="5"/>
  <c r="P901" i="5"/>
  <c r="O901" i="5"/>
  <c r="N901" i="5"/>
  <c r="M901" i="5"/>
  <c r="L901" i="5"/>
  <c r="J901" i="5"/>
  <c r="P900" i="5"/>
  <c r="O900" i="5"/>
  <c r="N900" i="5"/>
  <c r="M900" i="5"/>
  <c r="L900" i="5"/>
  <c r="J900" i="5"/>
  <c r="K899" i="5"/>
  <c r="J899" i="5"/>
  <c r="D899" i="5"/>
  <c r="B899" i="5"/>
  <c r="J898" i="5"/>
  <c r="P897" i="5"/>
  <c r="O897" i="5"/>
  <c r="N897" i="5"/>
  <c r="M897" i="5"/>
  <c r="L897" i="5"/>
  <c r="J897" i="5"/>
  <c r="K896" i="5"/>
  <c r="D896" i="5"/>
  <c r="B896" i="5"/>
  <c r="K895" i="5"/>
  <c r="D895" i="5"/>
  <c r="B895" i="5"/>
  <c r="J894" i="5"/>
  <c r="J893" i="5"/>
  <c r="D893" i="5"/>
  <c r="B893" i="5"/>
  <c r="J892" i="5"/>
  <c r="D892" i="5"/>
  <c r="B892" i="5"/>
  <c r="K891" i="5"/>
  <c r="J891" i="5"/>
  <c r="D891" i="5"/>
  <c r="B891" i="5"/>
  <c r="J890" i="5"/>
  <c r="K889" i="5"/>
  <c r="J889" i="5"/>
  <c r="D889" i="5"/>
  <c r="B889" i="5"/>
  <c r="J888" i="5"/>
  <c r="P887" i="5"/>
  <c r="O887" i="5"/>
  <c r="N887" i="5"/>
  <c r="M887" i="5"/>
  <c r="L887" i="5"/>
  <c r="J887" i="5"/>
  <c r="K886" i="5"/>
  <c r="D886" i="5"/>
  <c r="B886" i="5"/>
  <c r="J885" i="5"/>
  <c r="P884" i="5"/>
  <c r="O884" i="5"/>
  <c r="N884" i="5"/>
  <c r="M884" i="5"/>
  <c r="L884" i="5"/>
  <c r="J884" i="5"/>
  <c r="K883" i="5"/>
  <c r="D883" i="5"/>
  <c r="B883" i="5"/>
  <c r="J882" i="5"/>
  <c r="P881" i="5"/>
  <c r="O881" i="5"/>
  <c r="N881" i="5"/>
  <c r="M881" i="5"/>
  <c r="L881" i="5"/>
  <c r="J881" i="5"/>
  <c r="P880" i="5"/>
  <c r="O880" i="5"/>
  <c r="N880" i="5"/>
  <c r="M880" i="5"/>
  <c r="L880" i="5"/>
  <c r="J880" i="5"/>
  <c r="J879" i="5"/>
  <c r="D879" i="5"/>
  <c r="B879" i="5"/>
  <c r="K878" i="5"/>
  <c r="J878" i="5"/>
  <c r="D878" i="5"/>
  <c r="B878" i="5"/>
  <c r="J877" i="5"/>
  <c r="D877" i="5"/>
  <c r="B877" i="5"/>
  <c r="P875" i="5"/>
  <c r="O875" i="5"/>
  <c r="N875" i="5"/>
  <c r="M875" i="5"/>
  <c r="L875" i="5"/>
  <c r="P874" i="5"/>
  <c r="P2142" i="5" s="1"/>
  <c r="H2142" i="5" s="1"/>
  <c r="O874" i="5"/>
  <c r="O2142" i="5" s="1"/>
  <c r="G2142" i="5" s="1"/>
  <c r="N874" i="5"/>
  <c r="N2142" i="5" s="1"/>
  <c r="F2142" i="5" s="1"/>
  <c r="M874" i="5"/>
  <c r="M2142" i="5" s="1"/>
  <c r="E2142" i="5" s="1"/>
  <c r="L874" i="5"/>
  <c r="L2142" i="5" s="1"/>
  <c r="D2142" i="5" s="1"/>
  <c r="J874" i="5"/>
  <c r="E873" i="5"/>
  <c r="J873" i="5" s="1"/>
  <c r="D873" i="5"/>
  <c r="B873" i="5"/>
  <c r="J872" i="5"/>
  <c r="D872" i="5"/>
  <c r="B872" i="5"/>
  <c r="J871" i="5"/>
  <c r="P870" i="5"/>
  <c r="O870" i="5"/>
  <c r="N870" i="5"/>
  <c r="M870" i="5"/>
  <c r="L870" i="5"/>
  <c r="J870" i="5"/>
  <c r="E869" i="5"/>
  <c r="D869" i="5"/>
  <c r="B869" i="5"/>
  <c r="J868" i="5"/>
  <c r="E867" i="5"/>
  <c r="J867" i="5" s="1"/>
  <c r="D867" i="5"/>
  <c r="B867" i="5"/>
  <c r="J866" i="5"/>
  <c r="D866" i="5"/>
  <c r="B866" i="5"/>
  <c r="J865" i="5"/>
  <c r="P864" i="5"/>
  <c r="O864" i="5"/>
  <c r="N864" i="5"/>
  <c r="M864" i="5"/>
  <c r="L864" i="5"/>
  <c r="J864" i="5"/>
  <c r="K863" i="5"/>
  <c r="O863" i="5" s="1"/>
  <c r="O862" i="5" s="1"/>
  <c r="O2136" i="5" s="1"/>
  <c r="G2136" i="5" s="1"/>
  <c r="J863" i="5"/>
  <c r="D863" i="5"/>
  <c r="B863" i="5"/>
  <c r="J862" i="5"/>
  <c r="J861" i="5"/>
  <c r="D861" i="5"/>
  <c r="B861" i="5"/>
  <c r="E860" i="5"/>
  <c r="J860" i="5" s="1"/>
  <c r="D860" i="5"/>
  <c r="B860" i="5"/>
  <c r="J859" i="5"/>
  <c r="D859" i="5"/>
  <c r="B859" i="5"/>
  <c r="J858" i="5"/>
  <c r="P857" i="5"/>
  <c r="O857" i="5"/>
  <c r="N857" i="5"/>
  <c r="M857" i="5"/>
  <c r="L857" i="5"/>
  <c r="J857" i="5"/>
  <c r="P856" i="5"/>
  <c r="O856" i="5"/>
  <c r="N856" i="5"/>
  <c r="M856" i="5"/>
  <c r="L856" i="5"/>
  <c r="J856" i="5"/>
  <c r="K855" i="5"/>
  <c r="D855" i="5"/>
  <c r="B855" i="5"/>
  <c r="J854" i="5"/>
  <c r="J853" i="5"/>
  <c r="D853" i="5"/>
  <c r="B853" i="5"/>
  <c r="J852" i="5"/>
  <c r="D852" i="5"/>
  <c r="B852" i="5"/>
  <c r="J851" i="5"/>
  <c r="P850" i="5"/>
  <c r="O850" i="5"/>
  <c r="N850" i="5"/>
  <c r="M850" i="5"/>
  <c r="L850" i="5"/>
  <c r="J850" i="5"/>
  <c r="K849" i="5"/>
  <c r="D849" i="5"/>
  <c r="B849" i="5"/>
  <c r="J848" i="5"/>
  <c r="P847" i="5"/>
  <c r="O847" i="5"/>
  <c r="N847" i="5"/>
  <c r="M847" i="5"/>
  <c r="L847" i="5"/>
  <c r="J847" i="5"/>
  <c r="P846" i="5"/>
  <c r="O846" i="5"/>
  <c r="N846" i="5"/>
  <c r="M846" i="5"/>
  <c r="L846" i="5"/>
  <c r="J846" i="5"/>
  <c r="F845" i="5"/>
  <c r="D845" i="5"/>
  <c r="B845" i="5"/>
  <c r="J844" i="5"/>
  <c r="P843" i="5"/>
  <c r="O843" i="5"/>
  <c r="N843" i="5"/>
  <c r="M843" i="5"/>
  <c r="L843" i="5"/>
  <c r="J843" i="5"/>
  <c r="J842" i="5"/>
  <c r="D842" i="5"/>
  <c r="B842" i="5"/>
  <c r="E841" i="5"/>
  <c r="J841" i="5" s="1"/>
  <c r="D841" i="5"/>
  <c r="B841" i="5"/>
  <c r="J840" i="5"/>
  <c r="K839" i="5"/>
  <c r="O839" i="5" s="1"/>
  <c r="F839" i="5"/>
  <c r="D839" i="5"/>
  <c r="B839" i="5"/>
  <c r="K838" i="5"/>
  <c r="O838" i="5" s="1"/>
  <c r="J838" i="5"/>
  <c r="D838" i="5"/>
  <c r="B838" i="5"/>
  <c r="K837" i="5"/>
  <c r="E837" i="5"/>
  <c r="F837" i="5" s="1"/>
  <c r="D837" i="5"/>
  <c r="B837" i="5"/>
  <c r="J836" i="5"/>
  <c r="D836" i="5"/>
  <c r="B836" i="5"/>
  <c r="J835" i="5"/>
  <c r="E834" i="5"/>
  <c r="J834" i="5" s="1"/>
  <c r="D834" i="5"/>
  <c r="B834" i="5"/>
  <c r="E833" i="5"/>
  <c r="J833" i="5" s="1"/>
  <c r="D833" i="5"/>
  <c r="B833" i="5"/>
  <c r="J832" i="5"/>
  <c r="D832" i="5"/>
  <c r="B832" i="5"/>
  <c r="J831" i="5"/>
  <c r="P830" i="5"/>
  <c r="O830" i="5"/>
  <c r="N830" i="5"/>
  <c r="M830" i="5"/>
  <c r="L830" i="5"/>
  <c r="J830" i="5"/>
  <c r="P829" i="5"/>
  <c r="O829" i="5"/>
  <c r="N829" i="5"/>
  <c r="M829" i="5"/>
  <c r="L829" i="5"/>
  <c r="J829" i="5"/>
  <c r="K828" i="5"/>
  <c r="O828" i="5" s="1"/>
  <c r="O827" i="5" s="1"/>
  <c r="O2119" i="5" s="1"/>
  <c r="G2119" i="5" s="1"/>
  <c r="J828" i="5"/>
  <c r="D828" i="5"/>
  <c r="B828" i="5"/>
  <c r="J827" i="5"/>
  <c r="J826" i="5"/>
  <c r="D826" i="5"/>
  <c r="B826" i="5"/>
  <c r="K825" i="5"/>
  <c r="J825" i="5"/>
  <c r="D825" i="5"/>
  <c r="B825" i="5"/>
  <c r="J824" i="5"/>
  <c r="P823" i="5"/>
  <c r="O823" i="5"/>
  <c r="N823" i="5"/>
  <c r="M823" i="5"/>
  <c r="L823" i="5"/>
  <c r="J823" i="5"/>
  <c r="K822" i="5"/>
  <c r="J822" i="5"/>
  <c r="D822" i="5"/>
  <c r="B822" i="5"/>
  <c r="J821" i="5"/>
  <c r="P820" i="5"/>
  <c r="O820" i="5"/>
  <c r="N820" i="5"/>
  <c r="M820" i="5"/>
  <c r="L820" i="5"/>
  <c r="J820" i="5"/>
  <c r="K819" i="5"/>
  <c r="J819" i="5"/>
  <c r="D819" i="5"/>
  <c r="B819" i="5"/>
  <c r="J818" i="5"/>
  <c r="P817" i="5"/>
  <c r="O817" i="5"/>
  <c r="N817" i="5"/>
  <c r="M817" i="5"/>
  <c r="L817" i="5"/>
  <c r="J817" i="5"/>
  <c r="J816" i="5"/>
  <c r="D816" i="5"/>
  <c r="B816" i="5"/>
  <c r="K815" i="5"/>
  <c r="P815" i="5" s="1"/>
  <c r="J815" i="5"/>
  <c r="D815" i="5"/>
  <c r="B815" i="5"/>
  <c r="J814" i="5"/>
  <c r="D814" i="5"/>
  <c r="B814" i="5"/>
  <c r="J813" i="5"/>
  <c r="P812" i="5"/>
  <c r="O812" i="5"/>
  <c r="N812" i="5"/>
  <c r="M812" i="5"/>
  <c r="L812" i="5"/>
  <c r="J812" i="5"/>
  <c r="J811" i="5"/>
  <c r="D811" i="5"/>
  <c r="B811" i="5"/>
  <c r="K810" i="5"/>
  <c r="O810" i="5" s="1"/>
  <c r="J810" i="5"/>
  <c r="D810" i="5"/>
  <c r="B810" i="5"/>
  <c r="J809" i="5"/>
  <c r="D809" i="5"/>
  <c r="B809" i="5"/>
  <c r="J808" i="5"/>
  <c r="P807" i="5"/>
  <c r="O807" i="5"/>
  <c r="N807" i="5"/>
  <c r="M807" i="5"/>
  <c r="L807" i="5"/>
  <c r="J807" i="5"/>
  <c r="J806" i="5"/>
  <c r="D806" i="5"/>
  <c r="B806" i="5"/>
  <c r="K805" i="5"/>
  <c r="J805" i="5"/>
  <c r="D805" i="5"/>
  <c r="B805" i="5"/>
  <c r="J804" i="5"/>
  <c r="D804" i="5"/>
  <c r="B804" i="5"/>
  <c r="J803" i="5"/>
  <c r="P802" i="5"/>
  <c r="O802" i="5"/>
  <c r="N802" i="5"/>
  <c r="M802" i="5"/>
  <c r="L802" i="5"/>
  <c r="J802" i="5"/>
  <c r="E801" i="5"/>
  <c r="J801" i="5" s="1"/>
  <c r="D801" i="5"/>
  <c r="B801" i="5"/>
  <c r="K800" i="5"/>
  <c r="J800" i="5"/>
  <c r="D800" i="5"/>
  <c r="B800" i="5"/>
  <c r="I799" i="5"/>
  <c r="J799" i="5" s="1"/>
  <c r="D799" i="5"/>
  <c r="B799" i="5"/>
  <c r="J798" i="5"/>
  <c r="P797" i="5"/>
  <c r="O797" i="5"/>
  <c r="N797" i="5"/>
  <c r="M797" i="5"/>
  <c r="L797" i="5"/>
  <c r="J797" i="5"/>
  <c r="P796" i="5"/>
  <c r="O796" i="5"/>
  <c r="N796" i="5"/>
  <c r="M796" i="5"/>
  <c r="L796" i="5"/>
  <c r="J796" i="5"/>
  <c r="P795" i="5"/>
  <c r="O795" i="5"/>
  <c r="N795" i="5"/>
  <c r="M795" i="5"/>
  <c r="L795" i="5"/>
  <c r="J795" i="5"/>
  <c r="K794" i="5"/>
  <c r="O794" i="5" s="1"/>
  <c r="G794" i="5"/>
  <c r="J794" i="5" s="1"/>
  <c r="D794" i="5"/>
  <c r="B794" i="5"/>
  <c r="D793" i="5"/>
  <c r="B793" i="5"/>
  <c r="J792" i="5"/>
  <c r="P791" i="5"/>
  <c r="O791" i="5"/>
  <c r="N791" i="5"/>
  <c r="M791" i="5"/>
  <c r="L791" i="5"/>
  <c r="J791" i="5"/>
  <c r="K790" i="5"/>
  <c r="F790" i="5"/>
  <c r="D790" i="5"/>
  <c r="B790" i="5"/>
  <c r="J789" i="5"/>
  <c r="P788" i="5"/>
  <c r="O788" i="5"/>
  <c r="N788" i="5"/>
  <c r="M788" i="5"/>
  <c r="L788" i="5"/>
  <c r="J788" i="5"/>
  <c r="P787" i="5"/>
  <c r="O787" i="5"/>
  <c r="N787" i="5"/>
  <c r="M787" i="5"/>
  <c r="L787" i="5"/>
  <c r="J787" i="5"/>
  <c r="K786" i="5"/>
  <c r="O786" i="5" s="1"/>
  <c r="O785" i="5" s="1"/>
  <c r="O2097" i="5" s="1"/>
  <c r="G2097" i="5" s="1"/>
  <c r="D786" i="5"/>
  <c r="B786" i="5"/>
  <c r="J785" i="5"/>
  <c r="P784" i="5"/>
  <c r="O784" i="5"/>
  <c r="N784" i="5"/>
  <c r="M784" i="5"/>
  <c r="L784" i="5"/>
  <c r="J784" i="5"/>
  <c r="K783" i="5"/>
  <c r="M783" i="5" s="1"/>
  <c r="M782" i="5" s="1"/>
  <c r="M2095" i="5" s="1"/>
  <c r="E2095" i="5" s="1"/>
  <c r="D783" i="5"/>
  <c r="B783" i="5"/>
  <c r="J782" i="5"/>
  <c r="P781" i="5"/>
  <c r="O781" i="5"/>
  <c r="N781" i="5"/>
  <c r="M781" i="5"/>
  <c r="L781" i="5"/>
  <c r="J781" i="5"/>
  <c r="K780" i="5"/>
  <c r="O780" i="5" s="1"/>
  <c r="F780" i="5"/>
  <c r="J780" i="5" s="1"/>
  <c r="D780" i="5"/>
  <c r="B780" i="5"/>
  <c r="K779" i="5"/>
  <c r="O779" i="5" s="1"/>
  <c r="F779" i="5"/>
  <c r="J779" i="5" s="1"/>
  <c r="D779" i="5"/>
  <c r="B779" i="5"/>
  <c r="K778" i="5"/>
  <c r="D778" i="5"/>
  <c r="B778" i="5"/>
  <c r="J777" i="5"/>
  <c r="P776" i="5"/>
  <c r="O776" i="5"/>
  <c r="N776" i="5"/>
  <c r="M776" i="5"/>
  <c r="L776" i="5"/>
  <c r="J776" i="5"/>
  <c r="P775" i="5"/>
  <c r="O775" i="5"/>
  <c r="N775" i="5"/>
  <c r="M775" i="5"/>
  <c r="L775" i="5"/>
  <c r="J775" i="5"/>
  <c r="K741" i="5"/>
  <c r="D741" i="5"/>
  <c r="B741" i="5"/>
  <c r="E740" i="5"/>
  <c r="D740" i="5"/>
  <c r="B740" i="5"/>
  <c r="J739" i="5"/>
  <c r="J738" i="5"/>
  <c r="D738" i="5"/>
  <c r="B738" i="5"/>
  <c r="K737" i="5"/>
  <c r="J737" i="5"/>
  <c r="D737" i="5"/>
  <c r="B737" i="5"/>
  <c r="J736" i="5"/>
  <c r="P735" i="5"/>
  <c r="O735" i="5"/>
  <c r="N735" i="5"/>
  <c r="M735" i="5"/>
  <c r="L735" i="5"/>
  <c r="J735" i="5"/>
  <c r="P734" i="5"/>
  <c r="O734" i="5"/>
  <c r="N734" i="5"/>
  <c r="M734" i="5"/>
  <c r="L734" i="5"/>
  <c r="J734" i="5"/>
  <c r="K733" i="5"/>
  <c r="D733" i="5"/>
  <c r="B733" i="5"/>
  <c r="J732" i="5"/>
  <c r="P731" i="5"/>
  <c r="O731" i="5"/>
  <c r="N731" i="5"/>
  <c r="M731" i="5"/>
  <c r="L731" i="5"/>
  <c r="J731" i="5"/>
  <c r="K730" i="5"/>
  <c r="D730" i="5"/>
  <c r="B730" i="5"/>
  <c r="J729" i="5"/>
  <c r="P728" i="5"/>
  <c r="O728" i="5"/>
  <c r="N728" i="5"/>
  <c r="M728" i="5"/>
  <c r="L728" i="5"/>
  <c r="J728" i="5"/>
  <c r="P727" i="5"/>
  <c r="O727" i="5"/>
  <c r="N727" i="5"/>
  <c r="M727" i="5"/>
  <c r="L727" i="5"/>
  <c r="J727" i="5"/>
  <c r="K726" i="5"/>
  <c r="D726" i="5"/>
  <c r="B726" i="5"/>
  <c r="K725" i="5"/>
  <c r="D725" i="5"/>
  <c r="B725" i="5"/>
  <c r="J724" i="5"/>
  <c r="J723" i="5"/>
  <c r="D723" i="5"/>
  <c r="B723" i="5"/>
  <c r="J722" i="5"/>
  <c r="D722" i="5"/>
  <c r="B722" i="5"/>
  <c r="K721" i="5"/>
  <c r="J721" i="5"/>
  <c r="D721" i="5"/>
  <c r="B721" i="5"/>
  <c r="J720" i="5"/>
  <c r="K719" i="5"/>
  <c r="O719" i="5" s="1"/>
  <c r="O718" i="5" s="1"/>
  <c r="O2064" i="5" s="1"/>
  <c r="G2064" i="5" s="1"/>
  <c r="J719" i="5"/>
  <c r="D719" i="5"/>
  <c r="B719" i="5"/>
  <c r="J718" i="5"/>
  <c r="P717" i="5"/>
  <c r="O717" i="5"/>
  <c r="N717" i="5"/>
  <c r="M717" i="5"/>
  <c r="L717" i="5"/>
  <c r="J717" i="5"/>
  <c r="K716" i="5"/>
  <c r="D716" i="5"/>
  <c r="B716" i="5"/>
  <c r="J715" i="5"/>
  <c r="K714" i="5"/>
  <c r="D714" i="5"/>
  <c r="B714" i="5"/>
  <c r="J713" i="5"/>
  <c r="J712" i="5"/>
  <c r="D712" i="5"/>
  <c r="B712" i="5"/>
  <c r="J711" i="5"/>
  <c r="D711" i="5"/>
  <c r="B711" i="5"/>
  <c r="J710" i="5"/>
  <c r="P709" i="5"/>
  <c r="O709" i="5"/>
  <c r="N709" i="5"/>
  <c r="M709" i="5"/>
  <c r="L709" i="5"/>
  <c r="J709" i="5"/>
  <c r="P708" i="5"/>
  <c r="O708" i="5"/>
  <c r="N708" i="5"/>
  <c r="M708" i="5"/>
  <c r="L708" i="5"/>
  <c r="J708" i="5"/>
  <c r="K707" i="5"/>
  <c r="D707" i="5"/>
  <c r="B707" i="5"/>
  <c r="J706" i="5"/>
  <c r="P705" i="5"/>
  <c r="O705" i="5"/>
  <c r="N705" i="5"/>
  <c r="M705" i="5"/>
  <c r="L705" i="5"/>
  <c r="J705" i="5"/>
  <c r="K704" i="5"/>
  <c r="D704" i="5"/>
  <c r="B704" i="5"/>
  <c r="J703" i="5"/>
  <c r="E702" i="5"/>
  <c r="J702" i="5" s="1"/>
  <c r="D702" i="5"/>
  <c r="B702" i="5"/>
  <c r="E701" i="5"/>
  <c r="J701" i="5" s="1"/>
  <c r="D701" i="5"/>
  <c r="B701" i="5"/>
  <c r="E700" i="5"/>
  <c r="J700" i="5" s="1"/>
  <c r="D700" i="5"/>
  <c r="B700" i="5"/>
  <c r="J699" i="5"/>
  <c r="E698" i="5"/>
  <c r="J698" i="5" s="1"/>
  <c r="D698" i="5"/>
  <c r="B698" i="5"/>
  <c r="E697" i="5"/>
  <c r="J697" i="5" s="1"/>
  <c r="D697" i="5"/>
  <c r="B697" i="5"/>
  <c r="J696" i="5"/>
  <c r="P695" i="5"/>
  <c r="O695" i="5"/>
  <c r="N695" i="5"/>
  <c r="M695" i="5"/>
  <c r="L695" i="5"/>
  <c r="J695" i="5"/>
  <c r="K694" i="5"/>
  <c r="D694" i="5"/>
  <c r="B694" i="5"/>
  <c r="J693" i="5"/>
  <c r="E692" i="5"/>
  <c r="J692" i="5" s="1"/>
  <c r="D692" i="5"/>
  <c r="B692" i="5"/>
  <c r="K691" i="5"/>
  <c r="J691" i="5"/>
  <c r="D691" i="5"/>
  <c r="B691" i="5"/>
  <c r="J690" i="5"/>
  <c r="P689" i="5"/>
  <c r="O689" i="5"/>
  <c r="N689" i="5"/>
  <c r="M689" i="5"/>
  <c r="L689" i="5"/>
  <c r="J689" i="5"/>
  <c r="P688" i="5"/>
  <c r="O688" i="5"/>
  <c r="N688" i="5"/>
  <c r="M688" i="5"/>
  <c r="L688" i="5"/>
  <c r="J688" i="5"/>
  <c r="J687" i="5"/>
  <c r="D687" i="5"/>
  <c r="B687" i="5"/>
  <c r="J686" i="5"/>
  <c r="P685" i="5"/>
  <c r="O685" i="5"/>
  <c r="N685" i="5"/>
  <c r="M685" i="5"/>
  <c r="L685" i="5"/>
  <c r="J685" i="5"/>
  <c r="P683" i="5"/>
  <c r="P2045" i="5" s="1"/>
  <c r="H2045" i="5" s="1"/>
  <c r="O683" i="5"/>
  <c r="O2045" i="5" s="1"/>
  <c r="G2045" i="5" s="1"/>
  <c r="N683" i="5"/>
  <c r="N2045" i="5" s="1"/>
  <c r="F2045" i="5" s="1"/>
  <c r="M683" i="5"/>
  <c r="M2045" i="5" s="1"/>
  <c r="E2045" i="5" s="1"/>
  <c r="D684" i="5"/>
  <c r="B684" i="5"/>
  <c r="J683" i="5"/>
  <c r="P682" i="5"/>
  <c r="O682" i="5"/>
  <c r="N682" i="5"/>
  <c r="M682" i="5"/>
  <c r="L682" i="5"/>
  <c r="J682" i="5"/>
  <c r="P681" i="5"/>
  <c r="O681" i="5"/>
  <c r="N681" i="5"/>
  <c r="M681" i="5"/>
  <c r="L681" i="5"/>
  <c r="J681" i="5"/>
  <c r="K680" i="5"/>
  <c r="O680" i="5" s="1"/>
  <c r="O679" i="5" s="1"/>
  <c r="O2042" i="5" s="1"/>
  <c r="G2042" i="5" s="1"/>
  <c r="J680" i="5"/>
  <c r="D680" i="5"/>
  <c r="B680" i="5"/>
  <c r="J679" i="5"/>
  <c r="K678" i="5"/>
  <c r="O678" i="5" s="1"/>
  <c r="O677" i="5" s="1"/>
  <c r="O2041" i="5" s="1"/>
  <c r="G2041" i="5" s="1"/>
  <c r="J678" i="5"/>
  <c r="D678" i="5"/>
  <c r="B678" i="5"/>
  <c r="J677" i="5"/>
  <c r="J676" i="5"/>
  <c r="D676" i="5"/>
  <c r="B676" i="5"/>
  <c r="K675" i="5"/>
  <c r="J675" i="5"/>
  <c r="D675" i="5"/>
  <c r="B675" i="5"/>
  <c r="J674" i="5"/>
  <c r="D674" i="5"/>
  <c r="B674" i="5"/>
  <c r="J673" i="5"/>
  <c r="P672" i="5"/>
  <c r="O672" i="5"/>
  <c r="N672" i="5"/>
  <c r="M672" i="5"/>
  <c r="L672" i="5"/>
  <c r="J672" i="5"/>
  <c r="P671" i="5"/>
  <c r="O671" i="5"/>
  <c r="N671" i="5"/>
  <c r="M671" i="5"/>
  <c r="L671" i="5"/>
  <c r="J671" i="5"/>
  <c r="K670" i="5"/>
  <c r="J670" i="5"/>
  <c r="D670" i="5"/>
  <c r="B670" i="5"/>
  <c r="J669" i="5"/>
  <c r="J668" i="5"/>
  <c r="D668" i="5"/>
  <c r="B668" i="5"/>
  <c r="K667" i="5"/>
  <c r="O667" i="5" s="1"/>
  <c r="J667" i="5"/>
  <c r="D667" i="5"/>
  <c r="B667" i="5"/>
  <c r="J666" i="5"/>
  <c r="P665" i="5"/>
  <c r="O665" i="5"/>
  <c r="N665" i="5"/>
  <c r="M665" i="5"/>
  <c r="L665" i="5"/>
  <c r="J665" i="5"/>
  <c r="P664" i="5"/>
  <c r="O664" i="5"/>
  <c r="N664" i="5"/>
  <c r="M664" i="5"/>
  <c r="L664" i="5"/>
  <c r="J664" i="5"/>
  <c r="P663" i="5"/>
  <c r="O663" i="5"/>
  <c r="N663" i="5"/>
  <c r="M663" i="5"/>
  <c r="L663" i="5"/>
  <c r="J663" i="5"/>
  <c r="K662" i="5"/>
  <c r="O662" i="5" s="1"/>
  <c r="J662" i="5"/>
  <c r="D662" i="5"/>
  <c r="B662" i="5"/>
  <c r="K661" i="5"/>
  <c r="D661" i="5"/>
  <c r="B661" i="5"/>
  <c r="J660" i="5"/>
  <c r="P659" i="5"/>
  <c r="O659" i="5"/>
  <c r="N659" i="5"/>
  <c r="M659" i="5"/>
  <c r="L659" i="5"/>
  <c r="J659" i="5"/>
  <c r="K658" i="5"/>
  <c r="D658" i="5"/>
  <c r="B658" i="5"/>
  <c r="J657" i="5"/>
  <c r="P656" i="5"/>
  <c r="O656" i="5"/>
  <c r="N656" i="5"/>
  <c r="M656" i="5"/>
  <c r="L656" i="5"/>
  <c r="J656" i="5"/>
  <c r="K655" i="5"/>
  <c r="F655" i="5"/>
  <c r="J655" i="5" s="1"/>
  <c r="D655" i="5"/>
  <c r="B655" i="5"/>
  <c r="K654" i="5"/>
  <c r="F654" i="5"/>
  <c r="J654" i="5" s="1"/>
  <c r="D654" i="5"/>
  <c r="B654" i="5"/>
  <c r="K653" i="5"/>
  <c r="P653" i="5" s="1"/>
  <c r="D653" i="5"/>
  <c r="B653" i="5"/>
  <c r="J652" i="5"/>
  <c r="P651" i="5"/>
  <c r="O651" i="5"/>
  <c r="N651" i="5"/>
  <c r="M651" i="5"/>
  <c r="L651" i="5"/>
  <c r="J651" i="5"/>
  <c r="P650" i="5"/>
  <c r="O650" i="5"/>
  <c r="N650" i="5"/>
  <c r="M650" i="5"/>
  <c r="L650" i="5"/>
  <c r="J650" i="5"/>
  <c r="K649" i="5"/>
  <c r="D649" i="5"/>
  <c r="B649" i="5"/>
  <c r="D648" i="5"/>
  <c r="B648" i="5"/>
  <c r="J647" i="5"/>
  <c r="J646" i="5"/>
  <c r="D646" i="5"/>
  <c r="B646" i="5"/>
  <c r="K645" i="5"/>
  <c r="P645" i="5" s="1"/>
  <c r="J645" i="5"/>
  <c r="D645" i="5"/>
  <c r="B645" i="5"/>
  <c r="J644" i="5"/>
  <c r="P643" i="5"/>
  <c r="O643" i="5"/>
  <c r="N643" i="5"/>
  <c r="M643" i="5"/>
  <c r="L643" i="5"/>
  <c r="J643" i="5"/>
  <c r="P642" i="5"/>
  <c r="O642" i="5"/>
  <c r="N642" i="5"/>
  <c r="M642" i="5"/>
  <c r="L642" i="5"/>
  <c r="J642" i="5"/>
  <c r="K641" i="5"/>
  <c r="D641" i="5"/>
  <c r="B641" i="5"/>
  <c r="K640" i="5"/>
  <c r="D640" i="5"/>
  <c r="B640" i="5"/>
  <c r="J639" i="5"/>
  <c r="J638" i="5"/>
  <c r="D638" i="5"/>
  <c r="B638" i="5"/>
  <c r="J637" i="5"/>
  <c r="D637" i="5"/>
  <c r="B637" i="5"/>
  <c r="K636" i="5"/>
  <c r="P636" i="5" s="1"/>
  <c r="J636" i="5"/>
  <c r="D636" i="5"/>
  <c r="B636" i="5"/>
  <c r="J635" i="5"/>
  <c r="K634" i="5"/>
  <c r="M634" i="5" s="1"/>
  <c r="M633" i="5" s="1"/>
  <c r="M2019" i="5" s="1"/>
  <c r="E2019" i="5" s="1"/>
  <c r="J634" i="5"/>
  <c r="D634" i="5"/>
  <c r="B634" i="5"/>
  <c r="J633" i="5"/>
  <c r="P632" i="5"/>
  <c r="O632" i="5"/>
  <c r="N632" i="5"/>
  <c r="M632" i="5"/>
  <c r="L632" i="5"/>
  <c r="J632" i="5"/>
  <c r="K631" i="5"/>
  <c r="D631" i="5"/>
  <c r="B631" i="5"/>
  <c r="J630" i="5"/>
  <c r="J629" i="5"/>
  <c r="D629" i="5"/>
  <c r="B629" i="5"/>
  <c r="K628" i="5"/>
  <c r="O628" i="5" s="1"/>
  <c r="J628" i="5"/>
  <c r="D628" i="5"/>
  <c r="B628" i="5"/>
  <c r="J627" i="5"/>
  <c r="P626" i="5"/>
  <c r="O626" i="5"/>
  <c r="N626" i="5"/>
  <c r="M626" i="5"/>
  <c r="L626" i="5"/>
  <c r="J626" i="5"/>
  <c r="K625" i="5"/>
  <c r="E625" i="5"/>
  <c r="D625" i="5"/>
  <c r="B625" i="5"/>
  <c r="P623" i="5"/>
  <c r="O623" i="5"/>
  <c r="N623" i="5"/>
  <c r="M623" i="5"/>
  <c r="L623" i="5"/>
  <c r="J623" i="5"/>
  <c r="P622" i="5"/>
  <c r="O622" i="5"/>
  <c r="N622" i="5"/>
  <c r="M622" i="5"/>
  <c r="L622" i="5"/>
  <c r="J622" i="5"/>
  <c r="K621" i="5"/>
  <c r="P621" i="5" s="1"/>
  <c r="P620" i="5" s="1"/>
  <c r="P2011" i="5" s="1"/>
  <c r="H2011" i="5" s="1"/>
  <c r="D621" i="5"/>
  <c r="B621" i="5"/>
  <c r="J620" i="5"/>
  <c r="P619" i="5"/>
  <c r="O619" i="5"/>
  <c r="N619" i="5"/>
  <c r="M619" i="5"/>
  <c r="L619" i="5"/>
  <c r="J619" i="5"/>
  <c r="K618" i="5"/>
  <c r="D618" i="5"/>
  <c r="B618" i="5"/>
  <c r="J617" i="5"/>
  <c r="E616" i="5"/>
  <c r="J616" i="5" s="1"/>
  <c r="D616" i="5"/>
  <c r="B616" i="5"/>
  <c r="E615" i="5"/>
  <c r="J615" i="5" s="1"/>
  <c r="D615" i="5"/>
  <c r="B615" i="5"/>
  <c r="E614" i="5"/>
  <c r="J614" i="5" s="1"/>
  <c r="D614" i="5"/>
  <c r="B614" i="5"/>
  <c r="J613" i="5"/>
  <c r="E612" i="5"/>
  <c r="J612" i="5" s="1"/>
  <c r="D612" i="5"/>
  <c r="B612" i="5"/>
  <c r="E611" i="5"/>
  <c r="J611" i="5" s="1"/>
  <c r="D611" i="5"/>
  <c r="B611" i="5"/>
  <c r="J610" i="5"/>
  <c r="P609" i="5"/>
  <c r="O609" i="5"/>
  <c r="N609" i="5"/>
  <c r="M609" i="5"/>
  <c r="L609" i="5"/>
  <c r="J609" i="5"/>
  <c r="K608" i="5"/>
  <c r="D608" i="5"/>
  <c r="B608" i="5"/>
  <c r="J607" i="5"/>
  <c r="E606" i="5"/>
  <c r="J606" i="5" s="1"/>
  <c r="D606" i="5"/>
  <c r="B606" i="5"/>
  <c r="K605" i="5"/>
  <c r="O605" i="5" s="1"/>
  <c r="J605" i="5"/>
  <c r="D605" i="5"/>
  <c r="B605" i="5"/>
  <c r="J604" i="5"/>
  <c r="P603" i="5"/>
  <c r="O603" i="5"/>
  <c r="N603" i="5"/>
  <c r="M603" i="5"/>
  <c r="L603" i="5"/>
  <c r="J603" i="5"/>
  <c r="P602" i="5"/>
  <c r="O602" i="5"/>
  <c r="N602" i="5"/>
  <c r="M602" i="5"/>
  <c r="L602" i="5"/>
  <c r="J602" i="5"/>
  <c r="I601" i="5"/>
  <c r="H601" i="5"/>
  <c r="D601" i="5"/>
  <c r="B601" i="5"/>
  <c r="J600" i="5"/>
  <c r="P599" i="5"/>
  <c r="O599" i="5"/>
  <c r="N599" i="5"/>
  <c r="M599" i="5"/>
  <c r="L599" i="5"/>
  <c r="J599" i="5"/>
  <c r="P597" i="5"/>
  <c r="P1999" i="5" s="1"/>
  <c r="H1999" i="5" s="1"/>
  <c r="O597" i="5"/>
  <c r="O1999" i="5" s="1"/>
  <c r="G1999" i="5" s="1"/>
  <c r="N597" i="5"/>
  <c r="N1999" i="5" s="1"/>
  <c r="F1999" i="5" s="1"/>
  <c r="M597" i="5"/>
  <c r="M1999" i="5" s="1"/>
  <c r="E1999" i="5" s="1"/>
  <c r="D598" i="5"/>
  <c r="B598" i="5"/>
  <c r="J597" i="5"/>
  <c r="I596" i="5"/>
  <c r="H596" i="5"/>
  <c r="D596" i="5"/>
  <c r="B596" i="5"/>
  <c r="I595" i="5"/>
  <c r="H595" i="5"/>
  <c r="D595" i="5"/>
  <c r="B595" i="5"/>
  <c r="J594" i="5"/>
  <c r="P593" i="5"/>
  <c r="O593" i="5"/>
  <c r="N593" i="5"/>
  <c r="M593" i="5"/>
  <c r="L593" i="5"/>
  <c r="J593" i="5"/>
  <c r="P592" i="5"/>
  <c r="O592" i="5"/>
  <c r="N592" i="5"/>
  <c r="M592" i="5"/>
  <c r="L592" i="5"/>
  <c r="J592" i="5"/>
  <c r="J591" i="5"/>
  <c r="D591" i="5"/>
  <c r="B591" i="5"/>
  <c r="J590" i="5"/>
  <c r="P589" i="5"/>
  <c r="O589" i="5"/>
  <c r="N589" i="5"/>
  <c r="M589" i="5"/>
  <c r="L589" i="5"/>
  <c r="J589" i="5"/>
  <c r="P588" i="5"/>
  <c r="O588" i="5"/>
  <c r="N588" i="5"/>
  <c r="M588" i="5"/>
  <c r="L588" i="5"/>
  <c r="J588" i="5"/>
  <c r="J587" i="5"/>
  <c r="D587" i="5"/>
  <c r="B587" i="5"/>
  <c r="K586" i="5"/>
  <c r="O586" i="5" s="1"/>
  <c r="J586" i="5"/>
  <c r="D586" i="5"/>
  <c r="B586" i="5"/>
  <c r="K585" i="5"/>
  <c r="O585" i="5" s="1"/>
  <c r="J585" i="5"/>
  <c r="D585" i="5"/>
  <c r="B585" i="5"/>
  <c r="K584" i="5"/>
  <c r="G584" i="5"/>
  <c r="J584" i="5" s="1"/>
  <c r="D584" i="5"/>
  <c r="B584" i="5"/>
  <c r="J583" i="5"/>
  <c r="J582" i="5"/>
  <c r="D582" i="5"/>
  <c r="B582" i="5"/>
  <c r="K581" i="5"/>
  <c r="L581" i="5" s="1"/>
  <c r="J581" i="5"/>
  <c r="D581" i="5"/>
  <c r="B581" i="5"/>
  <c r="J580" i="5"/>
  <c r="D580" i="5"/>
  <c r="B580" i="5"/>
  <c r="J579" i="5"/>
  <c r="P578" i="5"/>
  <c r="O578" i="5"/>
  <c r="N578" i="5"/>
  <c r="M578" i="5"/>
  <c r="L578" i="5"/>
  <c r="J578" i="5"/>
  <c r="J577" i="5"/>
  <c r="D577" i="5"/>
  <c r="B577" i="5"/>
  <c r="K576" i="5"/>
  <c r="J576" i="5"/>
  <c r="D576" i="5"/>
  <c r="B576" i="5"/>
  <c r="J575" i="5"/>
  <c r="D575" i="5"/>
  <c r="B575" i="5"/>
  <c r="J574" i="5"/>
  <c r="P573" i="5"/>
  <c r="O573" i="5"/>
  <c r="N573" i="5"/>
  <c r="M573" i="5"/>
  <c r="L573" i="5"/>
  <c r="J573" i="5"/>
  <c r="J572" i="5"/>
  <c r="D572" i="5"/>
  <c r="B572" i="5"/>
  <c r="K571" i="5"/>
  <c r="O571" i="5" s="1"/>
  <c r="J571" i="5"/>
  <c r="D571" i="5"/>
  <c r="B571" i="5"/>
  <c r="J570" i="5"/>
  <c r="D570" i="5"/>
  <c r="B570" i="5"/>
  <c r="J569" i="5"/>
  <c r="P568" i="5"/>
  <c r="O568" i="5"/>
  <c r="N568" i="5"/>
  <c r="M568" i="5"/>
  <c r="L568" i="5"/>
  <c r="J568" i="5"/>
  <c r="J567" i="5"/>
  <c r="D567" i="5"/>
  <c r="B567" i="5"/>
  <c r="K566" i="5"/>
  <c r="J566" i="5"/>
  <c r="D566" i="5"/>
  <c r="B566" i="5"/>
  <c r="J565" i="5"/>
  <c r="D565" i="5"/>
  <c r="B565" i="5"/>
  <c r="J564" i="5"/>
  <c r="P563" i="5"/>
  <c r="O563" i="5"/>
  <c r="N563" i="5"/>
  <c r="M563" i="5"/>
  <c r="L563" i="5"/>
  <c r="J563" i="5"/>
  <c r="J562" i="5"/>
  <c r="D562" i="5"/>
  <c r="B562" i="5"/>
  <c r="K561" i="5"/>
  <c r="O561" i="5" s="1"/>
  <c r="J561" i="5"/>
  <c r="D561" i="5"/>
  <c r="B561" i="5"/>
  <c r="J560" i="5"/>
  <c r="D560" i="5"/>
  <c r="B560" i="5"/>
  <c r="J559" i="5"/>
  <c r="P558" i="5"/>
  <c r="O558" i="5"/>
  <c r="N558" i="5"/>
  <c r="M558" i="5"/>
  <c r="L558" i="5"/>
  <c r="J558" i="5"/>
  <c r="P557" i="5"/>
  <c r="O557" i="5"/>
  <c r="N557" i="5"/>
  <c r="M557" i="5"/>
  <c r="L557" i="5"/>
  <c r="J557" i="5"/>
  <c r="P556" i="5"/>
  <c r="O556" i="5"/>
  <c r="N556" i="5"/>
  <c r="M556" i="5"/>
  <c r="L556" i="5"/>
  <c r="J556" i="5"/>
  <c r="K555" i="5"/>
  <c r="I555" i="5"/>
  <c r="H555" i="5"/>
  <c r="G555" i="5"/>
  <c r="F555" i="5"/>
  <c r="E555" i="5"/>
  <c r="D555" i="5"/>
  <c r="B555" i="5"/>
  <c r="K554" i="5"/>
  <c r="O554" i="5" s="1"/>
  <c r="J554" i="5"/>
  <c r="D554" i="5"/>
  <c r="B554" i="5"/>
  <c r="J553" i="5"/>
  <c r="P552" i="5"/>
  <c r="O552" i="5"/>
  <c r="N552" i="5"/>
  <c r="M552" i="5"/>
  <c r="L552" i="5"/>
  <c r="J552" i="5"/>
  <c r="K551" i="5"/>
  <c r="O551" i="5" s="1"/>
  <c r="J551" i="5"/>
  <c r="D551" i="5"/>
  <c r="B551" i="5"/>
  <c r="K550" i="5"/>
  <c r="P550" i="5" s="1"/>
  <c r="J550" i="5"/>
  <c r="D550" i="5"/>
  <c r="B550" i="5"/>
  <c r="K549" i="5"/>
  <c r="F549" i="5"/>
  <c r="G549" i="5" s="1"/>
  <c r="H549" i="5" s="1"/>
  <c r="I549" i="5" s="1"/>
  <c r="D549" i="5"/>
  <c r="B549" i="5"/>
  <c r="J548" i="5"/>
  <c r="E547" i="5"/>
  <c r="J547" i="5" s="1"/>
  <c r="D547" i="5"/>
  <c r="B547" i="5"/>
  <c r="E546" i="5"/>
  <c r="J546" i="5" s="1"/>
  <c r="D546" i="5"/>
  <c r="B546" i="5"/>
  <c r="K545" i="5"/>
  <c r="O545" i="5" s="1"/>
  <c r="J545" i="5"/>
  <c r="D545" i="5"/>
  <c r="B545" i="5"/>
  <c r="J544" i="5"/>
  <c r="P543" i="5"/>
  <c r="O543" i="5"/>
  <c r="N543" i="5"/>
  <c r="M543" i="5"/>
  <c r="L543" i="5"/>
  <c r="J543" i="5"/>
  <c r="P542" i="5"/>
  <c r="O542" i="5"/>
  <c r="N542" i="5"/>
  <c r="M542" i="5"/>
  <c r="L542" i="5"/>
  <c r="J542" i="5"/>
  <c r="K541" i="5"/>
  <c r="I541" i="5"/>
  <c r="H541" i="5"/>
  <c r="G541" i="5"/>
  <c r="F541" i="5"/>
  <c r="E541" i="5"/>
  <c r="D541" i="5"/>
  <c r="B541" i="5"/>
  <c r="J540" i="5"/>
  <c r="E539" i="5"/>
  <c r="F539" i="5" s="1"/>
  <c r="J539" i="5" s="1"/>
  <c r="D539" i="5"/>
  <c r="B539" i="5"/>
  <c r="J538" i="5"/>
  <c r="P537" i="5"/>
  <c r="O537" i="5"/>
  <c r="N537" i="5"/>
  <c r="M537" i="5"/>
  <c r="L537" i="5"/>
  <c r="J537" i="5"/>
  <c r="P536" i="5"/>
  <c r="O536" i="5"/>
  <c r="N536" i="5"/>
  <c r="M536" i="5"/>
  <c r="L536" i="5"/>
  <c r="J536" i="5"/>
  <c r="K535" i="5"/>
  <c r="J535" i="5"/>
  <c r="D535" i="5"/>
  <c r="B535" i="5"/>
  <c r="K534" i="5"/>
  <c r="O534" i="5" s="1"/>
  <c r="J534" i="5"/>
  <c r="D534" i="5"/>
  <c r="B534" i="5"/>
  <c r="J533" i="5"/>
  <c r="J532" i="5"/>
  <c r="D532" i="5"/>
  <c r="B532" i="5"/>
  <c r="K531" i="5"/>
  <c r="P531" i="5" s="1"/>
  <c r="J531" i="5"/>
  <c r="D531" i="5"/>
  <c r="B531" i="5"/>
  <c r="J530" i="5"/>
  <c r="P529" i="5"/>
  <c r="O529" i="5"/>
  <c r="N529" i="5"/>
  <c r="M529" i="5"/>
  <c r="L529" i="5"/>
  <c r="J529" i="5"/>
  <c r="K528" i="5"/>
  <c r="P528" i="5" s="1"/>
  <c r="F528" i="5"/>
  <c r="G528" i="5" s="1"/>
  <c r="D528" i="5"/>
  <c r="B528" i="5"/>
  <c r="K527" i="5"/>
  <c r="P527" i="5" s="1"/>
  <c r="D527" i="5"/>
  <c r="B527" i="5"/>
  <c r="K526" i="5"/>
  <c r="P526" i="5" s="1"/>
  <c r="F526" i="5"/>
  <c r="F527" i="5" s="1"/>
  <c r="D526" i="5"/>
  <c r="B526" i="5"/>
  <c r="K525" i="5"/>
  <c r="P525" i="5" s="1"/>
  <c r="J525" i="5"/>
  <c r="D525" i="5"/>
  <c r="B525" i="5"/>
  <c r="J524" i="5"/>
  <c r="I523" i="5"/>
  <c r="H523" i="5"/>
  <c r="G523" i="5"/>
  <c r="F523" i="5"/>
  <c r="D523" i="5"/>
  <c r="B523" i="5"/>
  <c r="I522" i="5"/>
  <c r="H522" i="5"/>
  <c r="G522" i="5"/>
  <c r="F522" i="5"/>
  <c r="D522" i="5"/>
  <c r="B522" i="5"/>
  <c r="D521" i="5"/>
  <c r="B521" i="5"/>
  <c r="J520" i="5"/>
  <c r="P519" i="5"/>
  <c r="O519" i="5"/>
  <c r="N519" i="5"/>
  <c r="M519" i="5"/>
  <c r="L519" i="5"/>
  <c r="J519" i="5"/>
  <c r="J518" i="5"/>
  <c r="D518" i="5"/>
  <c r="B518" i="5"/>
  <c r="K517" i="5"/>
  <c r="O517" i="5" s="1"/>
  <c r="J517" i="5"/>
  <c r="D517" i="5"/>
  <c r="B517" i="5"/>
  <c r="J516" i="5"/>
  <c r="P515" i="5"/>
  <c r="O515" i="5"/>
  <c r="N515" i="5"/>
  <c r="M515" i="5"/>
  <c r="L515" i="5"/>
  <c r="J515" i="5"/>
  <c r="P514" i="5"/>
  <c r="O514" i="5"/>
  <c r="N514" i="5"/>
  <c r="M514" i="5"/>
  <c r="L514" i="5"/>
  <c r="J514" i="5"/>
  <c r="E513" i="5"/>
  <c r="F513" i="5" s="1"/>
  <c r="D513" i="5"/>
  <c r="B513" i="5"/>
  <c r="J512" i="5"/>
  <c r="P511" i="5"/>
  <c r="O511" i="5"/>
  <c r="N511" i="5"/>
  <c r="M511" i="5"/>
  <c r="L511" i="5"/>
  <c r="J511" i="5"/>
  <c r="P510" i="5"/>
  <c r="O510" i="5"/>
  <c r="N510" i="5"/>
  <c r="M510" i="5"/>
  <c r="L510" i="5"/>
  <c r="J510" i="5"/>
  <c r="K506" i="5"/>
  <c r="E506" i="5"/>
  <c r="G506" i="5" s="1"/>
  <c r="I506" i="5" s="1"/>
  <c r="D506" i="5"/>
  <c r="B506" i="5"/>
  <c r="J505" i="5"/>
  <c r="D505" i="5"/>
  <c r="B505" i="5"/>
  <c r="J504" i="5"/>
  <c r="P503" i="5"/>
  <c r="O503" i="5"/>
  <c r="N503" i="5"/>
  <c r="M503" i="5"/>
  <c r="L503" i="5"/>
  <c r="J503" i="5"/>
  <c r="J502" i="5"/>
  <c r="D502" i="5"/>
  <c r="B502" i="5"/>
  <c r="F501" i="5"/>
  <c r="J501" i="5" s="1"/>
  <c r="D501" i="5"/>
  <c r="B501" i="5"/>
  <c r="J500" i="5"/>
  <c r="J499" i="5"/>
  <c r="D499" i="5"/>
  <c r="B499" i="5"/>
  <c r="E498" i="5"/>
  <c r="J498" i="5" s="1"/>
  <c r="D498" i="5"/>
  <c r="B498" i="5"/>
  <c r="J497" i="5"/>
  <c r="J496" i="5"/>
  <c r="D496" i="5"/>
  <c r="B496" i="5"/>
  <c r="E495" i="5"/>
  <c r="J495" i="5" s="1"/>
  <c r="D495" i="5"/>
  <c r="B495" i="5"/>
  <c r="J494" i="5"/>
  <c r="P493" i="5"/>
  <c r="O493" i="5"/>
  <c r="N493" i="5"/>
  <c r="M493" i="5"/>
  <c r="L493" i="5"/>
  <c r="J493" i="5"/>
  <c r="P492" i="5"/>
  <c r="O492" i="5"/>
  <c r="N492" i="5"/>
  <c r="M492" i="5"/>
  <c r="L492" i="5"/>
  <c r="J492" i="5"/>
  <c r="G491" i="5"/>
  <c r="F491" i="5"/>
  <c r="D491" i="5"/>
  <c r="B491" i="5"/>
  <c r="J490" i="5"/>
  <c r="F489" i="5"/>
  <c r="D489" i="5"/>
  <c r="B489" i="5"/>
  <c r="J488" i="5"/>
  <c r="P487" i="5"/>
  <c r="O487" i="5"/>
  <c r="N487" i="5"/>
  <c r="M487" i="5"/>
  <c r="L487" i="5"/>
  <c r="J487" i="5"/>
  <c r="J486" i="5"/>
  <c r="D486" i="5"/>
  <c r="B486" i="5"/>
  <c r="J485" i="5"/>
  <c r="D485" i="5"/>
  <c r="B485" i="5"/>
  <c r="K484" i="5"/>
  <c r="P484" i="5" s="1"/>
  <c r="J484" i="5"/>
  <c r="D484" i="5"/>
  <c r="B484" i="5"/>
  <c r="J483" i="5"/>
  <c r="P482" i="5"/>
  <c r="O482" i="5"/>
  <c r="N482" i="5"/>
  <c r="M482" i="5"/>
  <c r="L482" i="5"/>
  <c r="J482" i="5"/>
  <c r="J481" i="5"/>
  <c r="D481" i="5"/>
  <c r="B481" i="5"/>
  <c r="J480" i="5"/>
  <c r="D480" i="5"/>
  <c r="B480" i="5"/>
  <c r="K479" i="5"/>
  <c r="O479" i="5" s="1"/>
  <c r="J479" i="5"/>
  <c r="D479" i="5"/>
  <c r="B479" i="5"/>
  <c r="J478" i="5"/>
  <c r="P477" i="5"/>
  <c r="O477" i="5"/>
  <c r="N477" i="5"/>
  <c r="M477" i="5"/>
  <c r="L477" i="5"/>
  <c r="J477" i="5"/>
  <c r="P476" i="5"/>
  <c r="O476" i="5"/>
  <c r="N476" i="5"/>
  <c r="M476" i="5"/>
  <c r="L476" i="5"/>
  <c r="J476" i="5"/>
  <c r="H475" i="5"/>
  <c r="I475" i="5" s="1"/>
  <c r="D475" i="5"/>
  <c r="B475" i="5"/>
  <c r="J474" i="5"/>
  <c r="P473" i="5"/>
  <c r="O473" i="5"/>
  <c r="N473" i="5"/>
  <c r="M473" i="5"/>
  <c r="L473" i="5"/>
  <c r="J473" i="5"/>
  <c r="K472" i="5"/>
  <c r="D472" i="5"/>
  <c r="B472" i="5"/>
  <c r="J471" i="5"/>
  <c r="F470" i="5"/>
  <c r="J470" i="5" s="1"/>
  <c r="D470" i="5"/>
  <c r="B470" i="5"/>
  <c r="J469" i="5"/>
  <c r="P468" i="5"/>
  <c r="O468" i="5"/>
  <c r="N468" i="5"/>
  <c r="M468" i="5"/>
  <c r="L468" i="5"/>
  <c r="J468" i="5"/>
  <c r="J467" i="5"/>
  <c r="D467" i="5"/>
  <c r="B467" i="5"/>
  <c r="K466" i="5"/>
  <c r="F466" i="5"/>
  <c r="J466" i="5" s="1"/>
  <c r="D466" i="5"/>
  <c r="B466" i="5"/>
  <c r="J465" i="5"/>
  <c r="P464" i="5"/>
  <c r="O464" i="5"/>
  <c r="N464" i="5"/>
  <c r="M464" i="5"/>
  <c r="L464" i="5"/>
  <c r="J464" i="5"/>
  <c r="P463" i="5"/>
  <c r="O463" i="5"/>
  <c r="N463" i="5"/>
  <c r="M463" i="5"/>
  <c r="L463" i="5"/>
  <c r="J463" i="5"/>
  <c r="K462" i="5"/>
  <c r="M462" i="5" s="1"/>
  <c r="M461" i="5" s="1"/>
  <c r="M1932" i="5" s="1"/>
  <c r="E1932" i="5" s="1"/>
  <c r="G462" i="5"/>
  <c r="H462" i="5" s="1"/>
  <c r="I462" i="5" s="1"/>
  <c r="D462" i="5"/>
  <c r="B462" i="5"/>
  <c r="J461" i="5"/>
  <c r="K460" i="5"/>
  <c r="M460" i="5" s="1"/>
  <c r="M459" i="5" s="1"/>
  <c r="M1931" i="5" s="1"/>
  <c r="E1931" i="5" s="1"/>
  <c r="D460" i="5"/>
  <c r="B460" i="5"/>
  <c r="J459" i="5"/>
  <c r="K458" i="5"/>
  <c r="M458" i="5" s="1"/>
  <c r="M457" i="5" s="1"/>
  <c r="M1930" i="5" s="1"/>
  <c r="G458" i="5"/>
  <c r="H458" i="5" s="1"/>
  <c r="I458" i="5" s="1"/>
  <c r="D458" i="5"/>
  <c r="B458" i="5"/>
  <c r="J457" i="5"/>
  <c r="P456" i="5"/>
  <c r="O456" i="5"/>
  <c r="N456" i="5"/>
  <c r="M456" i="5"/>
  <c r="L456" i="5"/>
  <c r="J456" i="5"/>
  <c r="H455" i="5"/>
  <c r="D455" i="5"/>
  <c r="B455" i="5"/>
  <c r="H454" i="5"/>
  <c r="J454" i="5" s="1"/>
  <c r="D454" i="5"/>
  <c r="B454" i="5"/>
  <c r="J453" i="5"/>
  <c r="G452" i="5"/>
  <c r="J452" i="5" s="1"/>
  <c r="D452" i="5"/>
  <c r="B452" i="5"/>
  <c r="G451" i="5"/>
  <c r="J451" i="5" s="1"/>
  <c r="D451" i="5"/>
  <c r="B451" i="5"/>
  <c r="K450" i="5"/>
  <c r="G450" i="5"/>
  <c r="J450" i="5" s="1"/>
  <c r="D450" i="5"/>
  <c r="B450" i="5"/>
  <c r="J449" i="5"/>
  <c r="P448" i="5"/>
  <c r="O448" i="5"/>
  <c r="N448" i="5"/>
  <c r="M448" i="5"/>
  <c r="L448" i="5"/>
  <c r="J448" i="5"/>
  <c r="F447" i="5"/>
  <c r="G447" i="5" s="1"/>
  <c r="H447" i="5" s="1"/>
  <c r="D447" i="5"/>
  <c r="B447" i="5"/>
  <c r="F446" i="5"/>
  <c r="D446" i="5"/>
  <c r="B446" i="5"/>
  <c r="J445" i="5"/>
  <c r="E444" i="5"/>
  <c r="F444" i="5" s="1"/>
  <c r="D444" i="5"/>
  <c r="B444" i="5"/>
  <c r="E443" i="5"/>
  <c r="D443" i="5"/>
  <c r="B443" i="5"/>
  <c r="K442" i="5"/>
  <c r="O442" i="5" s="1"/>
  <c r="E442" i="5"/>
  <c r="F442" i="5" s="1"/>
  <c r="D442" i="5"/>
  <c r="B442" i="5"/>
  <c r="J441" i="5"/>
  <c r="P440" i="5"/>
  <c r="O440" i="5"/>
  <c r="N440" i="5"/>
  <c r="M440" i="5"/>
  <c r="L440" i="5"/>
  <c r="J440" i="5"/>
  <c r="J439" i="5"/>
  <c r="D439" i="5"/>
  <c r="B439" i="5"/>
  <c r="J438" i="5"/>
  <c r="D438" i="5"/>
  <c r="B438" i="5"/>
  <c r="J437" i="5"/>
  <c r="J436" i="5"/>
  <c r="D436" i="5"/>
  <c r="B436" i="5"/>
  <c r="J435" i="5"/>
  <c r="D435" i="5"/>
  <c r="B435" i="5"/>
  <c r="J434" i="5"/>
  <c r="J433" i="5"/>
  <c r="D433" i="5"/>
  <c r="B433" i="5"/>
  <c r="J432" i="5"/>
  <c r="D432" i="5"/>
  <c r="B432" i="5"/>
  <c r="J431" i="5"/>
  <c r="J430" i="5"/>
  <c r="D430" i="5"/>
  <c r="B430" i="5"/>
  <c r="J429" i="5"/>
  <c r="D429" i="5"/>
  <c r="B429" i="5"/>
  <c r="K428" i="5"/>
  <c r="J428" i="5"/>
  <c r="D428" i="5"/>
  <c r="B428" i="5"/>
  <c r="J427" i="5"/>
  <c r="J426" i="5"/>
  <c r="D426" i="5"/>
  <c r="B426" i="5"/>
  <c r="J425" i="5"/>
  <c r="D425" i="5"/>
  <c r="B425" i="5"/>
  <c r="K424" i="5"/>
  <c r="J424" i="5"/>
  <c r="D424" i="5"/>
  <c r="B424" i="5"/>
  <c r="J423" i="5"/>
  <c r="J422" i="5"/>
  <c r="D422" i="5"/>
  <c r="B422" i="5"/>
  <c r="J421" i="5"/>
  <c r="D421" i="5"/>
  <c r="B421" i="5"/>
  <c r="K420" i="5"/>
  <c r="J420" i="5"/>
  <c r="D420" i="5"/>
  <c r="B420" i="5"/>
  <c r="J419" i="5"/>
  <c r="P418" i="5"/>
  <c r="O418" i="5"/>
  <c r="N418" i="5"/>
  <c r="M418" i="5"/>
  <c r="L418" i="5"/>
  <c r="J418" i="5"/>
  <c r="P417" i="5"/>
  <c r="O417" i="5"/>
  <c r="N417" i="5"/>
  <c r="M417" i="5"/>
  <c r="L417" i="5"/>
  <c r="J417" i="5"/>
  <c r="K416" i="5"/>
  <c r="P416" i="5" s="1"/>
  <c r="J416" i="5"/>
  <c r="D416" i="5"/>
  <c r="B416" i="5"/>
  <c r="J415" i="5"/>
  <c r="D415" i="5"/>
  <c r="B415" i="5"/>
  <c r="K414" i="5"/>
  <c r="M414" i="5" s="1"/>
  <c r="H414" i="5"/>
  <c r="I414" i="5" s="1"/>
  <c r="D414" i="5"/>
  <c r="B414" i="5"/>
  <c r="J413" i="5"/>
  <c r="P412" i="5"/>
  <c r="O412" i="5"/>
  <c r="N412" i="5"/>
  <c r="M412" i="5"/>
  <c r="L412" i="5"/>
  <c r="J412" i="5"/>
  <c r="E411" i="5"/>
  <c r="J411" i="5" s="1"/>
  <c r="D411" i="5"/>
  <c r="B411" i="5"/>
  <c r="K410" i="5"/>
  <c r="O410" i="5" s="1"/>
  <c r="E410" i="5"/>
  <c r="F410" i="5" s="1"/>
  <c r="D410" i="5"/>
  <c r="B410" i="5"/>
  <c r="J409" i="5"/>
  <c r="P408" i="5"/>
  <c r="O408" i="5"/>
  <c r="N408" i="5"/>
  <c r="M408" i="5"/>
  <c r="L408" i="5"/>
  <c r="J408" i="5"/>
  <c r="P407" i="5"/>
  <c r="O407" i="5"/>
  <c r="N407" i="5"/>
  <c r="M407" i="5"/>
  <c r="L407" i="5"/>
  <c r="J407" i="5"/>
  <c r="F406" i="5"/>
  <c r="G406" i="5" s="1"/>
  <c r="H406" i="5" s="1"/>
  <c r="I406" i="5" s="1"/>
  <c r="D406" i="5"/>
  <c r="B406" i="5"/>
  <c r="J405" i="5"/>
  <c r="P404" i="5"/>
  <c r="O404" i="5"/>
  <c r="N404" i="5"/>
  <c r="M404" i="5"/>
  <c r="L404" i="5"/>
  <c r="J404" i="5"/>
  <c r="K403" i="5"/>
  <c r="J403" i="5"/>
  <c r="D403" i="5"/>
  <c r="B403" i="5"/>
  <c r="J402" i="5"/>
  <c r="J401" i="5"/>
  <c r="D401" i="5"/>
  <c r="B401" i="5"/>
  <c r="K400" i="5"/>
  <c r="L400" i="5" s="1"/>
  <c r="J400" i="5"/>
  <c r="D400" i="5"/>
  <c r="B400" i="5"/>
  <c r="J399" i="5"/>
  <c r="J398" i="5"/>
  <c r="D398" i="5"/>
  <c r="B398" i="5"/>
  <c r="J397" i="5"/>
  <c r="P396" i="5"/>
  <c r="O396" i="5"/>
  <c r="N396" i="5"/>
  <c r="M396" i="5"/>
  <c r="L396" i="5"/>
  <c r="J396" i="5"/>
  <c r="J395" i="5"/>
  <c r="D395" i="5"/>
  <c r="C395" i="5"/>
  <c r="B395" i="5"/>
  <c r="F394" i="5"/>
  <c r="J394" i="5" s="1"/>
  <c r="D394" i="5"/>
  <c r="B394" i="5"/>
  <c r="F393" i="5"/>
  <c r="J393" i="5" s="1"/>
  <c r="D393" i="5"/>
  <c r="B393" i="5"/>
  <c r="K392" i="5"/>
  <c r="O392" i="5" s="1"/>
  <c r="J392" i="5"/>
  <c r="D392" i="5"/>
  <c r="B392" i="5"/>
  <c r="J391" i="5"/>
  <c r="P390" i="5"/>
  <c r="O390" i="5"/>
  <c r="N390" i="5"/>
  <c r="M390" i="5"/>
  <c r="L390" i="5"/>
  <c r="J390" i="5"/>
  <c r="J389" i="5"/>
  <c r="D389" i="5"/>
  <c r="B389" i="5"/>
  <c r="J388" i="5"/>
  <c r="D388" i="5"/>
  <c r="B388" i="5"/>
  <c r="J387" i="5"/>
  <c r="D387" i="5"/>
  <c r="B387" i="5"/>
  <c r="K386" i="5"/>
  <c r="M386" i="5" s="1"/>
  <c r="J386" i="5"/>
  <c r="D386" i="5"/>
  <c r="B386" i="5"/>
  <c r="J385" i="5"/>
  <c r="P384" i="5"/>
  <c r="O384" i="5"/>
  <c r="N384" i="5"/>
  <c r="M384" i="5"/>
  <c r="L384" i="5"/>
  <c r="J384" i="5"/>
  <c r="P383" i="5"/>
  <c r="O383" i="5"/>
  <c r="N383" i="5"/>
  <c r="M383" i="5"/>
  <c r="L383" i="5"/>
  <c r="J383" i="5"/>
  <c r="J382" i="5"/>
  <c r="D382" i="5"/>
  <c r="B382" i="5"/>
  <c r="K381" i="5"/>
  <c r="O381" i="5" s="1"/>
  <c r="J381" i="5"/>
  <c r="D381" i="5"/>
  <c r="B381" i="5"/>
  <c r="J380" i="5"/>
  <c r="D380" i="5"/>
  <c r="B380" i="5"/>
  <c r="J379" i="5"/>
  <c r="K378" i="5"/>
  <c r="P378" i="5" s="1"/>
  <c r="P377" i="5" s="1"/>
  <c r="P1897" i="5" s="1"/>
  <c r="J378" i="5"/>
  <c r="D378" i="5"/>
  <c r="B378" i="5"/>
  <c r="J377" i="5"/>
  <c r="J376" i="5"/>
  <c r="D376" i="5"/>
  <c r="B376" i="5"/>
  <c r="K375" i="5"/>
  <c r="J375" i="5"/>
  <c r="D375" i="5"/>
  <c r="B375" i="5"/>
  <c r="J374" i="5"/>
  <c r="D374" i="5"/>
  <c r="B374" i="5"/>
  <c r="J373" i="5"/>
  <c r="P372" i="5"/>
  <c r="O372" i="5"/>
  <c r="N372" i="5"/>
  <c r="M372" i="5"/>
  <c r="L372" i="5"/>
  <c r="J372" i="5"/>
  <c r="J371" i="5"/>
  <c r="D371" i="5"/>
  <c r="B371" i="5"/>
  <c r="K370" i="5"/>
  <c r="J370" i="5"/>
  <c r="D370" i="5"/>
  <c r="B370" i="5"/>
  <c r="J369" i="5"/>
  <c r="P368" i="5"/>
  <c r="O368" i="5"/>
  <c r="N368" i="5"/>
  <c r="M368" i="5"/>
  <c r="L368" i="5"/>
  <c r="J368" i="5"/>
  <c r="K367" i="5"/>
  <c r="J367" i="5"/>
  <c r="D367" i="5"/>
  <c r="B367" i="5"/>
  <c r="J366" i="5"/>
  <c r="K365" i="5"/>
  <c r="N365" i="5" s="1"/>
  <c r="N364" i="5" s="1"/>
  <c r="N1891" i="5" s="1"/>
  <c r="J365" i="5"/>
  <c r="D365" i="5"/>
  <c r="B365" i="5"/>
  <c r="J364" i="5"/>
  <c r="G363" i="5"/>
  <c r="F363" i="5"/>
  <c r="E363" i="5"/>
  <c r="D363" i="5"/>
  <c r="B363" i="5"/>
  <c r="G362" i="5"/>
  <c r="F362" i="5"/>
  <c r="E362" i="5"/>
  <c r="D362" i="5"/>
  <c r="B362" i="5"/>
  <c r="J361" i="5"/>
  <c r="P360" i="5"/>
  <c r="O360" i="5"/>
  <c r="N360" i="5"/>
  <c r="M360" i="5"/>
  <c r="L360" i="5"/>
  <c r="J360" i="5"/>
  <c r="J359" i="5"/>
  <c r="D359" i="5"/>
  <c r="B359" i="5"/>
  <c r="J358" i="5"/>
  <c r="D358" i="5"/>
  <c r="B358" i="5"/>
  <c r="J357" i="5"/>
  <c r="K356" i="5"/>
  <c r="O356" i="5" s="1"/>
  <c r="J356" i="5"/>
  <c r="D356" i="5"/>
  <c r="B356" i="5"/>
  <c r="K355" i="5"/>
  <c r="O355" i="5" s="1"/>
  <c r="J355" i="5"/>
  <c r="D355" i="5"/>
  <c r="B355" i="5"/>
  <c r="K354" i="5"/>
  <c r="O354" i="5" s="1"/>
  <c r="J354" i="5"/>
  <c r="D354" i="5"/>
  <c r="B354" i="5"/>
  <c r="J353" i="5"/>
  <c r="J352" i="5"/>
  <c r="D352" i="5"/>
  <c r="B352" i="5"/>
  <c r="J351" i="5"/>
  <c r="D351" i="5"/>
  <c r="B351" i="5"/>
  <c r="J350" i="5"/>
  <c r="P349" i="5"/>
  <c r="O349" i="5"/>
  <c r="N349" i="5"/>
  <c r="M349" i="5"/>
  <c r="L349" i="5"/>
  <c r="J349" i="5"/>
  <c r="P348" i="5"/>
  <c r="O348" i="5"/>
  <c r="N348" i="5"/>
  <c r="M348" i="5"/>
  <c r="L348" i="5"/>
  <c r="J348" i="5"/>
  <c r="P347" i="5"/>
  <c r="O347" i="5"/>
  <c r="N347" i="5"/>
  <c r="M347" i="5"/>
  <c r="L347" i="5"/>
  <c r="J347" i="5"/>
  <c r="K346" i="5"/>
  <c r="E346" i="5"/>
  <c r="D346" i="5"/>
  <c r="B346" i="5"/>
  <c r="E345" i="5"/>
  <c r="D345" i="5"/>
  <c r="D342" i="5" s="1"/>
  <c r="B345" i="5"/>
  <c r="J344" i="5"/>
  <c r="P343" i="5"/>
  <c r="O343" i="5"/>
  <c r="N343" i="5"/>
  <c r="M343" i="5"/>
  <c r="L343" i="5"/>
  <c r="J343" i="5"/>
  <c r="K342" i="5"/>
  <c r="B342" i="5"/>
  <c r="J341" i="5"/>
  <c r="P340" i="5"/>
  <c r="O340" i="5"/>
  <c r="N340" i="5"/>
  <c r="M340" i="5"/>
  <c r="L340" i="5"/>
  <c r="J340" i="5"/>
  <c r="P339" i="5"/>
  <c r="O339" i="5"/>
  <c r="N339" i="5"/>
  <c r="M339" i="5"/>
  <c r="L339" i="5"/>
  <c r="J339" i="5"/>
  <c r="K338" i="5"/>
  <c r="L338" i="5" s="1"/>
  <c r="G338" i="5"/>
  <c r="D338" i="5"/>
  <c r="B338" i="5"/>
  <c r="J337" i="5"/>
  <c r="P336" i="5"/>
  <c r="O336" i="5"/>
  <c r="N336" i="5"/>
  <c r="M336" i="5"/>
  <c r="L336" i="5"/>
  <c r="L1876" i="5" s="1"/>
  <c r="L77" i="8" s="1"/>
  <c r="J336" i="5"/>
  <c r="K335" i="5"/>
  <c r="F335" i="5"/>
  <c r="G335" i="5" s="1"/>
  <c r="H335" i="5" s="1"/>
  <c r="I335" i="5" s="1"/>
  <c r="B335" i="5"/>
  <c r="J334" i="5"/>
  <c r="P333" i="5"/>
  <c r="O333" i="5"/>
  <c r="N333" i="5"/>
  <c r="M333" i="5"/>
  <c r="L333" i="5"/>
  <c r="J333" i="5"/>
  <c r="P332" i="5"/>
  <c r="O332" i="5"/>
  <c r="N332" i="5"/>
  <c r="M332" i="5"/>
  <c r="L332" i="5"/>
  <c r="J332" i="5"/>
  <c r="J301" i="5"/>
  <c r="D301" i="5"/>
  <c r="B301" i="5"/>
  <c r="K300" i="5"/>
  <c r="P300" i="5" s="1"/>
  <c r="J300" i="5"/>
  <c r="D300" i="5"/>
  <c r="B300" i="5"/>
  <c r="J299" i="5"/>
  <c r="P298" i="5"/>
  <c r="O298" i="5"/>
  <c r="N298" i="5"/>
  <c r="M298" i="5"/>
  <c r="L298" i="5"/>
  <c r="J298" i="5"/>
  <c r="P297" i="5"/>
  <c r="P1858" i="5" s="1"/>
  <c r="H1858" i="5" s="1"/>
  <c r="O297" i="5"/>
  <c r="O1858" i="5" s="1"/>
  <c r="G1858" i="5" s="1"/>
  <c r="N297" i="5"/>
  <c r="N1858" i="5" s="1"/>
  <c r="F1858" i="5" s="1"/>
  <c r="M297" i="5"/>
  <c r="M1858" i="5" s="1"/>
  <c r="E1858" i="5" s="1"/>
  <c r="L297" i="5"/>
  <c r="L1858" i="5" s="1"/>
  <c r="D1858" i="5" s="1"/>
  <c r="J297" i="5"/>
  <c r="E296" i="5"/>
  <c r="J296" i="5" s="1"/>
  <c r="D296" i="5"/>
  <c r="B296" i="5"/>
  <c r="K295" i="5"/>
  <c r="E295" i="5"/>
  <c r="J295" i="5" s="1"/>
  <c r="D295" i="5"/>
  <c r="B295" i="5"/>
  <c r="J294" i="5"/>
  <c r="P293" i="5"/>
  <c r="O293" i="5"/>
  <c r="N293" i="5"/>
  <c r="M293" i="5"/>
  <c r="L293" i="5"/>
  <c r="J293" i="5"/>
  <c r="E292" i="5"/>
  <c r="D292" i="5"/>
  <c r="B292" i="5"/>
  <c r="J291" i="5"/>
  <c r="P290" i="5"/>
  <c r="O290" i="5"/>
  <c r="N290" i="5"/>
  <c r="M290" i="5"/>
  <c r="L290" i="5"/>
  <c r="J290" i="5"/>
  <c r="I289" i="5"/>
  <c r="H289" i="5"/>
  <c r="G289" i="5"/>
  <c r="F289" i="5"/>
  <c r="E289" i="5"/>
  <c r="D289" i="5"/>
  <c r="B289" i="5"/>
  <c r="J288" i="5"/>
  <c r="E287" i="5"/>
  <c r="D287" i="5"/>
  <c r="B287" i="5"/>
  <c r="J286" i="5"/>
  <c r="K285" i="5"/>
  <c r="P285" i="5" s="1"/>
  <c r="P284" i="5" s="1"/>
  <c r="P1851" i="5" s="1"/>
  <c r="J285" i="5"/>
  <c r="D285" i="5"/>
  <c r="B285" i="5"/>
  <c r="J284" i="5"/>
  <c r="E283" i="5"/>
  <c r="J283" i="5" s="1"/>
  <c r="D283" i="5"/>
  <c r="B283" i="5"/>
  <c r="K282" i="5"/>
  <c r="P282" i="5" s="1"/>
  <c r="E282" i="5"/>
  <c r="J282" i="5" s="1"/>
  <c r="D282" i="5"/>
  <c r="B282" i="5"/>
  <c r="J281" i="5"/>
  <c r="K280" i="5"/>
  <c r="O280" i="5" s="1"/>
  <c r="J280" i="5"/>
  <c r="D280" i="5"/>
  <c r="B280" i="5"/>
  <c r="K279" i="5"/>
  <c r="P279" i="5" s="1"/>
  <c r="J279" i="5"/>
  <c r="D279" i="5"/>
  <c r="B279" i="5"/>
  <c r="J278" i="5"/>
  <c r="F277" i="5"/>
  <c r="E277" i="5"/>
  <c r="D277" i="5"/>
  <c r="B277" i="5"/>
  <c r="K276" i="5"/>
  <c r="O276" i="5" s="1"/>
  <c r="F276" i="5"/>
  <c r="E276" i="5"/>
  <c r="D276" i="5"/>
  <c r="B276" i="5"/>
  <c r="J275" i="5"/>
  <c r="P274" i="5"/>
  <c r="O274" i="5"/>
  <c r="N274" i="5"/>
  <c r="M274" i="5"/>
  <c r="L274" i="5"/>
  <c r="J274" i="5"/>
  <c r="P273" i="5"/>
  <c r="O273" i="5"/>
  <c r="N273" i="5"/>
  <c r="M273" i="5"/>
  <c r="L273" i="5"/>
  <c r="J273" i="5"/>
  <c r="K272" i="5"/>
  <c r="E272" i="5"/>
  <c r="D272" i="5"/>
  <c r="B272" i="5"/>
  <c r="J271" i="5"/>
  <c r="E270" i="5"/>
  <c r="J270" i="5" s="1"/>
  <c r="D270" i="5"/>
  <c r="B270" i="5"/>
  <c r="J269" i="5"/>
  <c r="D269" i="5"/>
  <c r="B269" i="5"/>
  <c r="K268" i="5"/>
  <c r="N268" i="5" s="1"/>
  <c r="J268" i="5"/>
  <c r="D268" i="5"/>
  <c r="B268" i="5"/>
  <c r="J267" i="5"/>
  <c r="J266" i="5"/>
  <c r="D266" i="5"/>
  <c r="B266" i="5"/>
  <c r="K265" i="5"/>
  <c r="P265" i="5" s="1"/>
  <c r="J265" i="5"/>
  <c r="D265" i="5"/>
  <c r="B265" i="5"/>
  <c r="J264" i="5"/>
  <c r="P263" i="5"/>
  <c r="O263" i="5"/>
  <c r="N263" i="5"/>
  <c r="M263" i="5"/>
  <c r="L263" i="5"/>
  <c r="J263" i="5"/>
  <c r="K262" i="5"/>
  <c r="E262" i="5"/>
  <c r="D262" i="5"/>
  <c r="B262" i="5"/>
  <c r="J261" i="5"/>
  <c r="J260" i="5"/>
  <c r="D260" i="5"/>
  <c r="B260" i="5"/>
  <c r="K259" i="5"/>
  <c r="P259" i="5" s="1"/>
  <c r="J259" i="5"/>
  <c r="D259" i="5"/>
  <c r="B259" i="5"/>
  <c r="J258" i="5"/>
  <c r="P257" i="5"/>
  <c r="O257" i="5"/>
  <c r="N257" i="5"/>
  <c r="M257" i="5"/>
  <c r="L257" i="5"/>
  <c r="J257" i="5"/>
  <c r="K256" i="5"/>
  <c r="E256" i="5"/>
  <c r="D256" i="5"/>
  <c r="B256" i="5"/>
  <c r="J255" i="5"/>
  <c r="J254" i="5"/>
  <c r="D254" i="5"/>
  <c r="B254" i="5"/>
  <c r="K253" i="5"/>
  <c r="P253" i="5" s="1"/>
  <c r="J253" i="5"/>
  <c r="D253" i="5"/>
  <c r="B253" i="5"/>
  <c r="J252" i="5"/>
  <c r="P251" i="5"/>
  <c r="O251" i="5"/>
  <c r="N251" i="5"/>
  <c r="M251" i="5"/>
  <c r="L251" i="5"/>
  <c r="J251" i="5"/>
  <c r="K250" i="5"/>
  <c r="E250" i="5"/>
  <c r="D250" i="5"/>
  <c r="B250" i="5"/>
  <c r="E249" i="5"/>
  <c r="J248" i="5"/>
  <c r="D248" i="5"/>
  <c r="B248" i="5"/>
  <c r="K247" i="5"/>
  <c r="J247" i="5"/>
  <c r="D247" i="5"/>
  <c r="B247" i="5"/>
  <c r="J246" i="5"/>
  <c r="P245" i="5"/>
  <c r="O245" i="5"/>
  <c r="N245" i="5"/>
  <c r="M245" i="5"/>
  <c r="L245" i="5"/>
  <c r="J245" i="5"/>
  <c r="K244" i="5"/>
  <c r="E244" i="5"/>
  <c r="D244" i="5"/>
  <c r="B244" i="5"/>
  <c r="J243" i="5"/>
  <c r="J242" i="5"/>
  <c r="D242" i="5"/>
  <c r="B242" i="5"/>
  <c r="K241" i="5"/>
  <c r="O241" i="5" s="1"/>
  <c r="J241" i="5"/>
  <c r="D241" i="5"/>
  <c r="B241" i="5"/>
  <c r="J240" i="5"/>
  <c r="P239" i="5"/>
  <c r="O239" i="5"/>
  <c r="N239" i="5"/>
  <c r="M239" i="5"/>
  <c r="L239" i="5"/>
  <c r="J239" i="5"/>
  <c r="K238" i="5"/>
  <c r="E238" i="5"/>
  <c r="D238" i="5"/>
  <c r="B238" i="5"/>
  <c r="J237" i="5"/>
  <c r="J236" i="5"/>
  <c r="D236" i="5"/>
  <c r="B236" i="5"/>
  <c r="K235" i="5"/>
  <c r="O235" i="5" s="1"/>
  <c r="J235" i="5"/>
  <c r="D235" i="5"/>
  <c r="B235" i="5"/>
  <c r="J234" i="5"/>
  <c r="P233" i="5"/>
  <c r="O233" i="5"/>
  <c r="N233" i="5"/>
  <c r="M233" i="5"/>
  <c r="L233" i="5"/>
  <c r="J233" i="5"/>
  <c r="P232" i="5"/>
  <c r="O232" i="5"/>
  <c r="N232" i="5"/>
  <c r="M232" i="5"/>
  <c r="L232" i="5"/>
  <c r="J232" i="5"/>
  <c r="K231" i="5"/>
  <c r="P231" i="5" s="1"/>
  <c r="P230" i="5" s="1"/>
  <c r="P1825" i="5" s="1"/>
  <c r="H1825" i="5" s="1"/>
  <c r="J231" i="5"/>
  <c r="D231" i="5"/>
  <c r="B231" i="5"/>
  <c r="J230" i="5"/>
  <c r="J229" i="5"/>
  <c r="D229" i="5"/>
  <c r="B229" i="5"/>
  <c r="K228" i="5"/>
  <c r="O228" i="5" s="1"/>
  <c r="J228" i="5"/>
  <c r="D228" i="5"/>
  <c r="B228" i="5"/>
  <c r="J227" i="5"/>
  <c r="P226" i="5"/>
  <c r="O226" i="5"/>
  <c r="N226" i="5"/>
  <c r="M226" i="5"/>
  <c r="L226" i="5"/>
  <c r="J226" i="5"/>
  <c r="F225" i="5"/>
  <c r="J225" i="5" s="1"/>
  <c r="D225" i="5"/>
  <c r="B225" i="5"/>
  <c r="J224" i="5"/>
  <c r="K223" i="5"/>
  <c r="O223" i="5" s="1"/>
  <c r="O222" i="5" s="1"/>
  <c r="O1821" i="5" s="1"/>
  <c r="G1821" i="5" s="1"/>
  <c r="J223" i="5"/>
  <c r="D223" i="5"/>
  <c r="B223" i="5"/>
  <c r="J222" i="5"/>
  <c r="J221" i="5"/>
  <c r="D221" i="5"/>
  <c r="B221" i="5"/>
  <c r="K220" i="5"/>
  <c r="P220" i="5" s="1"/>
  <c r="J220" i="5"/>
  <c r="D220" i="5"/>
  <c r="B220" i="5"/>
  <c r="J219" i="5"/>
  <c r="P218" i="5"/>
  <c r="O218" i="5"/>
  <c r="N218" i="5"/>
  <c r="M218" i="5"/>
  <c r="L218" i="5"/>
  <c r="J218" i="5"/>
  <c r="F217" i="5"/>
  <c r="J217" i="5" s="1"/>
  <c r="D217" i="5"/>
  <c r="B217" i="5"/>
  <c r="J216" i="5"/>
  <c r="K215" i="5"/>
  <c r="O215" i="5" s="1"/>
  <c r="O214" i="5" s="1"/>
  <c r="O1817" i="5" s="1"/>
  <c r="G1817" i="5" s="1"/>
  <c r="J215" i="5"/>
  <c r="D215" i="5"/>
  <c r="B215" i="5"/>
  <c r="J214" i="5"/>
  <c r="J213" i="5"/>
  <c r="D213" i="5"/>
  <c r="B213" i="5"/>
  <c r="K212" i="5"/>
  <c r="M212" i="5" s="1"/>
  <c r="J212" i="5"/>
  <c r="D212" i="5"/>
  <c r="B212" i="5"/>
  <c r="J211" i="5"/>
  <c r="P210" i="5"/>
  <c r="O210" i="5"/>
  <c r="N210" i="5"/>
  <c r="M210" i="5"/>
  <c r="L210" i="5"/>
  <c r="J210" i="5"/>
  <c r="E209" i="5"/>
  <c r="G209" i="5" s="1"/>
  <c r="I209" i="5" s="1"/>
  <c r="D209" i="5"/>
  <c r="B209" i="5"/>
  <c r="J208" i="5"/>
  <c r="P207" i="5"/>
  <c r="O207" i="5"/>
  <c r="N207" i="5"/>
  <c r="M207" i="5"/>
  <c r="L207" i="5"/>
  <c r="J207" i="5"/>
  <c r="P206" i="5"/>
  <c r="O206" i="5"/>
  <c r="N206" i="5"/>
  <c r="M206" i="5"/>
  <c r="L206" i="5"/>
  <c r="J206" i="5"/>
  <c r="K205" i="5"/>
  <c r="D205" i="5"/>
  <c r="B205" i="5"/>
  <c r="J204" i="5"/>
  <c r="P203" i="5"/>
  <c r="O203" i="5"/>
  <c r="N203" i="5"/>
  <c r="M203" i="5"/>
  <c r="L203" i="5"/>
  <c r="J203" i="5"/>
  <c r="K202" i="5"/>
  <c r="F202" i="5"/>
  <c r="E202" i="5"/>
  <c r="D202" i="5"/>
  <c r="B202" i="5"/>
  <c r="J201" i="5"/>
  <c r="E200" i="5"/>
  <c r="J200" i="5" s="1"/>
  <c r="D200" i="5"/>
  <c r="B200" i="5"/>
  <c r="E199" i="5"/>
  <c r="J199" i="5" s="1"/>
  <c r="D199" i="5"/>
  <c r="B199" i="5"/>
  <c r="K198" i="5"/>
  <c r="P198" i="5" s="1"/>
  <c r="J198" i="5"/>
  <c r="D198" i="5"/>
  <c r="B198" i="5"/>
  <c r="J197" i="5"/>
  <c r="P196" i="5"/>
  <c r="O196" i="5"/>
  <c r="N196" i="5"/>
  <c r="M196" i="5"/>
  <c r="L196" i="5"/>
  <c r="J196" i="5"/>
  <c r="F195" i="5"/>
  <c r="J195" i="5" s="1"/>
  <c r="D195" i="5"/>
  <c r="B195" i="5"/>
  <c r="J194" i="5"/>
  <c r="K193" i="5"/>
  <c r="J193" i="5"/>
  <c r="D193" i="5"/>
  <c r="B193" i="5"/>
  <c r="J192" i="5"/>
  <c r="E191" i="5"/>
  <c r="J191" i="5" s="1"/>
  <c r="D191" i="5"/>
  <c r="B191" i="5"/>
  <c r="E190" i="5"/>
  <c r="J190" i="5" s="1"/>
  <c r="D190" i="5"/>
  <c r="B190" i="5"/>
  <c r="K189" i="5"/>
  <c r="M189" i="5" s="1"/>
  <c r="J189" i="5"/>
  <c r="D189" i="5"/>
  <c r="B189" i="5"/>
  <c r="J188" i="5"/>
  <c r="P187" i="5"/>
  <c r="O187" i="5"/>
  <c r="N187" i="5"/>
  <c r="M187" i="5"/>
  <c r="L187" i="5"/>
  <c r="J187" i="5"/>
  <c r="K186" i="5"/>
  <c r="M186" i="5" s="1"/>
  <c r="M185" i="5" s="1"/>
  <c r="M1802" i="5" s="1"/>
  <c r="H186" i="5"/>
  <c r="J186" i="5" s="1"/>
  <c r="D186" i="5"/>
  <c r="B186" i="5"/>
  <c r="J185" i="5"/>
  <c r="K184" i="5"/>
  <c r="L184" i="5" s="1"/>
  <c r="G184" i="5"/>
  <c r="H184" i="5" s="1"/>
  <c r="D184" i="5"/>
  <c r="B184" i="5"/>
  <c r="J183" i="5"/>
  <c r="P182" i="5"/>
  <c r="O182" i="5"/>
  <c r="N182" i="5"/>
  <c r="M182" i="5"/>
  <c r="L182" i="5"/>
  <c r="J182" i="5"/>
  <c r="K181" i="5"/>
  <c r="D181" i="5"/>
  <c r="B181" i="5"/>
  <c r="J180" i="5"/>
  <c r="E179" i="5"/>
  <c r="J179" i="5" s="1"/>
  <c r="D179" i="5"/>
  <c r="B179" i="5"/>
  <c r="K178" i="5"/>
  <c r="O178" i="5" s="1"/>
  <c r="E178" i="5"/>
  <c r="J178" i="5" s="1"/>
  <c r="D178" i="5"/>
  <c r="B178" i="5"/>
  <c r="J177" i="5"/>
  <c r="P176" i="5"/>
  <c r="O176" i="5"/>
  <c r="N176" i="5"/>
  <c r="M176" i="5"/>
  <c r="L176" i="5"/>
  <c r="J176" i="5"/>
  <c r="P175" i="5"/>
  <c r="O175" i="5"/>
  <c r="N175" i="5"/>
  <c r="M175" i="5"/>
  <c r="L175" i="5"/>
  <c r="J175" i="5"/>
  <c r="J174" i="5"/>
  <c r="D174" i="5"/>
  <c r="B174" i="5"/>
  <c r="K173" i="5"/>
  <c r="P173" i="5" s="1"/>
  <c r="J173" i="5"/>
  <c r="D173" i="5"/>
  <c r="B173" i="5"/>
  <c r="J172" i="5"/>
  <c r="J171" i="5"/>
  <c r="D171" i="5"/>
  <c r="B171" i="5"/>
  <c r="K170" i="5"/>
  <c r="O170" i="5" s="1"/>
  <c r="J170" i="5"/>
  <c r="D170" i="5"/>
  <c r="B170" i="5"/>
  <c r="J169" i="5"/>
  <c r="P168" i="5"/>
  <c r="O168" i="5"/>
  <c r="N168" i="5"/>
  <c r="M168" i="5"/>
  <c r="L168" i="5"/>
  <c r="J168" i="5"/>
  <c r="K167" i="5"/>
  <c r="I167" i="5"/>
  <c r="H167" i="5"/>
  <c r="G167" i="5"/>
  <c r="F167" i="5"/>
  <c r="D167" i="5"/>
  <c r="B167" i="5"/>
  <c r="J166" i="5"/>
  <c r="K165" i="5"/>
  <c r="P165" i="5" s="1"/>
  <c r="P164" i="5" s="1"/>
  <c r="P1791" i="5" s="1"/>
  <c r="J165" i="5"/>
  <c r="D165" i="5"/>
  <c r="B165" i="5"/>
  <c r="J164" i="5"/>
  <c r="P163" i="5"/>
  <c r="O163" i="5"/>
  <c r="N163" i="5"/>
  <c r="M163" i="5"/>
  <c r="L163" i="5"/>
  <c r="J163" i="5"/>
  <c r="I162" i="5"/>
  <c r="H162" i="5"/>
  <c r="G162" i="5"/>
  <c r="F162" i="5"/>
  <c r="D162" i="5"/>
  <c r="B162" i="5"/>
  <c r="J161" i="5"/>
  <c r="K160" i="5"/>
  <c r="O160" i="5" s="1"/>
  <c r="O159" i="5" s="1"/>
  <c r="O1788" i="5" s="1"/>
  <c r="G1788" i="5" s="1"/>
  <c r="J160" i="5"/>
  <c r="D160" i="5"/>
  <c r="B160" i="5"/>
  <c r="J159" i="5"/>
  <c r="P158" i="5"/>
  <c r="O158" i="5"/>
  <c r="N158" i="5"/>
  <c r="M158" i="5"/>
  <c r="L158" i="5"/>
  <c r="J158" i="5"/>
  <c r="P157" i="5"/>
  <c r="O157" i="5"/>
  <c r="N157" i="5"/>
  <c r="M157" i="5"/>
  <c r="L157" i="5"/>
  <c r="J157" i="5"/>
  <c r="K156" i="5"/>
  <c r="P156" i="5" s="1"/>
  <c r="P155" i="5" s="1"/>
  <c r="P1785" i="5" s="1"/>
  <c r="H1785" i="5" s="1"/>
  <c r="J156" i="5"/>
  <c r="D156" i="5"/>
  <c r="B156" i="5"/>
  <c r="J155" i="5"/>
  <c r="D154" i="5"/>
  <c r="B154" i="5"/>
  <c r="K153" i="5"/>
  <c r="O153" i="5" s="1"/>
  <c r="D153" i="5"/>
  <c r="B153" i="5"/>
  <c r="J152" i="5"/>
  <c r="P151" i="5"/>
  <c r="O151" i="5"/>
  <c r="N151" i="5"/>
  <c r="M151" i="5"/>
  <c r="L151" i="5"/>
  <c r="J151" i="5"/>
  <c r="P150" i="5"/>
  <c r="P1782" i="5" s="1"/>
  <c r="O150" i="5"/>
  <c r="O1782" i="5" s="1"/>
  <c r="N150" i="5"/>
  <c r="N1782" i="5" s="1"/>
  <c r="M150" i="5"/>
  <c r="M1782" i="5" s="1"/>
  <c r="L150" i="5"/>
  <c r="L1782" i="5" s="1"/>
  <c r="J150" i="5"/>
  <c r="I149" i="5"/>
  <c r="H149" i="5"/>
  <c r="G149" i="5"/>
  <c r="F149" i="5"/>
  <c r="D149" i="5"/>
  <c r="B149" i="5"/>
  <c r="J148" i="5"/>
  <c r="D147" i="5"/>
  <c r="B147" i="5"/>
  <c r="K146" i="5"/>
  <c r="M146" i="5" s="1"/>
  <c r="D146" i="5"/>
  <c r="B146" i="5"/>
  <c r="D145" i="5"/>
  <c r="B145" i="5"/>
  <c r="J144" i="5"/>
  <c r="P143" i="5"/>
  <c r="O143" i="5"/>
  <c r="N143" i="5"/>
  <c r="M143" i="5"/>
  <c r="L143" i="5"/>
  <c r="J143" i="5"/>
  <c r="K142" i="5"/>
  <c r="O142" i="5" s="1"/>
  <c r="O141" i="5" s="1"/>
  <c r="O1778" i="5" s="1"/>
  <c r="G1778" i="5" s="1"/>
  <c r="J142" i="5"/>
  <c r="D142" i="5"/>
  <c r="B142" i="5"/>
  <c r="J141" i="5"/>
  <c r="K140" i="5"/>
  <c r="J140" i="5"/>
  <c r="D140" i="5"/>
  <c r="B140" i="5"/>
  <c r="J139" i="5"/>
  <c r="P138" i="5"/>
  <c r="O138" i="5"/>
  <c r="N138" i="5"/>
  <c r="M138" i="5"/>
  <c r="L138" i="5"/>
  <c r="J138" i="5"/>
  <c r="K137" i="5"/>
  <c r="I137" i="5"/>
  <c r="J137" i="5" s="1"/>
  <c r="D137" i="5"/>
  <c r="B137" i="5"/>
  <c r="D135" i="5"/>
  <c r="B135" i="5"/>
  <c r="D134" i="5"/>
  <c r="B134" i="5"/>
  <c r="K133" i="5"/>
  <c r="M133" i="5" s="1"/>
  <c r="D133" i="5"/>
  <c r="B133" i="5"/>
  <c r="D132" i="5"/>
  <c r="B132" i="5"/>
  <c r="J131" i="5"/>
  <c r="P130" i="5"/>
  <c r="O130" i="5"/>
  <c r="N130" i="5"/>
  <c r="M130" i="5"/>
  <c r="L130" i="5"/>
  <c r="J130" i="5"/>
  <c r="K129" i="5"/>
  <c r="M129" i="5" s="1"/>
  <c r="J129" i="5"/>
  <c r="D129" i="5"/>
  <c r="B129" i="5"/>
  <c r="K128" i="5"/>
  <c r="O128" i="5" s="1"/>
  <c r="J128" i="5"/>
  <c r="D128" i="5"/>
  <c r="B128" i="5"/>
  <c r="D127" i="5"/>
  <c r="B127" i="5"/>
  <c r="J126" i="5"/>
  <c r="J125" i="5"/>
  <c r="D125" i="5"/>
  <c r="B125" i="5"/>
  <c r="K124" i="5"/>
  <c r="O124" i="5" s="1"/>
  <c r="J124" i="5"/>
  <c r="D124" i="5"/>
  <c r="B124" i="5"/>
  <c r="J123" i="5"/>
  <c r="P122" i="5"/>
  <c r="O122" i="5"/>
  <c r="N122" i="5"/>
  <c r="M122" i="5"/>
  <c r="L122" i="5"/>
  <c r="J122" i="5"/>
  <c r="P121" i="5"/>
  <c r="O121" i="5"/>
  <c r="N121" i="5"/>
  <c r="M121" i="5"/>
  <c r="L121" i="5"/>
  <c r="J121" i="5"/>
  <c r="K120" i="5"/>
  <c r="O120" i="5" s="1"/>
  <c r="D120" i="5"/>
  <c r="B120" i="5"/>
  <c r="E119" i="5"/>
  <c r="F119" i="5" s="1"/>
  <c r="D119" i="5"/>
  <c r="B119" i="5"/>
  <c r="D118" i="5"/>
  <c r="B118" i="5"/>
  <c r="K117" i="5"/>
  <c r="O117" i="5" s="1"/>
  <c r="D117" i="5"/>
  <c r="B117" i="5"/>
  <c r="D116" i="5"/>
  <c r="B116" i="5"/>
  <c r="J115" i="5"/>
  <c r="P114" i="5"/>
  <c r="O114" i="5"/>
  <c r="N114" i="5"/>
  <c r="M114" i="5"/>
  <c r="L114" i="5"/>
  <c r="J114" i="5"/>
  <c r="K113" i="5"/>
  <c r="O113" i="5" s="1"/>
  <c r="J113" i="5"/>
  <c r="D113" i="5"/>
  <c r="B113" i="5"/>
  <c r="E112" i="5"/>
  <c r="D112" i="5"/>
  <c r="B112" i="5"/>
  <c r="J111" i="5"/>
  <c r="P110" i="5"/>
  <c r="O110" i="5"/>
  <c r="N110" i="5"/>
  <c r="M110" i="5"/>
  <c r="L110" i="5"/>
  <c r="J110" i="5"/>
  <c r="P109" i="5"/>
  <c r="O109" i="5"/>
  <c r="N109" i="5"/>
  <c r="M109" i="5"/>
  <c r="L109" i="5"/>
  <c r="J109" i="5"/>
  <c r="K108" i="5"/>
  <c r="M108" i="5" s="1"/>
  <c r="M107" i="5" s="1"/>
  <c r="M1763" i="5" s="1"/>
  <c r="E1763" i="5" s="1"/>
  <c r="J108" i="5"/>
  <c r="D108" i="5"/>
  <c r="B108" i="5"/>
  <c r="J107" i="5"/>
  <c r="K106" i="5"/>
  <c r="O106" i="5" s="1"/>
  <c r="O105" i="5" s="1"/>
  <c r="O1762" i="5" s="1"/>
  <c r="G1762" i="5" s="1"/>
  <c r="J106" i="5"/>
  <c r="D106" i="5"/>
  <c r="B106" i="5"/>
  <c r="J105" i="5"/>
  <c r="J104" i="5"/>
  <c r="D104" i="5"/>
  <c r="B104" i="5"/>
  <c r="K103" i="5"/>
  <c r="M103" i="5" s="1"/>
  <c r="J103" i="5"/>
  <c r="D103" i="5"/>
  <c r="B103" i="5"/>
  <c r="J102" i="5"/>
  <c r="P101" i="5"/>
  <c r="O101" i="5"/>
  <c r="N101" i="5"/>
  <c r="M101" i="5"/>
  <c r="L101" i="5"/>
  <c r="J101" i="5"/>
  <c r="J100" i="5"/>
  <c r="D100" i="5"/>
  <c r="B100" i="5"/>
  <c r="J99" i="5"/>
  <c r="F112" i="5"/>
  <c r="D98" i="5"/>
  <c r="B98" i="5"/>
  <c r="J97" i="5"/>
  <c r="D96" i="5"/>
  <c r="B96" i="5"/>
  <c r="D95" i="5"/>
  <c r="B95" i="5"/>
  <c r="J94" i="5"/>
  <c r="P93" i="5"/>
  <c r="O93" i="5"/>
  <c r="N93" i="5"/>
  <c r="M93" i="5"/>
  <c r="L93" i="5"/>
  <c r="J93" i="5"/>
  <c r="P92" i="5"/>
  <c r="O92" i="5"/>
  <c r="N92" i="5"/>
  <c r="M92" i="5"/>
  <c r="L92" i="5"/>
  <c r="J92" i="5"/>
  <c r="J91" i="5"/>
  <c r="D91" i="5"/>
  <c r="B91" i="5"/>
  <c r="J90" i="5"/>
  <c r="P89" i="5"/>
  <c r="O89" i="5"/>
  <c r="N89" i="5"/>
  <c r="M89" i="5"/>
  <c r="L89" i="5"/>
  <c r="J89" i="5"/>
  <c r="J88" i="5"/>
  <c r="D88" i="5"/>
  <c r="B88" i="5"/>
  <c r="J87" i="5"/>
  <c r="P86" i="5"/>
  <c r="O86" i="5"/>
  <c r="N86" i="5"/>
  <c r="M86" i="5"/>
  <c r="L86" i="5"/>
  <c r="J86" i="5"/>
  <c r="P85" i="5"/>
  <c r="O85" i="5"/>
  <c r="N85" i="5"/>
  <c r="M85" i="5"/>
  <c r="L85" i="5"/>
  <c r="J85" i="5"/>
  <c r="P84" i="5"/>
  <c r="O84" i="5"/>
  <c r="N84" i="5"/>
  <c r="M84" i="5"/>
  <c r="L84" i="5"/>
  <c r="J84" i="5"/>
  <c r="J79" i="5"/>
  <c r="P78" i="5"/>
  <c r="O78" i="5"/>
  <c r="N78" i="5"/>
  <c r="M78" i="5"/>
  <c r="L78" i="5"/>
  <c r="J78" i="5"/>
  <c r="P77" i="5"/>
  <c r="O77" i="5"/>
  <c r="N77" i="5"/>
  <c r="M77" i="5"/>
  <c r="L77" i="5"/>
  <c r="J77" i="5"/>
  <c r="D76" i="5"/>
  <c r="B76" i="5"/>
  <c r="J75" i="5"/>
  <c r="J74" i="5"/>
  <c r="D74" i="5"/>
  <c r="B74" i="5"/>
  <c r="E73" i="5"/>
  <c r="J73" i="5" s="1"/>
  <c r="D73" i="5"/>
  <c r="B73" i="5"/>
  <c r="J72" i="5"/>
  <c r="D72" i="5"/>
  <c r="B72" i="5"/>
  <c r="J71" i="5"/>
  <c r="P70" i="5"/>
  <c r="O70" i="5"/>
  <c r="N70" i="5"/>
  <c r="M70" i="5"/>
  <c r="L70" i="5"/>
  <c r="J70" i="5"/>
  <c r="D69" i="5"/>
  <c r="B69" i="5"/>
  <c r="J68" i="5"/>
  <c r="J67" i="5"/>
  <c r="D67" i="5"/>
  <c r="B67" i="5"/>
  <c r="E66" i="5"/>
  <c r="J66" i="5" s="1"/>
  <c r="D66" i="5"/>
  <c r="B66" i="5"/>
  <c r="J65" i="5"/>
  <c r="D65" i="5"/>
  <c r="B65" i="5"/>
  <c r="J64" i="5"/>
  <c r="P63" i="5"/>
  <c r="O63" i="5"/>
  <c r="N63" i="5"/>
  <c r="M63" i="5"/>
  <c r="L63" i="5"/>
  <c r="J63" i="5"/>
  <c r="P62" i="5"/>
  <c r="O62" i="5"/>
  <c r="N62" i="5"/>
  <c r="M62" i="5"/>
  <c r="L62" i="5"/>
  <c r="J62" i="5"/>
  <c r="K61" i="5"/>
  <c r="O61" i="5" s="1"/>
  <c r="O60" i="5" s="1"/>
  <c r="O1736" i="5" s="1"/>
  <c r="G1736" i="5" s="1"/>
  <c r="J61" i="5"/>
  <c r="D61" i="5"/>
  <c r="B61" i="5"/>
  <c r="J60" i="5"/>
  <c r="J59" i="5"/>
  <c r="D59" i="5"/>
  <c r="B59" i="5"/>
  <c r="E58" i="5"/>
  <c r="J58" i="5" s="1"/>
  <c r="D58" i="5"/>
  <c r="B58" i="5"/>
  <c r="J57" i="5"/>
  <c r="D57" i="5"/>
  <c r="B57" i="5"/>
  <c r="J56" i="5"/>
  <c r="P55" i="5"/>
  <c r="O55" i="5"/>
  <c r="N55" i="5"/>
  <c r="M55" i="5"/>
  <c r="L55" i="5"/>
  <c r="J55" i="5"/>
  <c r="K54" i="5"/>
  <c r="D54" i="5"/>
  <c r="B54" i="5"/>
  <c r="J53" i="5"/>
  <c r="P52" i="5"/>
  <c r="O52" i="5"/>
  <c r="N52" i="5"/>
  <c r="M52" i="5"/>
  <c r="L52" i="5"/>
  <c r="J52" i="5"/>
  <c r="P51" i="5"/>
  <c r="O51" i="5"/>
  <c r="N51" i="5"/>
  <c r="M51" i="5"/>
  <c r="L51" i="5"/>
  <c r="J51" i="5"/>
  <c r="K50" i="5"/>
  <c r="I50" i="5"/>
  <c r="H50" i="5"/>
  <c r="G50" i="5"/>
  <c r="D50" i="5"/>
  <c r="B50" i="5"/>
  <c r="J49" i="5"/>
  <c r="P48" i="5"/>
  <c r="O48" i="5"/>
  <c r="N48" i="5"/>
  <c r="M48" i="5"/>
  <c r="L48" i="5"/>
  <c r="J48" i="5"/>
  <c r="J46" i="5"/>
  <c r="D46" i="5"/>
  <c r="B46" i="5"/>
  <c r="J45" i="5"/>
  <c r="I44" i="5"/>
  <c r="I96" i="5" s="1"/>
  <c r="H44" i="5"/>
  <c r="H96" i="5" s="1"/>
  <c r="G44" i="5"/>
  <c r="G96" i="5" s="1"/>
  <c r="F44" i="5"/>
  <c r="F96" i="5" s="1"/>
  <c r="E44" i="5"/>
  <c r="E96" i="5" s="1"/>
  <c r="D44" i="5"/>
  <c r="B44" i="5"/>
  <c r="I43" i="5"/>
  <c r="I95" i="5" s="1"/>
  <c r="H43" i="5"/>
  <c r="H95" i="5" s="1"/>
  <c r="G43" i="5"/>
  <c r="G95" i="5" s="1"/>
  <c r="F43" i="5"/>
  <c r="F95" i="5" s="1"/>
  <c r="E43" i="5"/>
  <c r="D43" i="5"/>
  <c r="B43" i="5"/>
  <c r="J42" i="5"/>
  <c r="P41" i="5"/>
  <c r="O41" i="5"/>
  <c r="N41" i="5"/>
  <c r="M41" i="5"/>
  <c r="L41" i="5"/>
  <c r="J41" i="5"/>
  <c r="P40" i="5"/>
  <c r="O40" i="5"/>
  <c r="N40" i="5"/>
  <c r="M40" i="5"/>
  <c r="L40" i="5"/>
  <c r="J40" i="5"/>
  <c r="K39" i="5"/>
  <c r="O39" i="5" s="1"/>
  <c r="J39" i="5"/>
  <c r="D39" i="5"/>
  <c r="B39" i="5"/>
  <c r="K38" i="5"/>
  <c r="I38" i="5"/>
  <c r="I36" i="5" s="1"/>
  <c r="H38" i="5"/>
  <c r="H36" i="5" s="1"/>
  <c r="G38" i="5"/>
  <c r="G36" i="5" s="1"/>
  <c r="F38" i="5"/>
  <c r="D38" i="5"/>
  <c r="B38" i="5"/>
  <c r="J37" i="5"/>
  <c r="F36" i="5"/>
  <c r="E36" i="5"/>
  <c r="D36" i="5"/>
  <c r="B36" i="5"/>
  <c r="J35" i="5"/>
  <c r="D35" i="5"/>
  <c r="B35" i="5"/>
  <c r="K34" i="5"/>
  <c r="J34" i="5"/>
  <c r="D34" i="5"/>
  <c r="B34" i="5"/>
  <c r="J33" i="5"/>
  <c r="P32" i="5"/>
  <c r="O32" i="5"/>
  <c r="N32" i="5"/>
  <c r="M32" i="5"/>
  <c r="L32" i="5"/>
  <c r="J32" i="5"/>
  <c r="J31" i="5"/>
  <c r="D31" i="5"/>
  <c r="B31" i="5"/>
  <c r="K30" i="5"/>
  <c r="P30" i="5" s="1"/>
  <c r="J30" i="5"/>
  <c r="D30" i="5"/>
  <c r="B30" i="5"/>
  <c r="J29" i="5"/>
  <c r="D29" i="5"/>
  <c r="B29" i="5"/>
  <c r="J28" i="5"/>
  <c r="K27" i="5"/>
  <c r="O27" i="5" s="1"/>
  <c r="O26" i="5" s="1"/>
  <c r="O1720" i="5" s="1"/>
  <c r="J27" i="5"/>
  <c r="D27" i="5"/>
  <c r="B27" i="5"/>
  <c r="J26" i="5"/>
  <c r="P25" i="5"/>
  <c r="O25" i="5"/>
  <c r="N25" i="5"/>
  <c r="M25" i="5"/>
  <c r="L25" i="5"/>
  <c r="J25" i="5"/>
  <c r="P24" i="5"/>
  <c r="P1718" i="5" s="1"/>
  <c r="H1718" i="5" s="1"/>
  <c r="O24" i="5"/>
  <c r="O1718" i="5" s="1"/>
  <c r="G1718" i="5" s="1"/>
  <c r="N24" i="5"/>
  <c r="N1718" i="5" s="1"/>
  <c r="F1718" i="5" s="1"/>
  <c r="M24" i="5"/>
  <c r="M1718" i="5" s="1"/>
  <c r="E1718" i="5" s="1"/>
  <c r="L24" i="5"/>
  <c r="J24" i="5"/>
  <c r="J23" i="5"/>
  <c r="P22" i="5"/>
  <c r="O22" i="5"/>
  <c r="N22" i="5"/>
  <c r="M22" i="5"/>
  <c r="L22" i="5"/>
  <c r="J22" i="5"/>
  <c r="J21" i="5"/>
  <c r="B21" i="5"/>
  <c r="E20" i="5"/>
  <c r="J20" i="5" s="1"/>
  <c r="D20" i="5"/>
  <c r="B20" i="5"/>
  <c r="J19" i="5"/>
  <c r="K18" i="5"/>
  <c r="F18" i="5"/>
  <c r="G18" i="5" s="1"/>
  <c r="H18" i="5" s="1"/>
  <c r="I18" i="5" s="1"/>
  <c r="D18" i="5"/>
  <c r="B18" i="5"/>
  <c r="K17" i="5"/>
  <c r="O17" i="5" s="1"/>
  <c r="J17" i="5"/>
  <c r="D17" i="5"/>
  <c r="B17" i="5"/>
  <c r="K16" i="5"/>
  <c r="P16" i="5" s="1"/>
  <c r="E16" i="5"/>
  <c r="F16" i="5" s="1"/>
  <c r="J16" i="5" s="1"/>
  <c r="D16" i="5"/>
  <c r="B16" i="5"/>
  <c r="J15" i="5"/>
  <c r="E14" i="5"/>
  <c r="J14" i="5" s="1"/>
  <c r="D14" i="5"/>
  <c r="B14" i="5"/>
  <c r="E13" i="5"/>
  <c r="J13" i="5" s="1"/>
  <c r="D13" i="5"/>
  <c r="B13" i="5"/>
  <c r="J12" i="5"/>
  <c r="E11" i="5"/>
  <c r="J11" i="5" s="1"/>
  <c r="D11" i="5"/>
  <c r="B11" i="5"/>
  <c r="K10" i="5"/>
  <c r="P10" i="5" s="1"/>
  <c r="E10" i="5"/>
  <c r="J10" i="5" s="1"/>
  <c r="D10" i="5"/>
  <c r="B10" i="5"/>
  <c r="J9" i="5"/>
  <c r="P8" i="5"/>
  <c r="O8" i="5"/>
  <c r="N8" i="5"/>
  <c r="M8" i="5"/>
  <c r="L8" i="5"/>
  <c r="J8" i="5"/>
  <c r="P7" i="5"/>
  <c r="O7" i="5"/>
  <c r="N7" i="5"/>
  <c r="M7" i="5"/>
  <c r="L7" i="5"/>
  <c r="J7" i="5"/>
  <c r="P6" i="5"/>
  <c r="O6" i="5"/>
  <c r="N6" i="5"/>
  <c r="M6" i="5"/>
  <c r="L6" i="5"/>
  <c r="J6" i="5"/>
  <c r="L5" i="5"/>
  <c r="L1708" i="5" s="1"/>
  <c r="L7" i="8" s="1"/>
  <c r="F5" i="5"/>
  <c r="G5" i="5" s="1"/>
  <c r="H5" i="5" s="1"/>
  <c r="I5" i="5" s="1"/>
  <c r="A13" i="8" l="1"/>
  <c r="A17" i="8"/>
  <c r="A23" i="8"/>
  <c r="A10" i="12"/>
  <c r="C10" i="12" s="1"/>
  <c r="A27" i="8"/>
  <c r="A369" i="8" s="1"/>
  <c r="A463" i="8" s="1"/>
  <c r="C252" i="14" s="1"/>
  <c r="A18" i="12"/>
  <c r="C18" i="12" s="1"/>
  <c r="A30" i="8"/>
  <c r="A35" i="8"/>
  <c r="A37" i="8"/>
  <c r="A373" i="8" s="1"/>
  <c r="C53" i="14" s="1"/>
  <c r="A41" i="8"/>
  <c r="A42" i="8"/>
  <c r="A46" i="8"/>
  <c r="A50" i="8"/>
  <c r="A51" i="8"/>
  <c r="A54" i="8"/>
  <c r="A20" i="12"/>
  <c r="C20" i="12" s="1"/>
  <c r="A59" i="8"/>
  <c r="A63" i="8"/>
  <c r="A25" i="12"/>
  <c r="C25" i="12" s="1"/>
  <c r="A29" i="12"/>
  <c r="C29" i="12" s="1"/>
  <c r="A33" i="12"/>
  <c r="C33" i="12" s="1"/>
  <c r="A75" i="8"/>
  <c r="A380" i="8" s="1"/>
  <c r="C60" i="14" s="1"/>
  <c r="A82" i="8"/>
  <c r="A383" i="8" s="1"/>
  <c r="A88" i="8"/>
  <c r="A90" i="8"/>
  <c r="A91" i="8"/>
  <c r="A52" i="12"/>
  <c r="C52" i="12" s="1"/>
  <c r="A96" i="8"/>
  <c r="A101" i="8"/>
  <c r="A106" i="8"/>
  <c r="A56" i="12"/>
  <c r="C56" i="12" s="1"/>
  <c r="A59" i="12"/>
  <c r="C59" i="12" s="1"/>
  <c r="A63" i="12"/>
  <c r="C63" i="12" s="1"/>
  <c r="A113" i="8"/>
  <c r="A68" i="12"/>
  <c r="B68" i="12" s="1"/>
  <c r="A119" i="8"/>
  <c r="A71" i="12"/>
  <c r="C71" i="12" s="1"/>
  <c r="A130" i="8"/>
  <c r="A396" i="8" s="1"/>
  <c r="A133" i="8"/>
  <c r="A136" i="8"/>
  <c r="A140" i="8"/>
  <c r="A144" i="8"/>
  <c r="A76" i="12"/>
  <c r="C76" i="12" s="1"/>
  <c r="A147" i="8"/>
  <c r="A82" i="12"/>
  <c r="C82" i="12" s="1"/>
  <c r="A149" i="8"/>
  <c r="A402" i="8" s="1"/>
  <c r="A466" i="8" s="1"/>
  <c r="C255" i="14" s="1"/>
  <c r="A86" i="12"/>
  <c r="C86" i="12" s="1"/>
  <c r="A153" i="8"/>
  <c r="A154" i="8"/>
  <c r="A405" i="8" s="1"/>
  <c r="C133" i="14" s="1"/>
  <c r="A168" i="8"/>
  <c r="A88" i="12"/>
  <c r="C88" i="12" s="1"/>
  <c r="A90" i="12"/>
  <c r="C90" i="12" s="1"/>
  <c r="A176" i="8"/>
  <c r="A107" i="12"/>
  <c r="C107" i="12" s="1"/>
  <c r="A178" i="8"/>
  <c r="A111" i="12"/>
  <c r="C111" i="12" s="1"/>
  <c r="A183" i="8"/>
  <c r="A414" i="8" s="1"/>
  <c r="A196" i="8"/>
  <c r="A200" i="8"/>
  <c r="A203" i="8"/>
  <c r="A205" i="8"/>
  <c r="A206" i="8"/>
  <c r="A208" i="8"/>
  <c r="A115" i="12"/>
  <c r="C115" i="12" s="1"/>
  <c r="A116" i="12"/>
  <c r="C116" i="12" s="1"/>
  <c r="A117" i="12"/>
  <c r="C117" i="12" s="1"/>
  <c r="A209" i="8"/>
  <c r="A118" i="12"/>
  <c r="C118" i="12" s="1"/>
  <c r="A119" i="12"/>
  <c r="C119" i="12" s="1"/>
  <c r="A120" i="12"/>
  <c r="C120" i="12" s="1"/>
  <c r="A211" i="8"/>
  <c r="A420" i="8" s="1"/>
  <c r="A121" i="12"/>
  <c r="A123" i="12"/>
  <c r="C123" i="12" s="1"/>
  <c r="A127" i="12"/>
  <c r="C127" i="12" s="1"/>
  <c r="A216" i="8"/>
  <c r="A421" i="8" s="1"/>
  <c r="A468" i="8" s="1"/>
  <c r="C257" i="14" s="1"/>
  <c r="A131" i="12"/>
  <c r="A219" i="8"/>
  <c r="A423" i="8" s="1"/>
  <c r="A228" i="8"/>
  <c r="A233" i="8"/>
  <c r="A242" i="8"/>
  <c r="A136" i="12"/>
  <c r="C136" i="12" s="1"/>
  <c r="A247" i="8"/>
  <c r="A250" i="8"/>
  <c r="A141" i="12"/>
  <c r="B141" i="12" s="1"/>
  <c r="A252" i="8"/>
  <c r="A145" i="12"/>
  <c r="B145" i="12" s="1"/>
  <c r="A149" i="12"/>
  <c r="B149" i="12" s="1"/>
  <c r="A254" i="8"/>
  <c r="A433" i="8" s="1"/>
  <c r="A153" i="12"/>
  <c r="B153" i="12" s="1"/>
  <c r="A155" i="12"/>
  <c r="B155" i="12" s="1"/>
  <c r="A159" i="12"/>
  <c r="B159" i="12" s="1"/>
  <c r="A163" i="12"/>
  <c r="B163" i="12" s="1"/>
  <c r="A259" i="8"/>
  <c r="A165" i="12"/>
  <c r="B165" i="12" s="1"/>
  <c r="A169" i="12"/>
  <c r="B169" i="12" s="1"/>
  <c r="A173" i="12"/>
  <c r="B173" i="12" s="1"/>
  <c r="A264" i="8"/>
  <c r="A436" i="8" s="1"/>
  <c r="C208" i="14" s="1"/>
  <c r="A266" i="8"/>
  <c r="A272" i="8"/>
  <c r="A274" i="8"/>
  <c r="A439" i="8" s="1"/>
  <c r="C211" i="14" s="1"/>
  <c r="A175" i="12"/>
  <c r="B175" i="12" s="1"/>
  <c r="A177" i="12"/>
  <c r="B177" i="12" s="1"/>
  <c r="A280" i="8"/>
  <c r="A187" i="12"/>
  <c r="B187" i="12" s="1"/>
  <c r="A287" i="8"/>
  <c r="A443" i="8" s="1"/>
  <c r="C215" i="14" s="1"/>
  <c r="A190" i="12"/>
  <c r="B190" i="12" s="1"/>
  <c r="A290" i="8"/>
  <c r="A444" i="8" s="1"/>
  <c r="C216" i="14" s="1"/>
  <c r="A194" i="12"/>
  <c r="B194" i="12" s="1"/>
  <c r="A196" i="12"/>
  <c r="B196" i="12" s="1"/>
  <c r="A295" i="8"/>
  <c r="A300" i="8"/>
  <c r="A304" i="8"/>
  <c r="A447" i="8" s="1"/>
  <c r="C219" i="14" s="1"/>
  <c r="A309" i="8"/>
  <c r="A315" i="8"/>
  <c r="A318" i="8"/>
  <c r="A320" i="8"/>
  <c r="A206" i="12"/>
  <c r="B206" i="12" s="1"/>
  <c r="A210" i="12"/>
  <c r="B210" i="12" s="1"/>
  <c r="A327" i="8"/>
  <c r="A214" i="12"/>
  <c r="B214" i="12" s="1"/>
  <c r="A218" i="12"/>
  <c r="B218" i="12" s="1"/>
  <c r="A329" i="8"/>
  <c r="A452" i="8" s="1"/>
  <c r="C224" i="14" s="1"/>
  <c r="A222" i="12"/>
  <c r="B222" i="12" s="1"/>
  <c r="A225" i="12"/>
  <c r="B225" i="12" s="1"/>
  <c r="A341" i="8"/>
  <c r="A343" i="8"/>
  <c r="A453" i="8" s="1"/>
  <c r="C225" i="14" s="1"/>
  <c r="C246" i="14" s="1"/>
  <c r="A226" i="12"/>
  <c r="A345" i="8"/>
  <c r="A228" i="12"/>
  <c r="B228" i="12" s="1"/>
  <c r="A238" i="12"/>
  <c r="B238" i="12" s="1"/>
  <c r="R2409" i="5"/>
  <c r="J2457" i="5"/>
  <c r="R2457" i="5"/>
  <c r="R2456" i="5" s="1"/>
  <c r="A8" i="8"/>
  <c r="A362" i="8" s="1"/>
  <c r="A462" i="8" s="1"/>
  <c r="C251" i="14" s="1"/>
  <c r="A5" i="12"/>
  <c r="C5" i="12" s="1"/>
  <c r="B185" i="12"/>
  <c r="C39" i="12"/>
  <c r="C38" i="12"/>
  <c r="B188" i="12"/>
  <c r="C102" i="12"/>
  <c r="B184" i="12"/>
  <c r="C43" i="12"/>
  <c r="B232" i="12"/>
  <c r="C45" i="12"/>
  <c r="C98" i="12"/>
  <c r="C48" i="12"/>
  <c r="C97" i="12"/>
  <c r="C47" i="12"/>
  <c r="C100" i="12"/>
  <c r="C91" i="12"/>
  <c r="C93" i="12"/>
  <c r="C42" i="12"/>
  <c r="B182" i="12"/>
  <c r="B181" i="12"/>
  <c r="C101" i="12"/>
  <c r="C94" i="12"/>
  <c r="C46" i="12"/>
  <c r="C103" i="12"/>
  <c r="C96" i="12"/>
  <c r="C92" i="12"/>
  <c r="B233" i="12"/>
  <c r="B231" i="12"/>
  <c r="B234" i="12"/>
  <c r="B183" i="12"/>
  <c r="B180" i="12"/>
  <c r="C44" i="12"/>
  <c r="C104" i="12"/>
  <c r="C105" i="12"/>
  <c r="C41" i="12"/>
  <c r="C99" i="12"/>
  <c r="C40" i="12"/>
  <c r="B189" i="12"/>
  <c r="C37" i="12"/>
  <c r="C95" i="12"/>
  <c r="B235" i="12"/>
  <c r="C184" i="12"/>
  <c r="C232" i="12"/>
  <c r="B186" i="12"/>
  <c r="C16" i="12"/>
  <c r="C17" i="12"/>
  <c r="B17" i="12"/>
  <c r="A9" i="8"/>
  <c r="A363" i="8" s="1"/>
  <c r="A16" i="8"/>
  <c r="A19" i="8"/>
  <c r="A22" i="8"/>
  <c r="A7" i="12"/>
  <c r="C7" i="12" s="1"/>
  <c r="A11" i="12"/>
  <c r="C11" i="12" s="1"/>
  <c r="A32" i="8"/>
  <c r="A33" i="8"/>
  <c r="A34" i="8"/>
  <c r="A372" i="8" s="1"/>
  <c r="C52" i="14" s="1"/>
  <c r="A40" i="8"/>
  <c r="A45" i="8"/>
  <c r="A49" i="8"/>
  <c r="A53" i="8"/>
  <c r="A376" i="8" s="1"/>
  <c r="C56" i="14" s="1"/>
  <c r="A19" i="12"/>
  <c r="C19" i="12" s="1"/>
  <c r="A21" i="12"/>
  <c r="C21" i="12" s="1"/>
  <c r="A58" i="8"/>
  <c r="A377" i="8" s="1"/>
  <c r="C57" i="14" s="1"/>
  <c r="A62" i="8"/>
  <c r="A26" i="12"/>
  <c r="C26" i="12" s="1"/>
  <c r="A67" i="8"/>
  <c r="A30" i="12"/>
  <c r="C30" i="12" s="1"/>
  <c r="A34" i="12"/>
  <c r="C34" i="12" s="1"/>
  <c r="A79" i="8"/>
  <c r="A81" i="8"/>
  <c r="A382" i="8" s="1"/>
  <c r="A464" i="8" s="1"/>
  <c r="C253" i="14" s="1"/>
  <c r="A49" i="12"/>
  <c r="A86" i="8"/>
  <c r="A87" i="8"/>
  <c r="A384" i="8" s="1"/>
  <c r="A93" i="8"/>
  <c r="A95" i="8"/>
  <c r="A386" i="8" s="1"/>
  <c r="A99" i="8"/>
  <c r="A100" i="8"/>
  <c r="A387" i="8" s="1"/>
  <c r="A103" i="8"/>
  <c r="A108" i="8"/>
  <c r="A389" i="8" s="1"/>
  <c r="A57" i="12"/>
  <c r="C57" i="12" s="1"/>
  <c r="A60" i="12"/>
  <c r="C60" i="12" s="1"/>
  <c r="A112" i="8"/>
  <c r="A390" i="8" s="1"/>
  <c r="A115" i="8"/>
  <c r="A65" i="12"/>
  <c r="B65" i="12" s="1"/>
  <c r="A69" i="12"/>
  <c r="B69" i="12" s="1"/>
  <c r="A118" i="8"/>
  <c r="A392" i="8" s="1"/>
  <c r="A70" i="12"/>
  <c r="C70" i="12" s="1"/>
  <c r="A72" i="12"/>
  <c r="C72" i="12" s="1"/>
  <c r="A122" i="8"/>
  <c r="A125" i="8"/>
  <c r="A127" i="8"/>
  <c r="A129" i="8"/>
  <c r="A132" i="8"/>
  <c r="A397" i="8" s="1"/>
  <c r="A135" i="8"/>
  <c r="A398" i="8" s="1"/>
  <c r="A139" i="8"/>
  <c r="A399" i="8" s="1"/>
  <c r="A142" i="8"/>
  <c r="A143" i="8"/>
  <c r="A400" i="8" s="1"/>
  <c r="A75" i="12"/>
  <c r="C75" i="12" s="1"/>
  <c r="A77" i="12"/>
  <c r="C77" i="12" s="1"/>
  <c r="A83" i="12"/>
  <c r="C83" i="12" s="1"/>
  <c r="A152" i="8"/>
  <c r="A404" i="8" s="1"/>
  <c r="C132" i="14" s="1"/>
  <c r="A156" i="8"/>
  <c r="A159" i="8"/>
  <c r="A160" i="8"/>
  <c r="A165" i="8"/>
  <c r="A167" i="8"/>
  <c r="A409" i="8" s="1"/>
  <c r="C137" i="14" s="1"/>
  <c r="A87" i="12"/>
  <c r="C87" i="12" s="1"/>
  <c r="A175" i="8"/>
  <c r="A411" i="8" s="1"/>
  <c r="C139" i="14" s="1"/>
  <c r="A106" i="12"/>
  <c r="C106" i="12" s="1"/>
  <c r="A108" i="12"/>
  <c r="C108" i="12" s="1"/>
  <c r="A112" i="12"/>
  <c r="C112" i="12" s="1"/>
  <c r="A180" i="8"/>
  <c r="A182" i="8"/>
  <c r="A413" i="8" s="1"/>
  <c r="A467" i="8" s="1"/>
  <c r="C256" i="14" s="1"/>
  <c r="A113" i="12"/>
  <c r="A185" i="8"/>
  <c r="A187" i="8"/>
  <c r="A189" i="8"/>
  <c r="A192" i="8"/>
  <c r="A193" i="8"/>
  <c r="A199" i="8"/>
  <c r="A202" i="8"/>
  <c r="A418" i="8" s="1"/>
  <c r="A213" i="8"/>
  <c r="A124" i="12"/>
  <c r="C124" i="12" s="1"/>
  <c r="A215" i="8"/>
  <c r="A128" i="12"/>
  <c r="C128" i="12" s="1"/>
  <c r="A222" i="8"/>
  <c r="A227" i="8"/>
  <c r="A426" i="8" s="1"/>
  <c r="A231" i="8"/>
  <c r="A235" i="8"/>
  <c r="A236" i="8"/>
  <c r="A239" i="8"/>
  <c r="A241" i="8"/>
  <c r="A137" i="12"/>
  <c r="C137" i="12" s="1"/>
  <c r="A246" i="8"/>
  <c r="A142" i="12"/>
  <c r="B142" i="12" s="1"/>
  <c r="A146" i="12"/>
  <c r="B146" i="12" s="1"/>
  <c r="A150" i="12"/>
  <c r="B150" i="12" s="1"/>
  <c r="A156" i="12"/>
  <c r="B156" i="12" s="1"/>
  <c r="A160" i="12"/>
  <c r="B160" i="12" s="1"/>
  <c r="A258" i="8"/>
  <c r="A434" i="8" s="1"/>
  <c r="A164" i="12"/>
  <c r="B164" i="12" s="1"/>
  <c r="A166" i="12"/>
  <c r="B166" i="12" s="1"/>
  <c r="A261" i="8"/>
  <c r="A170" i="12"/>
  <c r="B170" i="12" s="1"/>
  <c r="A263" i="8"/>
  <c r="A435" i="8" s="1"/>
  <c r="A469" i="8" s="1"/>
  <c r="C258" i="14" s="1"/>
  <c r="A174" i="12"/>
  <c r="A267" i="8"/>
  <c r="A269" i="8"/>
  <c r="A271" i="8"/>
  <c r="A438" i="8" s="1"/>
  <c r="C210" i="14" s="1"/>
  <c r="A178" i="12"/>
  <c r="B178" i="12" s="1"/>
  <c r="A289" i="8"/>
  <c r="A191" i="12"/>
  <c r="B191" i="12" s="1"/>
  <c r="A292" i="8"/>
  <c r="A294" i="8"/>
  <c r="A445" i="8" s="1"/>
  <c r="C217" i="14" s="1"/>
  <c r="A299" i="8"/>
  <c r="A198" i="12"/>
  <c r="C198" i="12" s="1"/>
  <c r="A308" i="8"/>
  <c r="A448" i="8" s="1"/>
  <c r="C220" i="14" s="1"/>
  <c r="A311" i="8"/>
  <c r="A303" i="8"/>
  <c r="A201" i="12"/>
  <c r="C201" i="12" s="1"/>
  <c r="A317" i="8"/>
  <c r="A319" i="8"/>
  <c r="A450" i="8" s="1"/>
  <c r="C222" i="14" s="1"/>
  <c r="A322" i="8"/>
  <c r="A207" i="12"/>
  <c r="B207" i="12" s="1"/>
  <c r="A326" i="8"/>
  <c r="A211" i="12"/>
  <c r="B211" i="12" s="1"/>
  <c r="A215" i="12"/>
  <c r="B215" i="12" s="1"/>
  <c r="A219" i="12"/>
  <c r="B219" i="12" s="1"/>
  <c r="A332" i="8"/>
  <c r="A334" i="8"/>
  <c r="A336" i="8"/>
  <c r="A338" i="8"/>
  <c r="A229" i="12"/>
  <c r="B229" i="12" s="1"/>
  <c r="A353" i="8"/>
  <c r="A236" i="12"/>
  <c r="B236" i="12" s="1"/>
  <c r="A12" i="8"/>
  <c r="A15" i="8"/>
  <c r="A365" i="8" s="1"/>
  <c r="A18" i="8"/>
  <c r="A366" i="8" s="1"/>
  <c r="A21" i="8"/>
  <c r="A6" i="12"/>
  <c r="C6" i="12" s="1"/>
  <c r="A8" i="12"/>
  <c r="C8" i="12" s="1"/>
  <c r="A12" i="12"/>
  <c r="C12" i="12" s="1"/>
  <c r="A25" i="8"/>
  <c r="A14" i="12"/>
  <c r="C14" i="12" s="1"/>
  <c r="A29" i="8"/>
  <c r="A31" i="8"/>
  <c r="A371" i="8" s="1"/>
  <c r="C51" i="14" s="1"/>
  <c r="A36" i="8"/>
  <c r="A39" i="8"/>
  <c r="A44" i="8"/>
  <c r="A48" i="8"/>
  <c r="A55" i="8"/>
  <c r="A56" i="8"/>
  <c r="A57" i="8"/>
  <c r="A61" i="8"/>
  <c r="A66" i="8"/>
  <c r="A23" i="12"/>
  <c r="C23" i="12" s="1"/>
  <c r="A27" i="12"/>
  <c r="C27" i="12" s="1"/>
  <c r="A31" i="12"/>
  <c r="C31" i="12" s="1"/>
  <c r="A69" i="8"/>
  <c r="A35" i="12"/>
  <c r="C35" i="12" s="1"/>
  <c r="A78" i="8"/>
  <c r="A381" i="8" s="1"/>
  <c r="C61" i="14" s="1"/>
  <c r="A89" i="8"/>
  <c r="A92" i="8"/>
  <c r="A385" i="8" s="1"/>
  <c r="A50" i="12"/>
  <c r="C50" i="12" s="1"/>
  <c r="A98" i="8"/>
  <c r="A102" i="8"/>
  <c r="A105" i="8"/>
  <c r="A107" i="8"/>
  <c r="A54" i="12"/>
  <c r="C54" i="12" s="1"/>
  <c r="A61" i="12"/>
  <c r="C61" i="12" s="1"/>
  <c r="A114" i="8"/>
  <c r="A391" i="8" s="1"/>
  <c r="A64" i="12"/>
  <c r="B64" i="12" s="1"/>
  <c r="A66" i="12"/>
  <c r="B66" i="12" s="1"/>
  <c r="A117" i="8"/>
  <c r="A73" i="12"/>
  <c r="C73" i="12" s="1"/>
  <c r="A121" i="8"/>
  <c r="A124" i="8"/>
  <c r="A395" i="8" s="1"/>
  <c r="A141" i="8"/>
  <c r="A78" i="12"/>
  <c r="C78" i="12" s="1"/>
  <c r="A146" i="8"/>
  <c r="A80" i="12"/>
  <c r="C80" i="12" s="1"/>
  <c r="A148" i="8"/>
  <c r="A84" i="12"/>
  <c r="C84" i="12" s="1"/>
  <c r="A151" i="8"/>
  <c r="A158" i="8"/>
  <c r="A162" i="8"/>
  <c r="A163" i="8"/>
  <c r="A164" i="8"/>
  <c r="A408" i="8" s="1"/>
  <c r="C136" i="14" s="1"/>
  <c r="A177" i="8"/>
  <c r="A109" i="12"/>
  <c r="C109" i="12" s="1"/>
  <c r="A179" i="8"/>
  <c r="A412" i="8" s="1"/>
  <c r="C140" i="14" s="1"/>
  <c r="A191" i="8"/>
  <c r="A415" i="8" s="1"/>
  <c r="A195" i="8"/>
  <c r="A198" i="8"/>
  <c r="A204" i="8"/>
  <c r="A207" i="8"/>
  <c r="A419" i="8" s="1"/>
  <c r="A114" i="12"/>
  <c r="C114" i="12" s="1"/>
  <c r="A125" i="12"/>
  <c r="C125" i="12" s="1"/>
  <c r="A129" i="12"/>
  <c r="C129" i="12" s="1"/>
  <c r="A218" i="8"/>
  <c r="A221" i="8"/>
  <c r="A424" i="8" s="1"/>
  <c r="A225" i="8"/>
  <c r="A226" i="8"/>
  <c r="A230" i="8"/>
  <c r="A427" i="8" s="1"/>
  <c r="A132" i="12"/>
  <c r="A232" i="8"/>
  <c r="A133" i="12"/>
  <c r="C133" i="12" s="1"/>
  <c r="A234" i="8"/>
  <c r="A428" i="8" s="1"/>
  <c r="A238" i="8"/>
  <c r="A240" i="8"/>
  <c r="A430" i="8" s="1"/>
  <c r="A244" i="8"/>
  <c r="A245" i="8"/>
  <c r="A431" i="8" s="1"/>
  <c r="A249" i="8"/>
  <c r="A139" i="12"/>
  <c r="B139" i="12" s="1"/>
  <c r="A251" i="8"/>
  <c r="A143" i="12"/>
  <c r="B143" i="12" s="1"/>
  <c r="A147" i="12"/>
  <c r="B147" i="12" s="1"/>
  <c r="A151" i="12"/>
  <c r="B151" i="12" s="1"/>
  <c r="A157" i="12"/>
  <c r="B157" i="12" s="1"/>
  <c r="A161" i="12"/>
  <c r="B161" i="12" s="1"/>
  <c r="A260" i="8"/>
  <c r="A167" i="12"/>
  <c r="B167" i="12" s="1"/>
  <c r="A171" i="12"/>
  <c r="B171" i="12" s="1"/>
  <c r="A268" i="8"/>
  <c r="A437" i="8" s="1"/>
  <c r="C209" i="14" s="1"/>
  <c r="A273" i="8"/>
  <c r="A179" i="12"/>
  <c r="B179" i="12" s="1"/>
  <c r="A285" i="8"/>
  <c r="A286" i="8"/>
  <c r="A192" i="12"/>
  <c r="B192" i="12" s="1"/>
  <c r="A298" i="8"/>
  <c r="A446" i="8" s="1"/>
  <c r="C218" i="14" s="1"/>
  <c r="A197" i="12"/>
  <c r="C197" i="12" s="1"/>
  <c r="A199" i="12"/>
  <c r="C199" i="12" s="1"/>
  <c r="A306" i="8"/>
  <c r="A302" i="8"/>
  <c r="A202" i="12"/>
  <c r="C202" i="12" s="1"/>
  <c r="A314" i="8"/>
  <c r="A316" i="8"/>
  <c r="A324" i="8"/>
  <c r="A204" i="12"/>
  <c r="B204" i="12" s="1"/>
  <c r="A325" i="8"/>
  <c r="A208" i="12"/>
  <c r="B208" i="12" s="1"/>
  <c r="A212" i="12"/>
  <c r="B212" i="12" s="1"/>
  <c r="A216" i="12"/>
  <c r="B216" i="12" s="1"/>
  <c r="A330" i="8"/>
  <c r="A337" i="8"/>
  <c r="A223" i="12"/>
  <c r="B223" i="12" s="1"/>
  <c r="A340" i="8"/>
  <c r="A348" i="8"/>
  <c r="A350" i="8"/>
  <c r="A454" i="8" s="1"/>
  <c r="C226" i="14" s="1"/>
  <c r="C247" i="14" s="1"/>
  <c r="A230" i="12"/>
  <c r="B230" i="12" s="1"/>
  <c r="A77" i="8"/>
  <c r="R2413" i="5"/>
  <c r="J2413" i="5" s="1"/>
  <c r="R2414" i="5"/>
  <c r="J2414" i="5" s="1"/>
  <c r="A10" i="8"/>
  <c r="A11" i="8"/>
  <c r="A364" i="8" s="1"/>
  <c r="A14" i="8"/>
  <c r="A20" i="8"/>
  <c r="A9" i="12"/>
  <c r="C9" i="12" s="1"/>
  <c r="A24" i="8"/>
  <c r="A368" i="8" s="1"/>
  <c r="A13" i="12"/>
  <c r="C13" i="12" s="1"/>
  <c r="A15" i="12"/>
  <c r="C15" i="12" s="1"/>
  <c r="A28" i="8"/>
  <c r="A370" i="8" s="1"/>
  <c r="C50" i="14" s="1"/>
  <c r="A38" i="8"/>
  <c r="A43" i="8"/>
  <c r="A374" i="8" s="1"/>
  <c r="C54" i="14" s="1"/>
  <c r="A47" i="8"/>
  <c r="A375" i="8" s="1"/>
  <c r="C55" i="14" s="1"/>
  <c r="A52" i="8"/>
  <c r="A60" i="8"/>
  <c r="A64" i="8"/>
  <c r="A65" i="8"/>
  <c r="A378" i="8" s="1"/>
  <c r="C58" i="14" s="1"/>
  <c r="A22" i="12"/>
  <c r="C22" i="12" s="1"/>
  <c r="A24" i="12"/>
  <c r="C24" i="12" s="1"/>
  <c r="A28" i="12"/>
  <c r="C28" i="12" s="1"/>
  <c r="A68" i="8"/>
  <c r="A32" i="12"/>
  <c r="C32" i="12" s="1"/>
  <c r="A36" i="12"/>
  <c r="C36" i="12" s="1"/>
  <c r="A76" i="8"/>
  <c r="A80" i="8"/>
  <c r="A83" i="8"/>
  <c r="A84" i="8"/>
  <c r="A85" i="8"/>
  <c r="A94" i="8"/>
  <c r="A51" i="12"/>
  <c r="C51" i="12" s="1"/>
  <c r="A97" i="8"/>
  <c r="A104" i="8"/>
  <c r="A388" i="8" s="1"/>
  <c r="A53" i="12"/>
  <c r="C53" i="12" s="1"/>
  <c r="A55" i="12"/>
  <c r="C55" i="12" s="1"/>
  <c r="A109" i="8"/>
  <c r="A58" i="12"/>
  <c r="C58" i="12" s="1"/>
  <c r="A110" i="8"/>
  <c r="A62" i="12"/>
  <c r="C62" i="12" s="1"/>
  <c r="A116" i="8"/>
  <c r="A67" i="12"/>
  <c r="B67" i="12" s="1"/>
  <c r="A120" i="8"/>
  <c r="A393" i="8" s="1"/>
  <c r="A123" i="8"/>
  <c r="A394" i="8" s="1"/>
  <c r="A465" i="8" s="1"/>
  <c r="C254" i="14" s="1"/>
  <c r="A74" i="12"/>
  <c r="A126" i="8"/>
  <c r="A128" i="8"/>
  <c r="A131" i="8"/>
  <c r="A134" i="8"/>
  <c r="A137" i="8"/>
  <c r="A138" i="8"/>
  <c r="A145" i="8"/>
  <c r="A401" i="8" s="1"/>
  <c r="A79" i="12"/>
  <c r="C79" i="12" s="1"/>
  <c r="A81" i="12"/>
  <c r="C81" i="12" s="1"/>
  <c r="A85" i="12"/>
  <c r="C85" i="12" s="1"/>
  <c r="A150" i="8"/>
  <c r="A403" i="8" s="1"/>
  <c r="C131" i="14" s="1"/>
  <c r="A155" i="8"/>
  <c r="A157" i="8"/>
  <c r="A406" i="8" s="1"/>
  <c r="C134" i="14" s="1"/>
  <c r="A161" i="8"/>
  <c r="A407" i="8" s="1"/>
  <c r="C135" i="14" s="1"/>
  <c r="A166" i="8"/>
  <c r="A89" i="12"/>
  <c r="C89" i="12" s="1"/>
  <c r="A110" i="12"/>
  <c r="C110" i="12" s="1"/>
  <c r="A181" i="8"/>
  <c r="A184" i="8"/>
  <c r="A186" i="8"/>
  <c r="A188" i="8"/>
  <c r="A190" i="8"/>
  <c r="A194" i="8"/>
  <c r="A416" i="8" s="1"/>
  <c r="A197" i="8"/>
  <c r="A417" i="8" s="1"/>
  <c r="A201" i="8"/>
  <c r="A212" i="8"/>
  <c r="A122" i="12"/>
  <c r="C122" i="12" s="1"/>
  <c r="C121" i="12" s="1"/>
  <c r="A214" i="8"/>
  <c r="A126" i="12"/>
  <c r="C126" i="12" s="1"/>
  <c r="A130" i="12"/>
  <c r="C130" i="12" s="1"/>
  <c r="A217" i="8"/>
  <c r="A422" i="8" s="1"/>
  <c r="A220" i="8"/>
  <c r="A223" i="8"/>
  <c r="A224" i="8"/>
  <c r="A425" i="8" s="1"/>
  <c r="A229" i="8"/>
  <c r="A134" i="12"/>
  <c r="C134" i="12" s="1"/>
  <c r="A237" i="8"/>
  <c r="A429" i="8" s="1"/>
  <c r="A243" i="8"/>
  <c r="A135" i="12"/>
  <c r="C135" i="12" s="1"/>
  <c r="A248" i="8"/>
  <c r="A432" i="8" s="1"/>
  <c r="A138" i="12"/>
  <c r="B138" i="12" s="1"/>
  <c r="A140" i="12"/>
  <c r="B140" i="12" s="1"/>
  <c r="A144" i="12"/>
  <c r="B144" i="12" s="1"/>
  <c r="A253" i="8"/>
  <c r="A148" i="12"/>
  <c r="B148" i="12" s="1"/>
  <c r="A152" i="12"/>
  <c r="B152" i="12" s="1"/>
  <c r="A255" i="8"/>
  <c r="A154" i="12"/>
  <c r="B154" i="12" s="1"/>
  <c r="A256" i="8"/>
  <c r="A158" i="12"/>
  <c r="B158" i="12" s="1"/>
  <c r="A257" i="8"/>
  <c r="A162" i="12"/>
  <c r="B162" i="12" s="1"/>
  <c r="A168" i="12"/>
  <c r="B168" i="12" s="1"/>
  <c r="A262" i="8"/>
  <c r="A172" i="12"/>
  <c r="B172" i="12" s="1"/>
  <c r="A265" i="8"/>
  <c r="A270" i="8"/>
  <c r="A275" i="8"/>
  <c r="A176" i="12"/>
  <c r="B176" i="12" s="1"/>
  <c r="A284" i="8"/>
  <c r="A442" i="8" s="1"/>
  <c r="C214" i="14" s="1"/>
  <c r="A288" i="8"/>
  <c r="A193" i="12"/>
  <c r="B193" i="12" s="1"/>
  <c r="A291" i="8"/>
  <c r="A293" i="8"/>
  <c r="A195" i="12"/>
  <c r="B195" i="12" s="1"/>
  <c r="A296" i="8"/>
  <c r="A200" i="12"/>
  <c r="C200" i="12" s="1"/>
  <c r="A305" i="8"/>
  <c r="A307" i="8"/>
  <c r="A310" i="8"/>
  <c r="A312" i="8"/>
  <c r="A313" i="8"/>
  <c r="A449" i="8" s="1"/>
  <c r="C221" i="14" s="1"/>
  <c r="A321" i="8"/>
  <c r="A323" i="8"/>
  <c r="A451" i="8" s="1"/>
  <c r="C223" i="14" s="1"/>
  <c r="A203" i="12"/>
  <c r="A205" i="12"/>
  <c r="B205" i="12" s="1"/>
  <c r="A209" i="12"/>
  <c r="B209" i="12" s="1"/>
  <c r="A213" i="12"/>
  <c r="B213" i="12" s="1"/>
  <c r="A328" i="8"/>
  <c r="A217" i="12"/>
  <c r="B217" i="12" s="1"/>
  <c r="A331" i="8"/>
  <c r="A333" i="8"/>
  <c r="A221" i="12"/>
  <c r="B221" i="12" s="1"/>
  <c r="B220" i="12" s="1"/>
  <c r="A335" i="8"/>
  <c r="A224" i="12"/>
  <c r="B224" i="12" s="1"/>
  <c r="A339" i="8"/>
  <c r="A342" i="8"/>
  <c r="A349" i="8"/>
  <c r="A344" i="8"/>
  <c r="A346" i="8"/>
  <c r="A347" i="8"/>
  <c r="A227" i="12"/>
  <c r="B227" i="12" s="1"/>
  <c r="B226" i="12" s="1"/>
  <c r="A237" i="12"/>
  <c r="B237" i="12" s="1"/>
  <c r="H1782" i="5"/>
  <c r="E1782" i="5"/>
  <c r="F1782" i="5"/>
  <c r="D2431" i="5"/>
  <c r="D1782" i="5"/>
  <c r="G1782" i="5"/>
  <c r="E2431" i="5"/>
  <c r="H1791" i="5"/>
  <c r="F1891" i="5"/>
  <c r="H1851" i="5"/>
  <c r="H1897" i="5"/>
  <c r="G1720" i="5"/>
  <c r="E1802" i="5"/>
  <c r="D2252" i="5"/>
  <c r="E1930" i="5"/>
  <c r="S234" i="8"/>
  <c r="S428" i="8" s="1"/>
  <c r="U289" i="8"/>
  <c r="T289" i="8"/>
  <c r="U290" i="8"/>
  <c r="U444" i="8" s="1"/>
  <c r="T290" i="8"/>
  <c r="T444" i="8" s="1"/>
  <c r="U294" i="8"/>
  <c r="U445" i="8" s="1"/>
  <c r="T294" i="8"/>
  <c r="T445" i="8" s="1"/>
  <c r="U296" i="8"/>
  <c r="T296" i="8"/>
  <c r="U298" i="8"/>
  <c r="U446" i="8" s="1"/>
  <c r="T298" i="8"/>
  <c r="T446" i="8" s="1"/>
  <c r="U300" i="8"/>
  <c r="T300" i="8"/>
  <c r="U302" i="8"/>
  <c r="T302" i="8"/>
  <c r="S313" i="8"/>
  <c r="S449" i="8" s="1"/>
  <c r="R450" i="8"/>
  <c r="U320" i="8"/>
  <c r="T320" i="8"/>
  <c r="U323" i="8"/>
  <c r="U451" i="8" s="1"/>
  <c r="T323" i="8"/>
  <c r="T451" i="8" s="1"/>
  <c r="U326" i="8"/>
  <c r="T326" i="8"/>
  <c r="U329" i="8"/>
  <c r="U452" i="8" s="1"/>
  <c r="T329" i="8"/>
  <c r="T452" i="8" s="1"/>
  <c r="U337" i="8"/>
  <c r="T337" i="8"/>
  <c r="U340" i="8"/>
  <c r="T340" i="8"/>
  <c r="U349" i="8"/>
  <c r="T349" i="8"/>
  <c r="R453" i="8"/>
  <c r="U344" i="8"/>
  <c r="T344" i="8"/>
  <c r="U346" i="8"/>
  <c r="T346" i="8"/>
  <c r="U347" i="8"/>
  <c r="T347" i="8"/>
  <c r="U350" i="8"/>
  <c r="U454" i="8" s="1"/>
  <c r="T350" i="8"/>
  <c r="T454" i="8" s="1"/>
  <c r="S280" i="8"/>
  <c r="U284" i="8"/>
  <c r="U442" i="8" s="1"/>
  <c r="T284" i="8"/>
  <c r="T442" i="8" s="1"/>
  <c r="U287" i="8"/>
  <c r="U443" i="8" s="1"/>
  <c r="T287" i="8"/>
  <c r="T443" i="8" s="1"/>
  <c r="U291" i="8"/>
  <c r="T291" i="8"/>
  <c r="U293" i="8"/>
  <c r="T293" i="8"/>
  <c r="R445" i="8"/>
  <c r="U295" i="8"/>
  <c r="T295" i="8"/>
  <c r="R446" i="8"/>
  <c r="U299" i="8"/>
  <c r="T299" i="8"/>
  <c r="U304" i="8"/>
  <c r="U447" i="8" s="1"/>
  <c r="T304" i="8"/>
  <c r="T447" i="8" s="1"/>
  <c r="U306" i="8"/>
  <c r="T306" i="8"/>
  <c r="U308" i="8"/>
  <c r="U448" i="8" s="1"/>
  <c r="T308" i="8"/>
  <c r="T448" i="8" s="1"/>
  <c r="U310" i="8"/>
  <c r="T310" i="8"/>
  <c r="U312" i="8"/>
  <c r="T312" i="8"/>
  <c r="U315" i="8"/>
  <c r="T315" i="8"/>
  <c r="U318" i="8"/>
  <c r="T318" i="8"/>
  <c r="S319" i="8"/>
  <c r="S450" i="8" s="1"/>
  <c r="U322" i="8"/>
  <c r="T322" i="8"/>
  <c r="R451" i="8"/>
  <c r="U324" i="8"/>
  <c r="T324" i="8"/>
  <c r="U325" i="8"/>
  <c r="T325" i="8"/>
  <c r="U330" i="8"/>
  <c r="T330" i="8"/>
  <c r="U331" i="8"/>
  <c r="T331" i="8"/>
  <c r="U333" i="8"/>
  <c r="T333" i="8"/>
  <c r="U335" i="8"/>
  <c r="T335" i="8"/>
  <c r="U339" i="8"/>
  <c r="T339" i="8"/>
  <c r="U342" i="8"/>
  <c r="T342" i="8"/>
  <c r="S343" i="8"/>
  <c r="S453" i="8" s="1"/>
  <c r="U345" i="8"/>
  <c r="T345" i="8"/>
  <c r="R454" i="8"/>
  <c r="U234" i="8"/>
  <c r="U428" i="8" s="1"/>
  <c r="T234" i="8"/>
  <c r="T428" i="8" s="1"/>
  <c r="U285" i="8"/>
  <c r="T285" i="8"/>
  <c r="U286" i="8"/>
  <c r="T286" i="8"/>
  <c r="U288" i="8"/>
  <c r="T288" i="8"/>
  <c r="S290" i="8"/>
  <c r="S294" i="8"/>
  <c r="S445" i="8" s="1"/>
  <c r="S298" i="8"/>
  <c r="S446" i="8" s="1"/>
  <c r="R447" i="8"/>
  <c r="U305" i="8"/>
  <c r="T305" i="8"/>
  <c r="U307" i="8"/>
  <c r="T307" i="8"/>
  <c r="R448" i="8"/>
  <c r="U309" i="8"/>
  <c r="T309" i="8"/>
  <c r="U313" i="8"/>
  <c r="U449" i="8" s="1"/>
  <c r="T313" i="8"/>
  <c r="T449" i="8" s="1"/>
  <c r="U317" i="8"/>
  <c r="T317" i="8"/>
  <c r="S323" i="8"/>
  <c r="S451" i="8" s="1"/>
  <c r="U328" i="8"/>
  <c r="T328" i="8"/>
  <c r="S329" i="8"/>
  <c r="S452" i="8" s="1"/>
  <c r="U341" i="8"/>
  <c r="T341" i="8"/>
  <c r="S350" i="8"/>
  <c r="S454" i="8" s="1"/>
  <c r="R428" i="8"/>
  <c r="U280" i="8"/>
  <c r="T280" i="8"/>
  <c r="T441" i="8" s="1"/>
  <c r="S284" i="8"/>
  <c r="S287" i="8"/>
  <c r="U292" i="8"/>
  <c r="T292" i="8"/>
  <c r="S304" i="8"/>
  <c r="S447" i="8" s="1"/>
  <c r="S308" i="8"/>
  <c r="S448" i="8" s="1"/>
  <c r="U311" i="8"/>
  <c r="T311" i="8"/>
  <c r="U303" i="8"/>
  <c r="T303" i="8"/>
  <c r="U314" i="8"/>
  <c r="T314" i="8"/>
  <c r="U316" i="8"/>
  <c r="T316" i="8"/>
  <c r="U319" i="8"/>
  <c r="U450" i="8" s="1"/>
  <c r="T319" i="8"/>
  <c r="T450" i="8" s="1"/>
  <c r="U321" i="8"/>
  <c r="T321" i="8"/>
  <c r="U327" i="8"/>
  <c r="T327" i="8"/>
  <c r="U332" i="8"/>
  <c r="T332" i="8"/>
  <c r="U334" i="8"/>
  <c r="T334" i="8"/>
  <c r="U336" i="8"/>
  <c r="T336" i="8"/>
  <c r="U338" i="8"/>
  <c r="T338" i="8"/>
  <c r="U348" i="8"/>
  <c r="T348" i="8"/>
  <c r="U343" i="8"/>
  <c r="U453" i="8" s="1"/>
  <c r="T343" i="8"/>
  <c r="T453" i="8" s="1"/>
  <c r="S9" i="8"/>
  <c r="S363" i="8" s="1"/>
  <c r="U11" i="8"/>
  <c r="U364" i="8" s="1"/>
  <c r="T11" i="8"/>
  <c r="T364" i="8" s="1"/>
  <c r="S15" i="8"/>
  <c r="S365" i="8" s="1"/>
  <c r="U20" i="8"/>
  <c r="T20" i="8"/>
  <c r="U21" i="8"/>
  <c r="U367" i="8" s="1"/>
  <c r="T21" i="8"/>
  <c r="T367" i="8" s="1"/>
  <c r="U23" i="8"/>
  <c r="T23" i="8"/>
  <c r="U24" i="8"/>
  <c r="U368" i="8" s="1"/>
  <c r="T24" i="8"/>
  <c r="T368" i="8" s="1"/>
  <c r="U27" i="8"/>
  <c r="T27" i="8"/>
  <c r="T369" i="8" s="1"/>
  <c r="S28" i="8"/>
  <c r="S370" i="8" s="1"/>
  <c r="U31" i="8"/>
  <c r="U371" i="8" s="1"/>
  <c r="T31" i="8"/>
  <c r="T371" i="8" s="1"/>
  <c r="S34" i="8"/>
  <c r="S372" i="8" s="1"/>
  <c r="U37" i="8"/>
  <c r="U373" i="8" s="1"/>
  <c r="T37" i="8"/>
  <c r="T373" i="8" s="1"/>
  <c r="U39" i="8"/>
  <c r="T39" i="8"/>
  <c r="S43" i="8"/>
  <c r="S374" i="8" s="1"/>
  <c r="U50" i="8"/>
  <c r="T50" i="8"/>
  <c r="U51" i="8"/>
  <c r="T51" i="8"/>
  <c r="S53" i="8"/>
  <c r="S376" i="8" s="1"/>
  <c r="U61" i="8"/>
  <c r="T61" i="8"/>
  <c r="S65" i="8"/>
  <c r="S378" i="8" s="1"/>
  <c r="U68" i="8"/>
  <c r="T68" i="8"/>
  <c r="S75" i="8"/>
  <c r="S380" i="8" s="1"/>
  <c r="R381" i="8"/>
  <c r="U79" i="8"/>
  <c r="T79" i="8"/>
  <c r="R383" i="8"/>
  <c r="U83" i="8"/>
  <c r="T83" i="8"/>
  <c r="U84" i="8"/>
  <c r="T84" i="8"/>
  <c r="U85" i="8"/>
  <c r="T85" i="8"/>
  <c r="R384" i="8"/>
  <c r="U88" i="8"/>
  <c r="T88" i="8"/>
  <c r="U90" i="8"/>
  <c r="T90" i="8"/>
  <c r="U91" i="8"/>
  <c r="T91" i="8"/>
  <c r="R385" i="8"/>
  <c r="U93" i="8"/>
  <c r="T93" i="8"/>
  <c r="U98" i="8"/>
  <c r="T98" i="8"/>
  <c r="U100" i="8"/>
  <c r="U387" i="8" s="1"/>
  <c r="T100" i="8"/>
  <c r="T387" i="8" s="1"/>
  <c r="U106" i="8"/>
  <c r="T106" i="8"/>
  <c r="U116" i="8"/>
  <c r="T116" i="8"/>
  <c r="R392" i="8"/>
  <c r="U119" i="8"/>
  <c r="T119" i="8"/>
  <c r="U120" i="8"/>
  <c r="U393" i="8" s="1"/>
  <c r="T120" i="8"/>
  <c r="T393" i="8" s="1"/>
  <c r="U122" i="8"/>
  <c r="T122" i="8"/>
  <c r="R394" i="8"/>
  <c r="U126" i="8"/>
  <c r="T126" i="8"/>
  <c r="U128" i="8"/>
  <c r="T128" i="8"/>
  <c r="S130" i="8"/>
  <c r="S396" i="8" s="1"/>
  <c r="S132" i="8"/>
  <c r="S397" i="8" s="1"/>
  <c r="U139" i="8"/>
  <c r="U399" i="8" s="1"/>
  <c r="T139" i="8"/>
  <c r="T399" i="8" s="1"/>
  <c r="R400" i="8"/>
  <c r="U144" i="8"/>
  <c r="T144" i="8"/>
  <c r="U145" i="8"/>
  <c r="U401" i="8" s="1"/>
  <c r="T145" i="8"/>
  <c r="T401" i="8" s="1"/>
  <c r="U149" i="8"/>
  <c r="U402" i="8" s="1"/>
  <c r="T149" i="8"/>
  <c r="T402" i="8" s="1"/>
  <c r="S150" i="8"/>
  <c r="S403" i="8" s="1"/>
  <c r="R404" i="8"/>
  <c r="U153" i="8"/>
  <c r="T153" i="8"/>
  <c r="U156" i="8"/>
  <c r="T156" i="8"/>
  <c r="R406" i="8"/>
  <c r="U158" i="8"/>
  <c r="T158" i="8"/>
  <c r="S161" i="8"/>
  <c r="S407" i="8" s="1"/>
  <c r="U164" i="8"/>
  <c r="U408" i="8" s="1"/>
  <c r="T164" i="8"/>
  <c r="T408" i="8" s="1"/>
  <c r="S167" i="8"/>
  <c r="S409" i="8" s="1"/>
  <c r="U168" i="8"/>
  <c r="T168" i="8"/>
  <c r="T410" i="8" s="1"/>
  <c r="U173" i="8"/>
  <c r="U175" i="8"/>
  <c r="U411" i="8" s="1"/>
  <c r="T175" i="8"/>
  <c r="T411" i="8" s="1"/>
  <c r="U179" i="8"/>
  <c r="U412" i="8" s="1"/>
  <c r="T179" i="8"/>
  <c r="T412" i="8" s="1"/>
  <c r="S182" i="8"/>
  <c r="S413" i="8" s="1"/>
  <c r="U183" i="8"/>
  <c r="U414" i="8" s="1"/>
  <c r="T183" i="8"/>
  <c r="T414" i="8" s="1"/>
  <c r="U196" i="8"/>
  <c r="T196" i="8"/>
  <c r="U197" i="8"/>
  <c r="U417" i="8" s="1"/>
  <c r="T197" i="8"/>
  <c r="T417" i="8" s="1"/>
  <c r="U199" i="8"/>
  <c r="T199" i="8"/>
  <c r="U204" i="8"/>
  <c r="T204" i="8"/>
  <c r="U213" i="8"/>
  <c r="T213" i="8"/>
  <c r="U215" i="8"/>
  <c r="T215" i="8"/>
  <c r="U216" i="8"/>
  <c r="U421" i="8" s="1"/>
  <c r="T216" i="8"/>
  <c r="T421" i="8" s="1"/>
  <c r="S217" i="8"/>
  <c r="S422" i="8" s="1"/>
  <c r="S219" i="8"/>
  <c r="S423" i="8" s="1"/>
  <c r="R424" i="8"/>
  <c r="U222" i="8"/>
  <c r="T222" i="8"/>
  <c r="R425" i="8"/>
  <c r="U225" i="8"/>
  <c r="T225" i="8"/>
  <c r="U226" i="8"/>
  <c r="T226" i="8"/>
  <c r="U227" i="8"/>
  <c r="U426" i="8" s="1"/>
  <c r="T227" i="8"/>
  <c r="T426" i="8" s="1"/>
  <c r="U229" i="8"/>
  <c r="T229" i="8"/>
  <c r="U230" i="8"/>
  <c r="U427" i="8" s="1"/>
  <c r="T230" i="8"/>
  <c r="T427" i="8" s="1"/>
  <c r="U233" i="8"/>
  <c r="T233" i="8"/>
  <c r="R429" i="8"/>
  <c r="U238" i="8"/>
  <c r="T238" i="8"/>
  <c r="U243" i="8"/>
  <c r="T243" i="8"/>
  <c r="U245" i="8"/>
  <c r="U431" i="8" s="1"/>
  <c r="T245" i="8"/>
  <c r="T431" i="8" s="1"/>
  <c r="U247" i="8"/>
  <c r="T247" i="8"/>
  <c r="U248" i="8"/>
  <c r="U432" i="8" s="1"/>
  <c r="T248" i="8"/>
  <c r="T432" i="8" s="1"/>
  <c r="U254" i="8"/>
  <c r="U433" i="8" s="1"/>
  <c r="T254" i="8"/>
  <c r="T433" i="8" s="1"/>
  <c r="U258" i="8"/>
  <c r="U434" i="8" s="1"/>
  <c r="T258" i="8"/>
  <c r="T434" i="8" s="1"/>
  <c r="U262" i="8"/>
  <c r="T262" i="8"/>
  <c r="U267" i="8"/>
  <c r="T267" i="8"/>
  <c r="S268" i="8"/>
  <c r="S437" i="8" s="1"/>
  <c r="U271" i="8"/>
  <c r="U438" i="8" s="1"/>
  <c r="T271" i="8"/>
  <c r="T438" i="8" s="1"/>
  <c r="S274" i="8"/>
  <c r="S441" i="8" s="1"/>
  <c r="U8" i="8"/>
  <c r="U362" i="8" s="1"/>
  <c r="T8" i="8"/>
  <c r="T362" i="8" s="1"/>
  <c r="R364" i="8"/>
  <c r="U12" i="8"/>
  <c r="T12" i="8"/>
  <c r="U18" i="8"/>
  <c r="U366" i="8" s="1"/>
  <c r="T18" i="8"/>
  <c r="T366" i="8" s="1"/>
  <c r="R367" i="8"/>
  <c r="U22" i="8"/>
  <c r="T22" i="8"/>
  <c r="R368" i="8"/>
  <c r="U25" i="8"/>
  <c r="T25" i="8"/>
  <c r="R369" i="8"/>
  <c r="U30" i="8"/>
  <c r="T30" i="8"/>
  <c r="R371" i="8"/>
  <c r="U32" i="8"/>
  <c r="T32" i="8"/>
  <c r="U33" i="8"/>
  <c r="T33" i="8"/>
  <c r="U36" i="8"/>
  <c r="T36" i="8"/>
  <c r="R373" i="8"/>
  <c r="U38" i="8"/>
  <c r="T38" i="8"/>
  <c r="U46" i="8"/>
  <c r="T46" i="8"/>
  <c r="U47" i="8"/>
  <c r="U375" i="8" s="1"/>
  <c r="T47" i="8"/>
  <c r="T375" i="8" s="1"/>
  <c r="U49" i="8"/>
  <c r="T49" i="8"/>
  <c r="U55" i="8"/>
  <c r="T55" i="8"/>
  <c r="U56" i="8"/>
  <c r="T56" i="8"/>
  <c r="U57" i="8"/>
  <c r="T57" i="8"/>
  <c r="U58" i="8"/>
  <c r="U377" i="8" s="1"/>
  <c r="T58" i="8"/>
  <c r="T377" i="8" s="1"/>
  <c r="U60" i="8"/>
  <c r="T60" i="8"/>
  <c r="U64" i="8"/>
  <c r="T64" i="8"/>
  <c r="S78" i="8"/>
  <c r="S381" i="8" s="1"/>
  <c r="U81" i="8"/>
  <c r="U382" i="8" s="1"/>
  <c r="T81" i="8"/>
  <c r="T382" i="8" s="1"/>
  <c r="S82" i="8"/>
  <c r="S383" i="8" s="1"/>
  <c r="S87" i="8"/>
  <c r="S384" i="8" s="1"/>
  <c r="S92" i="8"/>
  <c r="S385" i="8" s="1"/>
  <c r="U95" i="8"/>
  <c r="U386" i="8" s="1"/>
  <c r="T95" i="8"/>
  <c r="T386" i="8" s="1"/>
  <c r="U97" i="8"/>
  <c r="T97" i="8"/>
  <c r="R387" i="8"/>
  <c r="U101" i="8"/>
  <c r="T101" i="8"/>
  <c r="U104" i="8"/>
  <c r="U388" i="8" s="1"/>
  <c r="T104" i="8"/>
  <c r="T388" i="8" s="1"/>
  <c r="U108" i="8"/>
  <c r="T108" i="8"/>
  <c r="T389" i="8" s="1"/>
  <c r="U112" i="8"/>
  <c r="U390" i="8" s="1"/>
  <c r="T112" i="8"/>
  <c r="T390" i="8" s="1"/>
  <c r="U114" i="8"/>
  <c r="U391" i="8" s="1"/>
  <c r="T114" i="8"/>
  <c r="T391" i="8" s="1"/>
  <c r="S118" i="8"/>
  <c r="S392" i="8" s="1"/>
  <c r="R393" i="8"/>
  <c r="U121" i="8"/>
  <c r="T121" i="8"/>
  <c r="S123" i="8"/>
  <c r="S394" i="8" s="1"/>
  <c r="U124" i="8"/>
  <c r="T124" i="8"/>
  <c r="T395" i="8" s="1"/>
  <c r="U135" i="8"/>
  <c r="U398" i="8" s="1"/>
  <c r="T135" i="8"/>
  <c r="T398" i="8" s="1"/>
  <c r="U137" i="8"/>
  <c r="T137" i="8"/>
  <c r="U138" i="8"/>
  <c r="T138" i="8"/>
  <c r="R399" i="8"/>
  <c r="U140" i="8"/>
  <c r="T140" i="8"/>
  <c r="S143" i="8"/>
  <c r="S400" i="8" s="1"/>
  <c r="R401" i="8"/>
  <c r="U146" i="8"/>
  <c r="T146" i="8"/>
  <c r="U148" i="8"/>
  <c r="T148" i="8"/>
  <c r="R402" i="8"/>
  <c r="S152" i="8"/>
  <c r="S404" i="8" s="1"/>
  <c r="U154" i="8"/>
  <c r="U405" i="8" s="1"/>
  <c r="T154" i="8"/>
  <c r="T405" i="8" s="1"/>
  <c r="S157" i="8"/>
  <c r="S406" i="8" s="1"/>
  <c r="R408" i="8"/>
  <c r="U165" i="8"/>
  <c r="T165" i="8"/>
  <c r="R410" i="8"/>
  <c r="R411" i="8"/>
  <c r="U176" i="8"/>
  <c r="T176" i="8"/>
  <c r="U178" i="8"/>
  <c r="T178" i="8"/>
  <c r="R412" i="8"/>
  <c r="U180" i="8"/>
  <c r="T180" i="8"/>
  <c r="R414" i="8"/>
  <c r="U184" i="8"/>
  <c r="T184" i="8"/>
  <c r="U186" i="8"/>
  <c r="T186" i="8"/>
  <c r="U188" i="8"/>
  <c r="T188" i="8"/>
  <c r="U190" i="8"/>
  <c r="T190" i="8"/>
  <c r="U191" i="8"/>
  <c r="U415" i="8" s="1"/>
  <c r="T191" i="8"/>
  <c r="T415" i="8" s="1"/>
  <c r="U194" i="8"/>
  <c r="U416" i="8" s="1"/>
  <c r="T194" i="8"/>
  <c r="T416" i="8" s="1"/>
  <c r="R417" i="8"/>
  <c r="U198" i="8"/>
  <c r="T198" i="8"/>
  <c r="U202" i="8"/>
  <c r="U418" i="8" s="1"/>
  <c r="T202" i="8"/>
  <c r="T418" i="8" s="1"/>
  <c r="R419" i="8"/>
  <c r="U211" i="8"/>
  <c r="U420" i="8" s="1"/>
  <c r="T211" i="8"/>
  <c r="T420" i="8" s="1"/>
  <c r="R421" i="8"/>
  <c r="S221" i="8"/>
  <c r="S424" i="8" s="1"/>
  <c r="S224" i="8"/>
  <c r="S425" i="8" s="1"/>
  <c r="R426" i="8"/>
  <c r="U228" i="8"/>
  <c r="T228" i="8"/>
  <c r="R427" i="8"/>
  <c r="U231" i="8"/>
  <c r="T231" i="8"/>
  <c r="S237" i="8"/>
  <c r="S429" i="8" s="1"/>
  <c r="U240" i="8"/>
  <c r="U430" i="8" s="1"/>
  <c r="T240" i="8"/>
  <c r="T430" i="8" s="1"/>
  <c r="U242" i="8"/>
  <c r="T242" i="8"/>
  <c r="R431" i="8"/>
  <c r="U246" i="8"/>
  <c r="T246" i="8"/>
  <c r="R432" i="8"/>
  <c r="U249" i="8"/>
  <c r="T249" i="8"/>
  <c r="U251" i="8"/>
  <c r="T251" i="8"/>
  <c r="R433" i="8"/>
  <c r="U255" i="8"/>
  <c r="T255" i="8"/>
  <c r="U256" i="8"/>
  <c r="T256" i="8"/>
  <c r="U257" i="8"/>
  <c r="T257" i="8"/>
  <c r="R434" i="8"/>
  <c r="U259" i="8"/>
  <c r="T259" i="8"/>
  <c r="S263" i="8"/>
  <c r="S435" i="8" s="1"/>
  <c r="U264" i="8"/>
  <c r="T264" i="8"/>
  <c r="T436" i="8" s="1"/>
  <c r="U270" i="8"/>
  <c r="T270" i="8"/>
  <c r="R438" i="8"/>
  <c r="U272" i="8"/>
  <c r="T272" i="8"/>
  <c r="R362" i="8"/>
  <c r="U9" i="8"/>
  <c r="U363" i="8" s="1"/>
  <c r="T9" i="8"/>
  <c r="T363" i="8" s="1"/>
  <c r="S11" i="8"/>
  <c r="S364" i="8" s="1"/>
  <c r="U14" i="8"/>
  <c r="T14" i="8"/>
  <c r="U15" i="8"/>
  <c r="U365" i="8" s="1"/>
  <c r="T15" i="8"/>
  <c r="T365" i="8" s="1"/>
  <c r="U17" i="8"/>
  <c r="T17" i="8"/>
  <c r="R366" i="8"/>
  <c r="U19" i="8"/>
  <c r="T19" i="8"/>
  <c r="S21" i="8"/>
  <c r="S367" i="8" s="1"/>
  <c r="S24" i="8"/>
  <c r="S368" i="8" s="1"/>
  <c r="S27" i="8"/>
  <c r="S369" i="8" s="1"/>
  <c r="U28" i="8"/>
  <c r="U370" i="8" s="1"/>
  <c r="T28" i="8"/>
  <c r="T370" i="8" s="1"/>
  <c r="S31" i="8"/>
  <c r="S371" i="8" s="1"/>
  <c r="U34" i="8"/>
  <c r="U372" i="8" s="1"/>
  <c r="T34" i="8"/>
  <c r="T372" i="8" s="1"/>
  <c r="S37" i="8"/>
  <c r="S373" i="8" s="1"/>
  <c r="U41" i="8"/>
  <c r="T41" i="8"/>
  <c r="U42" i="8"/>
  <c r="T42" i="8"/>
  <c r="U43" i="8"/>
  <c r="U374" i="8" s="1"/>
  <c r="T43" i="8"/>
  <c r="T374" i="8" s="1"/>
  <c r="U45" i="8"/>
  <c r="T45" i="8"/>
  <c r="R375" i="8"/>
  <c r="U48" i="8"/>
  <c r="T48" i="8"/>
  <c r="U53" i="8"/>
  <c r="U376" i="8" s="1"/>
  <c r="T53" i="8"/>
  <c r="T376" i="8" s="1"/>
  <c r="R377" i="8"/>
  <c r="U59" i="8"/>
  <c r="T59" i="8"/>
  <c r="U63" i="8"/>
  <c r="T63" i="8"/>
  <c r="U65" i="8"/>
  <c r="U378" i="8" s="1"/>
  <c r="T65" i="8"/>
  <c r="T378" i="8" s="1"/>
  <c r="U67" i="8"/>
  <c r="T67" i="8"/>
  <c r="U75" i="8"/>
  <c r="U380" i="8" s="1"/>
  <c r="T75" i="8"/>
  <c r="T380" i="8" s="1"/>
  <c r="U80" i="8"/>
  <c r="T80" i="8"/>
  <c r="R382" i="8"/>
  <c r="U86" i="8"/>
  <c r="T86" i="8"/>
  <c r="U89" i="8"/>
  <c r="T89" i="8"/>
  <c r="U94" i="8"/>
  <c r="T94" i="8"/>
  <c r="R386" i="8"/>
  <c r="U96" i="8"/>
  <c r="T96" i="8"/>
  <c r="S100" i="8"/>
  <c r="S387" i="8" s="1"/>
  <c r="U103" i="8"/>
  <c r="T103" i="8"/>
  <c r="R388" i="8"/>
  <c r="U105" i="8"/>
  <c r="T105" i="8"/>
  <c r="U107" i="8"/>
  <c r="T107" i="8"/>
  <c r="R389" i="8"/>
  <c r="U109" i="8"/>
  <c r="T109" i="8"/>
  <c r="U110" i="8"/>
  <c r="T110" i="8"/>
  <c r="R390" i="8"/>
  <c r="U113" i="8"/>
  <c r="T113" i="8"/>
  <c r="R391" i="8"/>
  <c r="U115" i="8"/>
  <c r="T115" i="8"/>
  <c r="S120" i="8"/>
  <c r="S393" i="8" s="1"/>
  <c r="R395" i="8"/>
  <c r="U125" i="8"/>
  <c r="T125" i="8"/>
  <c r="U127" i="8"/>
  <c r="T127" i="8"/>
  <c r="U129" i="8"/>
  <c r="T129" i="8"/>
  <c r="U130" i="8"/>
  <c r="U396" i="8" s="1"/>
  <c r="T130" i="8"/>
  <c r="T396" i="8" s="1"/>
  <c r="U132" i="8"/>
  <c r="U397" i="8" s="1"/>
  <c r="T132" i="8"/>
  <c r="T397" i="8" s="1"/>
  <c r="U134" i="8"/>
  <c r="T134" i="8"/>
  <c r="R398" i="8"/>
  <c r="U136" i="8"/>
  <c r="T136" i="8"/>
  <c r="S139" i="8"/>
  <c r="S399" i="8" s="1"/>
  <c r="U142" i="8"/>
  <c r="T142" i="8"/>
  <c r="S145" i="8"/>
  <c r="S401" i="8" s="1"/>
  <c r="S149" i="8"/>
  <c r="S402" i="8" s="1"/>
  <c r="U150" i="8"/>
  <c r="U403" i="8" s="1"/>
  <c r="T150" i="8"/>
  <c r="T403" i="8" s="1"/>
  <c r="R405" i="8"/>
  <c r="U155" i="8"/>
  <c r="T155" i="8"/>
  <c r="U161" i="8"/>
  <c r="U407" i="8" s="1"/>
  <c r="T161" i="8"/>
  <c r="T407" i="8" s="1"/>
  <c r="S164" i="8"/>
  <c r="S408" i="8" s="1"/>
  <c r="U167" i="8"/>
  <c r="U409" i="8" s="1"/>
  <c r="T167" i="8"/>
  <c r="T409" i="8" s="1"/>
  <c r="S168" i="8"/>
  <c r="S410" i="8" s="1"/>
  <c r="S175" i="8"/>
  <c r="S411" i="8" s="1"/>
  <c r="S179" i="8"/>
  <c r="S412" i="8" s="1"/>
  <c r="U182" i="8"/>
  <c r="U413" i="8" s="1"/>
  <c r="T182" i="8"/>
  <c r="T413" i="8" s="1"/>
  <c r="S183" i="8"/>
  <c r="S414" i="8" s="1"/>
  <c r="R415" i="8"/>
  <c r="U192" i="8"/>
  <c r="T192" i="8"/>
  <c r="U193" i="8"/>
  <c r="T193" i="8"/>
  <c r="R416" i="8"/>
  <c r="U195" i="8"/>
  <c r="T195" i="8"/>
  <c r="S197" i="8"/>
  <c r="S417" i="8" s="1"/>
  <c r="U201" i="8"/>
  <c r="T201" i="8"/>
  <c r="R418" i="8"/>
  <c r="U203" i="8"/>
  <c r="T203" i="8"/>
  <c r="U205" i="8"/>
  <c r="T205" i="8"/>
  <c r="U206" i="8"/>
  <c r="T206" i="8"/>
  <c r="S207" i="8"/>
  <c r="S419" i="8" s="1"/>
  <c r="R420" i="8"/>
  <c r="U212" i="8"/>
  <c r="T212" i="8"/>
  <c r="U214" i="8"/>
  <c r="T214" i="8"/>
  <c r="S216" i="8"/>
  <c r="S421" i="8" s="1"/>
  <c r="U217" i="8"/>
  <c r="U422" i="8" s="1"/>
  <c r="T217" i="8"/>
  <c r="T422" i="8" s="1"/>
  <c r="U219" i="8"/>
  <c r="U423" i="8" s="1"/>
  <c r="T219" i="8"/>
  <c r="T423" i="8" s="1"/>
  <c r="U223" i="8"/>
  <c r="T223" i="8"/>
  <c r="S227" i="8"/>
  <c r="S426" i="8" s="1"/>
  <c r="S230" i="8"/>
  <c r="S427" i="8" s="1"/>
  <c r="U232" i="8"/>
  <c r="T232" i="8"/>
  <c r="R430" i="8"/>
  <c r="U241" i="8"/>
  <c r="T241" i="8"/>
  <c r="S245" i="8"/>
  <c r="S431" i="8" s="1"/>
  <c r="S248" i="8"/>
  <c r="S432" i="8" s="1"/>
  <c r="U253" i="8"/>
  <c r="T253" i="8"/>
  <c r="S254" i="8"/>
  <c r="S433" i="8" s="1"/>
  <c r="S258" i="8"/>
  <c r="S434" i="8" s="1"/>
  <c r="U261" i="8"/>
  <c r="T261" i="8"/>
  <c r="R436" i="8"/>
  <c r="U265" i="8"/>
  <c r="T265" i="8"/>
  <c r="U268" i="8"/>
  <c r="U437" i="8" s="1"/>
  <c r="T268" i="8"/>
  <c r="T437" i="8" s="1"/>
  <c r="S271" i="8"/>
  <c r="S438" i="8" s="1"/>
  <c r="U274" i="8"/>
  <c r="U439" i="8" s="1"/>
  <c r="T274" i="8"/>
  <c r="T439" i="8" s="1"/>
  <c r="U77" i="8"/>
  <c r="T77" i="8"/>
  <c r="S8" i="8"/>
  <c r="S362" i="8" s="1"/>
  <c r="R363" i="8"/>
  <c r="U10" i="8"/>
  <c r="T10" i="8"/>
  <c r="U13" i="8"/>
  <c r="T13" i="8"/>
  <c r="R365" i="8"/>
  <c r="U16" i="8"/>
  <c r="T16" i="8"/>
  <c r="S18" i="8"/>
  <c r="S366" i="8" s="1"/>
  <c r="R370" i="8"/>
  <c r="U29" i="8"/>
  <c r="T29" i="8"/>
  <c r="R372" i="8"/>
  <c r="U35" i="8"/>
  <c r="T35" i="8"/>
  <c r="U40" i="8"/>
  <c r="T40" i="8"/>
  <c r="R374" i="8"/>
  <c r="U44" i="8"/>
  <c r="T44" i="8"/>
  <c r="S47" i="8"/>
  <c r="S375" i="8" s="1"/>
  <c r="U52" i="8"/>
  <c r="T52" i="8"/>
  <c r="R376" i="8"/>
  <c r="U54" i="8"/>
  <c r="T54" i="8"/>
  <c r="S58" i="8"/>
  <c r="S377" i="8" s="1"/>
  <c r="U62" i="8"/>
  <c r="T62" i="8"/>
  <c r="R378" i="8"/>
  <c r="U66" i="8"/>
  <c r="T66" i="8"/>
  <c r="U69" i="8"/>
  <c r="U72" i="8"/>
  <c r="T69" i="8"/>
  <c r="R380" i="8"/>
  <c r="U76" i="8"/>
  <c r="T76" i="8"/>
  <c r="U78" i="8"/>
  <c r="U381" i="8" s="1"/>
  <c r="T78" i="8"/>
  <c r="T381" i="8" s="1"/>
  <c r="S81" i="8"/>
  <c r="S382" i="8" s="1"/>
  <c r="U82" i="8"/>
  <c r="U383" i="8" s="1"/>
  <c r="T82" i="8"/>
  <c r="T383" i="8" s="1"/>
  <c r="U87" i="8"/>
  <c r="U384" i="8" s="1"/>
  <c r="T87" i="8"/>
  <c r="T384" i="8" s="1"/>
  <c r="U92" i="8"/>
  <c r="U385" i="8" s="1"/>
  <c r="T92" i="8"/>
  <c r="T385" i="8" s="1"/>
  <c r="S95" i="8"/>
  <c r="S386" i="8" s="1"/>
  <c r="U99" i="8"/>
  <c r="T99" i="8"/>
  <c r="U102" i="8"/>
  <c r="T102" i="8"/>
  <c r="S104" i="8"/>
  <c r="S388" i="8" s="1"/>
  <c r="S108" i="8"/>
  <c r="S389" i="8" s="1"/>
  <c r="S112" i="8"/>
  <c r="S390" i="8" s="1"/>
  <c r="S114" i="8"/>
  <c r="S391" i="8" s="1"/>
  <c r="U117" i="8"/>
  <c r="T117" i="8"/>
  <c r="U118" i="8"/>
  <c r="U392" i="8" s="1"/>
  <c r="T118" i="8"/>
  <c r="T392" i="8" s="1"/>
  <c r="U123" i="8"/>
  <c r="U394" i="8" s="1"/>
  <c r="T123" i="8"/>
  <c r="T394" i="8" s="1"/>
  <c r="S124" i="8"/>
  <c r="S395" i="8" s="1"/>
  <c r="R396" i="8"/>
  <c r="U131" i="8"/>
  <c r="T131" i="8"/>
  <c r="R397" i="8"/>
  <c r="U133" i="8"/>
  <c r="T133" i="8"/>
  <c r="S135" i="8"/>
  <c r="S398" i="8" s="1"/>
  <c r="U141" i="8"/>
  <c r="T141" i="8"/>
  <c r="U143" i="8"/>
  <c r="U400" i="8" s="1"/>
  <c r="T143" i="8"/>
  <c r="T400" i="8" s="1"/>
  <c r="U147" i="8"/>
  <c r="T147" i="8"/>
  <c r="R403" i="8"/>
  <c r="U151" i="8"/>
  <c r="T151" i="8"/>
  <c r="U152" i="8"/>
  <c r="U404" i="8" s="1"/>
  <c r="T152" i="8"/>
  <c r="T404" i="8" s="1"/>
  <c r="S154" i="8"/>
  <c r="S405" i="8" s="1"/>
  <c r="U157" i="8"/>
  <c r="U406" i="8" s="1"/>
  <c r="T157" i="8"/>
  <c r="T406" i="8" s="1"/>
  <c r="U159" i="8"/>
  <c r="T159" i="8"/>
  <c r="U160" i="8"/>
  <c r="T160" i="8"/>
  <c r="R407" i="8"/>
  <c r="U162" i="8"/>
  <c r="T162" i="8"/>
  <c r="U163" i="8"/>
  <c r="T163" i="8"/>
  <c r="U166" i="8"/>
  <c r="T166" i="8"/>
  <c r="U170" i="8"/>
  <c r="R409" i="8"/>
  <c r="U177" i="8"/>
  <c r="T177" i="8"/>
  <c r="U181" i="8"/>
  <c r="T181" i="8"/>
  <c r="R413" i="8"/>
  <c r="U185" i="8"/>
  <c r="T185" i="8"/>
  <c r="U187" i="8"/>
  <c r="T187" i="8"/>
  <c r="U189" i="8"/>
  <c r="T189" i="8"/>
  <c r="S191" i="8"/>
  <c r="S415" i="8" s="1"/>
  <c r="S194" i="8"/>
  <c r="S416" i="8" s="1"/>
  <c r="U200" i="8"/>
  <c r="T200" i="8"/>
  <c r="S202" i="8"/>
  <c r="S418" i="8" s="1"/>
  <c r="S211" i="8"/>
  <c r="S420" i="8" s="1"/>
  <c r="R422" i="8"/>
  <c r="U218" i="8"/>
  <c r="T218" i="8"/>
  <c r="R423" i="8"/>
  <c r="U220" i="8"/>
  <c r="T220" i="8"/>
  <c r="U221" i="8"/>
  <c r="U424" i="8" s="1"/>
  <c r="T221" i="8"/>
  <c r="T424" i="8" s="1"/>
  <c r="U224" i="8"/>
  <c r="U425" i="8" s="1"/>
  <c r="T224" i="8"/>
  <c r="T425" i="8" s="1"/>
  <c r="U237" i="8"/>
  <c r="U429" i="8" s="1"/>
  <c r="T237" i="8"/>
  <c r="T429" i="8" s="1"/>
  <c r="U239" i="8"/>
  <c r="T239" i="8"/>
  <c r="S240" i="8"/>
  <c r="S430" i="8" s="1"/>
  <c r="U244" i="8"/>
  <c r="T244" i="8"/>
  <c r="U250" i="8"/>
  <c r="T250" i="8"/>
  <c r="U252" i="8"/>
  <c r="T252" i="8"/>
  <c r="U260" i="8"/>
  <c r="T260" i="8"/>
  <c r="U263" i="8"/>
  <c r="U435" i="8" s="1"/>
  <c r="T263" i="8"/>
  <c r="T435" i="8" s="1"/>
  <c r="S264" i="8"/>
  <c r="S436" i="8" s="1"/>
  <c r="R437" i="8"/>
  <c r="U269" i="8"/>
  <c r="T269" i="8"/>
  <c r="U273" i="8"/>
  <c r="T273" i="8"/>
  <c r="R441" i="8"/>
  <c r="U275" i="8"/>
  <c r="T275" i="8"/>
  <c r="U266" i="8"/>
  <c r="T266" i="8"/>
  <c r="L2377" i="5"/>
  <c r="D2377" i="5" s="1"/>
  <c r="M2377" i="5"/>
  <c r="E2377" i="5" s="1"/>
  <c r="M2378" i="5"/>
  <c r="E2378" i="5" s="1"/>
  <c r="N2377" i="5"/>
  <c r="F2377" i="5" s="1"/>
  <c r="P2377" i="5"/>
  <c r="H2377" i="5" s="1"/>
  <c r="O2377" i="5"/>
  <c r="G2377" i="5" s="1"/>
  <c r="M1871" i="5"/>
  <c r="E1872" i="5"/>
  <c r="A367" i="8"/>
  <c r="U369" i="8"/>
  <c r="U395" i="8"/>
  <c r="L361" i="8"/>
  <c r="M7" i="8"/>
  <c r="N7" i="8" s="1"/>
  <c r="O7" i="8" s="1"/>
  <c r="P7" i="8" s="1"/>
  <c r="J2317" i="5"/>
  <c r="J275" i="8" s="1"/>
  <c r="J2351" i="5"/>
  <c r="J290" i="8" s="1"/>
  <c r="K2415" i="5"/>
  <c r="K316" i="8" s="1"/>
  <c r="J2478" i="5"/>
  <c r="J340" i="8" s="1"/>
  <c r="J2487" i="5"/>
  <c r="J344" i="8" s="1"/>
  <c r="K2317" i="5"/>
  <c r="K275" i="8" s="1"/>
  <c r="K2345" i="5"/>
  <c r="K287" i="8" s="1"/>
  <c r="K2368" i="5"/>
  <c r="K299" i="8" s="1"/>
  <c r="J2371" i="5"/>
  <c r="J300" i="8" s="1"/>
  <c r="J2393" i="5"/>
  <c r="J307" i="8" s="1"/>
  <c r="J2395" i="5"/>
  <c r="J308" i="8" s="1"/>
  <c r="J2399" i="5"/>
  <c r="J310" i="8" s="1"/>
  <c r="J2430" i="5"/>
  <c r="J321" i="8" s="1"/>
  <c r="J2434" i="5"/>
  <c r="J323" i="8" s="1"/>
  <c r="J2445" i="5"/>
  <c r="J327" i="8" s="1"/>
  <c r="K2459" i="5"/>
  <c r="K333" i="8" s="1"/>
  <c r="K2487" i="5"/>
  <c r="K344" i="8" s="1"/>
  <c r="K2499" i="5"/>
  <c r="K347" i="8" s="1"/>
  <c r="J2358" i="5"/>
  <c r="J294" i="8" s="1"/>
  <c r="K2379" i="5"/>
  <c r="K302" i="8" s="1"/>
  <c r="K2427" i="5"/>
  <c r="K320" i="8" s="1"/>
  <c r="K2452" i="5"/>
  <c r="K330" i="8" s="1"/>
  <c r="J2459" i="5"/>
  <c r="J333" i="8" s="1"/>
  <c r="J2499" i="5"/>
  <c r="J347" i="8" s="1"/>
  <c r="J2338" i="5"/>
  <c r="J284" i="8" s="1"/>
  <c r="J2354" i="5"/>
  <c r="J292" i="8" s="1"/>
  <c r="J2359" i="5"/>
  <c r="J295" i="8" s="1"/>
  <c r="K2371" i="5"/>
  <c r="K300" i="8" s="1"/>
  <c r="K2393" i="5"/>
  <c r="K307" i="8" s="1"/>
  <c r="K2399" i="5"/>
  <c r="K310" i="8" s="1"/>
  <c r="K2445" i="5"/>
  <c r="K327" i="8" s="1"/>
  <c r="J2465" i="5"/>
  <c r="J336" i="8" s="1"/>
  <c r="J2475" i="5"/>
  <c r="J339" i="8" s="1"/>
  <c r="J2483" i="5"/>
  <c r="J342" i="8" s="1"/>
  <c r="J2339" i="5"/>
  <c r="J285" i="8" s="1"/>
  <c r="J2343" i="5"/>
  <c r="J286" i="8" s="1"/>
  <c r="J2345" i="5"/>
  <c r="J287" i="8" s="1"/>
  <c r="J2362" i="5"/>
  <c r="J296" i="8" s="1"/>
  <c r="J2368" i="5"/>
  <c r="J299" i="8" s="1"/>
  <c r="K2448" i="5"/>
  <c r="K328" i="8" s="1"/>
  <c r="K2338" i="5"/>
  <c r="K284" i="8" s="1"/>
  <c r="K2359" i="5"/>
  <c r="K295" i="8" s="1"/>
  <c r="J2379" i="5"/>
  <c r="J302" i="8" s="1"/>
  <c r="J2415" i="5"/>
  <c r="J316" i="8" s="1"/>
  <c r="J2448" i="5"/>
  <c r="J328" i="8" s="1"/>
  <c r="J2452" i="5"/>
  <c r="J330" i="8" s="1"/>
  <c r="K2475" i="5"/>
  <c r="K339" i="8" s="1"/>
  <c r="J1717" i="5"/>
  <c r="J12" i="8" s="1"/>
  <c r="J1719" i="5"/>
  <c r="J13" i="8" s="1"/>
  <c r="J1725" i="5"/>
  <c r="J15" i="8" s="1"/>
  <c r="J1749" i="5"/>
  <c r="J27" i="8" s="1"/>
  <c r="J1765" i="5"/>
  <c r="J35" i="8" s="1"/>
  <c r="J1769" i="5"/>
  <c r="J37" i="8" s="1"/>
  <c r="J1773" i="5"/>
  <c r="J39" i="8" s="1"/>
  <c r="J1787" i="5"/>
  <c r="J44" i="8" s="1"/>
  <c r="J1813" i="5"/>
  <c r="J54" i="8" s="1"/>
  <c r="J1815" i="5"/>
  <c r="J55" i="8" s="1"/>
  <c r="J1878" i="5"/>
  <c r="J78" i="8" s="1"/>
  <c r="J1884" i="5"/>
  <c r="J82" i="8" s="1"/>
  <c r="J1900" i="5"/>
  <c r="J88" i="8" s="1"/>
  <c r="J1908" i="5"/>
  <c r="J91" i="8" s="1"/>
  <c r="J1944" i="5"/>
  <c r="J106" i="8" s="1"/>
  <c r="J1946" i="5"/>
  <c r="J107" i="8" s="1"/>
  <c r="J1962" i="5"/>
  <c r="J115" i="8" s="1"/>
  <c r="J1964" i="5"/>
  <c r="J116" i="8" s="1"/>
  <c r="J1978" i="5"/>
  <c r="J122" i="8" s="1"/>
  <c r="J1984" i="5"/>
  <c r="J126" i="8" s="1"/>
  <c r="J1990" i="5"/>
  <c r="J129" i="8" s="1"/>
  <c r="J1994" i="5"/>
  <c r="J131" i="8" s="1"/>
  <c r="J2002" i="5"/>
  <c r="J135" i="8" s="1"/>
  <c r="J2006" i="5"/>
  <c r="J137" i="8" s="1"/>
  <c r="J2010" i="5"/>
  <c r="J138" i="8" s="1"/>
  <c r="J2046" i="5"/>
  <c r="J156" i="8" s="1"/>
  <c r="J2056" i="5"/>
  <c r="J160" i="8" s="1"/>
  <c r="J2058" i="5"/>
  <c r="J161" i="8" s="1"/>
  <c r="J2072" i="5"/>
  <c r="J167" i="8" s="1"/>
  <c r="J1711" i="5"/>
  <c r="J10" i="8" s="1"/>
  <c r="K1717" i="5"/>
  <c r="K12" i="8" s="1"/>
  <c r="K1719" i="5"/>
  <c r="K13" i="8" s="1"/>
  <c r="K1725" i="5"/>
  <c r="K15" i="8" s="1"/>
  <c r="K1729" i="5"/>
  <c r="K17" i="8" s="1"/>
  <c r="K1731" i="5"/>
  <c r="K18" i="8" s="1"/>
  <c r="K1737" i="5"/>
  <c r="K21" i="8" s="1"/>
  <c r="K1741" i="5"/>
  <c r="K23" i="8" s="1"/>
  <c r="K1745" i="5"/>
  <c r="K25" i="8" s="1"/>
  <c r="K1749" i="5"/>
  <c r="K27" i="8" s="1"/>
  <c r="K1751" i="5"/>
  <c r="K29" i="8" s="1"/>
  <c r="K1753" i="5"/>
  <c r="K30" i="8" s="1"/>
  <c r="K1755" i="5"/>
  <c r="K31" i="8" s="1"/>
  <c r="K1765" i="5"/>
  <c r="K35" i="8" s="1"/>
  <c r="K1767" i="5"/>
  <c r="K36" i="8" s="1"/>
  <c r="K1769" i="5"/>
  <c r="K37" i="8" s="1"/>
  <c r="K1773" i="5"/>
  <c r="K39" i="8" s="1"/>
  <c r="K1779" i="5"/>
  <c r="K41" i="8" s="1"/>
  <c r="K1783" i="5"/>
  <c r="K42" i="8" s="1"/>
  <c r="K1787" i="5"/>
  <c r="K44" i="8" s="1"/>
  <c r="K1793" i="5"/>
  <c r="K46" i="8" s="1"/>
  <c r="K1797" i="5"/>
  <c r="K48" i="8" s="1"/>
  <c r="K1803" i="5"/>
  <c r="K50" i="8" s="1"/>
  <c r="K1807" i="5"/>
  <c r="K51" i="8" s="1"/>
  <c r="K1813" i="5"/>
  <c r="K54" i="8" s="1"/>
  <c r="K1815" i="5"/>
  <c r="K55" i="8" s="1"/>
  <c r="K1819" i="5"/>
  <c r="K56" i="8" s="1"/>
  <c r="K1823" i="5"/>
  <c r="K57" i="8" s="1"/>
  <c r="K1827" i="5"/>
  <c r="K59" i="8" s="1"/>
  <c r="K1833" i="5"/>
  <c r="K61" i="8" s="1"/>
  <c r="K1839" i="5"/>
  <c r="K63" i="8" s="1"/>
  <c r="K1847" i="5"/>
  <c r="K66" i="8" s="1"/>
  <c r="K1859" i="5"/>
  <c r="K69" i="8" s="1"/>
  <c r="K1873" i="5"/>
  <c r="K75" i="8" s="1"/>
  <c r="K1878" i="5"/>
  <c r="K78" i="8" s="1"/>
  <c r="K1884" i="5"/>
  <c r="K82" i="8" s="1"/>
  <c r="K1900" i="5"/>
  <c r="K88" i="8" s="1"/>
  <c r="K1902" i="5"/>
  <c r="K89" i="8" s="1"/>
  <c r="K1904" i="5"/>
  <c r="K90" i="8" s="1"/>
  <c r="K1908" i="5"/>
  <c r="K91" i="8" s="1"/>
  <c r="K1910" i="5"/>
  <c r="K92" i="8" s="1"/>
  <c r="K1916" i="5"/>
  <c r="K96" i="8" s="1"/>
  <c r="K1926" i="5"/>
  <c r="K98" i="8" s="1"/>
  <c r="K1934" i="5"/>
  <c r="K101" i="8" s="1"/>
  <c r="K1936" i="5"/>
  <c r="K102" i="8" s="1"/>
  <c r="K1942" i="5"/>
  <c r="K105" i="8" s="1"/>
  <c r="K1944" i="5"/>
  <c r="K106" i="8" s="1"/>
  <c r="K1946" i="5"/>
  <c r="K107" i="8" s="1"/>
  <c r="K1950" i="5"/>
  <c r="K109" i="8" s="1"/>
  <c r="K1954" i="5"/>
  <c r="K110" i="8" s="1"/>
  <c r="K1958" i="5"/>
  <c r="K112" i="8" s="1"/>
  <c r="K1962" i="5"/>
  <c r="K115" i="8" s="1"/>
  <c r="K1964" i="5"/>
  <c r="K116" i="8" s="1"/>
  <c r="K1970" i="5"/>
  <c r="K118" i="8" s="1"/>
  <c r="K1974" i="5"/>
  <c r="K120" i="8" s="1"/>
  <c r="K1978" i="5"/>
  <c r="K122" i="8" s="1"/>
  <c r="K1980" i="5"/>
  <c r="K123" i="8" s="1"/>
  <c r="K1982" i="5"/>
  <c r="K125" i="8" s="1"/>
  <c r="K1984" i="5"/>
  <c r="K126" i="8" s="1"/>
  <c r="K1986" i="5"/>
  <c r="K127" i="8" s="1"/>
  <c r="K1988" i="5"/>
  <c r="K128" i="8" s="1"/>
  <c r="K1990" i="5"/>
  <c r="K129" i="8" s="1"/>
  <c r="K1994" i="5"/>
  <c r="K131" i="8" s="1"/>
  <c r="K1996" i="5"/>
  <c r="K132" i="8" s="1"/>
  <c r="K2000" i="5"/>
  <c r="K134" i="8" s="1"/>
  <c r="K2002" i="5"/>
  <c r="K135" i="8" s="1"/>
  <c r="K2006" i="5"/>
  <c r="K137" i="8" s="1"/>
  <c r="K2010" i="5"/>
  <c r="K138" i="8" s="1"/>
  <c r="K2012" i="5"/>
  <c r="K139" i="8" s="1"/>
  <c r="K2018" i="5"/>
  <c r="K142" i="8" s="1"/>
  <c r="K2022" i="5"/>
  <c r="K143" i="8" s="1"/>
  <c r="K2026" i="5"/>
  <c r="K145" i="8" s="1"/>
  <c r="K2034" i="5"/>
  <c r="K150" i="8" s="1"/>
  <c r="K2038" i="5"/>
  <c r="K152" i="8" s="1"/>
  <c r="K2044" i="5"/>
  <c r="K155" i="8" s="1"/>
  <c r="K2046" i="5"/>
  <c r="K156" i="8" s="1"/>
  <c r="K2048" i="5"/>
  <c r="K157" i="8" s="1"/>
  <c r="J1731" i="5"/>
  <c r="J18" i="8" s="1"/>
  <c r="J1737" i="5"/>
  <c r="J21" i="8" s="1"/>
  <c r="J1745" i="5"/>
  <c r="J25" i="8" s="1"/>
  <c r="J1755" i="5"/>
  <c r="J31" i="8" s="1"/>
  <c r="J1797" i="5"/>
  <c r="J48" i="8" s="1"/>
  <c r="J1807" i="5"/>
  <c r="J51" i="8" s="1"/>
  <c r="J1827" i="5"/>
  <c r="J59" i="8" s="1"/>
  <c r="J1833" i="5"/>
  <c r="J61" i="8" s="1"/>
  <c r="J1859" i="5"/>
  <c r="J69" i="8" s="1"/>
  <c r="J1910" i="5"/>
  <c r="J92" i="8" s="1"/>
  <c r="J1926" i="5"/>
  <c r="J98" i="8" s="1"/>
  <c r="J1936" i="5"/>
  <c r="J102" i="8" s="1"/>
  <c r="J1942" i="5"/>
  <c r="J105" i="8" s="1"/>
  <c r="J1980" i="5"/>
  <c r="J123" i="8" s="1"/>
  <c r="J2018" i="5"/>
  <c r="J142" i="8" s="1"/>
  <c r="J2026" i="5"/>
  <c r="J145" i="8" s="1"/>
  <c r="J2038" i="5"/>
  <c r="J152" i="8" s="1"/>
  <c r="J2091" i="5"/>
  <c r="J175" i="8" s="1"/>
  <c r="K1711" i="5"/>
  <c r="K10" i="8" s="1"/>
  <c r="J1716" i="5"/>
  <c r="J11" i="8" s="1"/>
  <c r="J1722" i="5"/>
  <c r="J14" i="8" s="1"/>
  <c r="J1726" i="5"/>
  <c r="J16" i="8" s="1"/>
  <c r="J1732" i="5"/>
  <c r="J19" i="8" s="1"/>
  <c r="J1734" i="5"/>
  <c r="J20" i="8" s="1"/>
  <c r="J1738" i="5"/>
  <c r="J22" i="8" s="1"/>
  <c r="J1744" i="5"/>
  <c r="J24" i="8" s="1"/>
  <c r="J1750" i="5"/>
  <c r="J28" i="8" s="1"/>
  <c r="J1756" i="5"/>
  <c r="J32" i="8" s="1"/>
  <c r="J1760" i="5"/>
  <c r="J33" i="8" s="1"/>
  <c r="J1764" i="5"/>
  <c r="J34" i="8" s="1"/>
  <c r="J1770" i="5"/>
  <c r="J38" i="8" s="1"/>
  <c r="J1776" i="5"/>
  <c r="J40" i="8" s="1"/>
  <c r="J1786" i="5"/>
  <c r="J43" i="8" s="1"/>
  <c r="J1790" i="5"/>
  <c r="J45" i="8" s="1"/>
  <c r="J1796" i="5"/>
  <c r="J47" i="8" s="1"/>
  <c r="J1800" i="5"/>
  <c r="J49" i="8" s="1"/>
  <c r="J1810" i="5"/>
  <c r="J52" i="8" s="1"/>
  <c r="J1812" i="5"/>
  <c r="J53" i="8" s="1"/>
  <c r="J1826" i="5"/>
  <c r="J58" i="8" s="1"/>
  <c r="J1830" i="5"/>
  <c r="J60" i="8" s="1"/>
  <c r="J1836" i="5"/>
  <c r="J62" i="8" s="1"/>
  <c r="J1842" i="5"/>
  <c r="J64" i="8" s="1"/>
  <c r="J1846" i="5"/>
  <c r="J65" i="8" s="1"/>
  <c r="J1854" i="5"/>
  <c r="J67" i="8" s="1"/>
  <c r="J1856" i="5"/>
  <c r="J68" i="8" s="1"/>
  <c r="J1874" i="5"/>
  <c r="J76" i="8" s="1"/>
  <c r="J1879" i="5"/>
  <c r="J79" i="8" s="1"/>
  <c r="J1881" i="5"/>
  <c r="J80" i="8" s="1"/>
  <c r="J1883" i="5"/>
  <c r="J81" i="8" s="1"/>
  <c r="J1885" i="5"/>
  <c r="J83" i="8" s="1"/>
  <c r="J1889" i="5"/>
  <c r="J84" i="8" s="1"/>
  <c r="J1893" i="5"/>
  <c r="J85" i="8" s="1"/>
  <c r="J1895" i="5"/>
  <c r="J86" i="8" s="1"/>
  <c r="J1899" i="5"/>
  <c r="J87" i="8" s="1"/>
  <c r="J1911" i="5"/>
  <c r="J93" i="8" s="1"/>
  <c r="J1913" i="5"/>
  <c r="J94" i="8" s="1"/>
  <c r="J1915" i="5"/>
  <c r="J95" i="8" s="1"/>
  <c r="J1923" i="5"/>
  <c r="J97" i="8" s="1"/>
  <c r="J1929" i="5"/>
  <c r="J99" i="8" s="1"/>
  <c r="J1933" i="5"/>
  <c r="J100" i="8" s="1"/>
  <c r="J1939" i="5"/>
  <c r="J103" i="8" s="1"/>
  <c r="J1941" i="5"/>
  <c r="J104" i="8" s="1"/>
  <c r="J1949" i="5"/>
  <c r="J108" i="8" s="1"/>
  <c r="J1959" i="5"/>
  <c r="J113" i="8" s="1"/>
  <c r="J1961" i="5"/>
  <c r="J114" i="8" s="1"/>
  <c r="J1967" i="5"/>
  <c r="J117" i="8" s="1"/>
  <c r="J1971" i="5"/>
  <c r="J119" i="8" s="1"/>
  <c r="J1975" i="5"/>
  <c r="J121" i="8" s="1"/>
  <c r="J1981" i="5"/>
  <c r="J124" i="8" s="1"/>
  <c r="J1993" i="5"/>
  <c r="J130" i="8" s="1"/>
  <c r="J1997" i="5"/>
  <c r="J133" i="8" s="1"/>
  <c r="J2003" i="5"/>
  <c r="J136" i="8" s="1"/>
  <c r="J2013" i="5"/>
  <c r="J140" i="8" s="1"/>
  <c r="J2015" i="5"/>
  <c r="J141" i="8" s="1"/>
  <c r="J2023" i="5"/>
  <c r="J144" i="8" s="1"/>
  <c r="J2027" i="5"/>
  <c r="J146" i="8" s="1"/>
  <c r="J2029" i="5"/>
  <c r="J147" i="8" s="1"/>
  <c r="J2031" i="5"/>
  <c r="J148" i="8" s="1"/>
  <c r="J2033" i="5"/>
  <c r="J149" i="8" s="1"/>
  <c r="J2035" i="5"/>
  <c r="J151" i="8" s="1"/>
  <c r="J2039" i="5"/>
  <c r="J153" i="8" s="1"/>
  <c r="J2043" i="5"/>
  <c r="J154" i="8" s="1"/>
  <c r="J2049" i="5"/>
  <c r="J158" i="8" s="1"/>
  <c r="J2059" i="5"/>
  <c r="J162" i="8" s="1"/>
  <c r="J2063" i="5"/>
  <c r="J163" i="8" s="1"/>
  <c r="J2067" i="5"/>
  <c r="J164" i="8" s="1"/>
  <c r="J2073" i="5"/>
  <c r="J168" i="8" s="1"/>
  <c r="J2092" i="5"/>
  <c r="J176" i="8" s="1"/>
  <c r="J2094" i="5"/>
  <c r="J177" i="8" s="1"/>
  <c r="J2096" i="5"/>
  <c r="J178" i="8" s="1"/>
  <c r="J2098" i="5"/>
  <c r="J179" i="8" s="1"/>
  <c r="J2104" i="5"/>
  <c r="J183" i="8" s="1"/>
  <c r="J2120" i="5"/>
  <c r="J191" i="8" s="1"/>
  <c r="J2128" i="5"/>
  <c r="J195" i="8" s="1"/>
  <c r="J2130" i="5"/>
  <c r="J196" i="8" s="1"/>
  <c r="J2134" i="5"/>
  <c r="J198" i="8" s="1"/>
  <c r="J2140" i="5"/>
  <c r="J200" i="8" s="1"/>
  <c r="J2146" i="5"/>
  <c r="J203" i="8" s="1"/>
  <c r="J2148" i="5"/>
  <c r="J204" i="8" s="1"/>
  <c r="J2150" i="5"/>
  <c r="J205" i="8" s="1"/>
  <c r="J2154" i="5"/>
  <c r="J206" i="8" s="1"/>
  <c r="J2156" i="5"/>
  <c r="J207" i="8" s="1"/>
  <c r="J2160" i="5"/>
  <c r="J209" i="8" s="1"/>
  <c r="J2166" i="5"/>
  <c r="J212" i="8" s="1"/>
  <c r="J2168" i="5"/>
  <c r="J213" i="8" s="1"/>
  <c r="J2170" i="5"/>
  <c r="J214" i="8" s="1"/>
  <c r="J2172" i="5"/>
  <c r="J215" i="8" s="1"/>
  <c r="J2176" i="5"/>
  <c r="J217" i="8" s="1"/>
  <c r="J2180" i="5"/>
  <c r="J220" i="8" s="1"/>
  <c r="J2184" i="5"/>
  <c r="J222" i="8" s="1"/>
  <c r="J2186" i="5"/>
  <c r="J223" i="8" s="1"/>
  <c r="J2190" i="5"/>
  <c r="J224" i="8" s="1"/>
  <c r="J2198" i="5"/>
  <c r="J227" i="8" s="1"/>
  <c r="J2202" i="5"/>
  <c r="J229" i="8" s="1"/>
  <c r="J2206" i="5"/>
  <c r="J231" i="8" s="1"/>
  <c r="J2216" i="5"/>
  <c r="J235" i="8" s="1"/>
  <c r="K2223" i="5"/>
  <c r="K237" i="8" s="1"/>
  <c r="K2227" i="5"/>
  <c r="K239" i="8" s="1"/>
  <c r="K2233" i="5"/>
  <c r="K241" i="8" s="1"/>
  <c r="K2239" i="5"/>
  <c r="K243" i="8" s="1"/>
  <c r="K2247" i="5"/>
  <c r="K246" i="8" s="1"/>
  <c r="K2253" i="5"/>
  <c r="K248" i="8" s="1"/>
  <c r="K2263" i="5"/>
  <c r="K253" i="8" s="1"/>
  <c r="K2269" i="5"/>
  <c r="K255" i="8" s="1"/>
  <c r="K2273" i="5"/>
  <c r="K256" i="8" s="1"/>
  <c r="K2277" i="5"/>
  <c r="K257" i="8" s="1"/>
  <c r="K2279" i="5"/>
  <c r="K258" i="8" s="1"/>
  <c r="K2285" i="5"/>
  <c r="K261" i="8" s="1"/>
  <c r="K2287" i="5"/>
  <c r="K262" i="8" s="1"/>
  <c r="K2289" i="5"/>
  <c r="K263" i="8" s="1"/>
  <c r="K2291" i="5"/>
  <c r="K265" i="8" s="1"/>
  <c r="K2301" i="5"/>
  <c r="K267" i="8" s="1"/>
  <c r="K2307" i="5"/>
  <c r="K269" i="8" s="1"/>
  <c r="K2309" i="5"/>
  <c r="K270" i="8" s="1"/>
  <c r="K2311" i="5"/>
  <c r="K271" i="8" s="1"/>
  <c r="K2316" i="5"/>
  <c r="K274" i="8" s="1"/>
  <c r="K2328" i="5"/>
  <c r="K280" i="8" s="1"/>
  <c r="K2346" i="5"/>
  <c r="K288" i="8" s="1"/>
  <c r="K2348" i="5"/>
  <c r="K289" i="8" s="1"/>
  <c r="K2352" i="5"/>
  <c r="K291" i="8" s="1"/>
  <c r="K2354" i="5"/>
  <c r="K292" i="8" s="1"/>
  <c r="K2356" i="5"/>
  <c r="K293" i="8" s="1"/>
  <c r="K2367" i="5"/>
  <c r="K298" i="8" s="1"/>
  <c r="J2384" i="5"/>
  <c r="J304" i="8" s="1"/>
  <c r="J2388" i="5"/>
  <c r="J306" i="8" s="1"/>
  <c r="J2396" i="5"/>
  <c r="J309" i="8" s="1"/>
  <c r="J2403" i="5"/>
  <c r="J312" i="8" s="1"/>
  <c r="J2421" i="5"/>
  <c r="J318" i="8" s="1"/>
  <c r="J2427" i="5"/>
  <c r="J320" i="8" s="1"/>
  <c r="J2435" i="5"/>
  <c r="J324" i="8" s="1"/>
  <c r="J2439" i="5"/>
  <c r="J325" i="8" s="1"/>
  <c r="K2465" i="5"/>
  <c r="K336" i="8" s="1"/>
  <c r="K2473" i="5"/>
  <c r="K338" i="8" s="1"/>
  <c r="K2483" i="5"/>
  <c r="K342" i="8" s="1"/>
  <c r="K2502" i="5"/>
  <c r="K348" i="8" s="1"/>
  <c r="K2504" i="5"/>
  <c r="K349" i="8" s="1"/>
  <c r="K2486" i="5"/>
  <c r="K343" i="8" s="1"/>
  <c r="K2492" i="5"/>
  <c r="K345" i="8" s="1"/>
  <c r="K2506" i="5"/>
  <c r="K350" i="8" s="1"/>
  <c r="J1876" i="5"/>
  <c r="J77" i="8" s="1"/>
  <c r="K1710" i="5"/>
  <c r="K9" i="8" s="1"/>
  <c r="J1729" i="5"/>
  <c r="J17" i="8" s="1"/>
  <c r="J1741" i="5"/>
  <c r="J23" i="8" s="1"/>
  <c r="J1751" i="5"/>
  <c r="J29" i="8" s="1"/>
  <c r="J1753" i="5"/>
  <c r="J30" i="8" s="1"/>
  <c r="J1767" i="5"/>
  <c r="J36" i="8" s="1"/>
  <c r="J1779" i="5"/>
  <c r="J41" i="8" s="1"/>
  <c r="J1783" i="5"/>
  <c r="J42" i="8" s="1"/>
  <c r="J1793" i="5"/>
  <c r="J46" i="8" s="1"/>
  <c r="J1803" i="5"/>
  <c r="J50" i="8" s="1"/>
  <c r="J1819" i="5"/>
  <c r="J56" i="8" s="1"/>
  <c r="J1823" i="5"/>
  <c r="J57" i="8" s="1"/>
  <c r="J1839" i="5"/>
  <c r="J63" i="8" s="1"/>
  <c r="J1847" i="5"/>
  <c r="J66" i="8" s="1"/>
  <c r="J1873" i="5"/>
  <c r="J75" i="8" s="1"/>
  <c r="J1902" i="5"/>
  <c r="J89" i="8" s="1"/>
  <c r="J1904" i="5"/>
  <c r="J90" i="8" s="1"/>
  <c r="J1916" i="5"/>
  <c r="J96" i="8" s="1"/>
  <c r="J1934" i="5"/>
  <c r="J101" i="8" s="1"/>
  <c r="J1950" i="5"/>
  <c r="J109" i="8" s="1"/>
  <c r="J1954" i="5"/>
  <c r="J110" i="8" s="1"/>
  <c r="J1958" i="5"/>
  <c r="J112" i="8" s="1"/>
  <c r="J1970" i="5"/>
  <c r="J118" i="8" s="1"/>
  <c r="J1974" i="5"/>
  <c r="J120" i="8" s="1"/>
  <c r="J1982" i="5"/>
  <c r="J125" i="8" s="1"/>
  <c r="J1986" i="5"/>
  <c r="J127" i="8" s="1"/>
  <c r="J1988" i="5"/>
  <c r="J128" i="8" s="1"/>
  <c r="J1996" i="5"/>
  <c r="J132" i="8" s="1"/>
  <c r="J2000" i="5"/>
  <c r="J134" i="8" s="1"/>
  <c r="J2012" i="5"/>
  <c r="J139" i="8" s="1"/>
  <c r="J2022" i="5"/>
  <c r="J143" i="8" s="1"/>
  <c r="J2034" i="5"/>
  <c r="J150" i="8" s="1"/>
  <c r="J2044" i="5"/>
  <c r="J155" i="8" s="1"/>
  <c r="J2048" i="5"/>
  <c r="J157" i="8" s="1"/>
  <c r="J2052" i="5"/>
  <c r="J159" i="8" s="1"/>
  <c r="J2068" i="5"/>
  <c r="J165" i="8" s="1"/>
  <c r="J2070" i="5"/>
  <c r="J166" i="8" s="1"/>
  <c r="K1709" i="5"/>
  <c r="K8" i="8" s="1"/>
  <c r="J1710" i="5"/>
  <c r="J9" i="8" s="1"/>
  <c r="K1716" i="5"/>
  <c r="K11" i="8" s="1"/>
  <c r="K1722" i="5"/>
  <c r="K14" i="8" s="1"/>
  <c r="K1726" i="5"/>
  <c r="K16" i="8" s="1"/>
  <c r="K1732" i="5"/>
  <c r="K19" i="8" s="1"/>
  <c r="K1734" i="5"/>
  <c r="K20" i="8" s="1"/>
  <c r="K1738" i="5"/>
  <c r="K22" i="8" s="1"/>
  <c r="K1744" i="5"/>
  <c r="K24" i="8" s="1"/>
  <c r="K1750" i="5"/>
  <c r="K28" i="8" s="1"/>
  <c r="K1756" i="5"/>
  <c r="K32" i="8" s="1"/>
  <c r="K1760" i="5"/>
  <c r="K33" i="8" s="1"/>
  <c r="K1764" i="5"/>
  <c r="K34" i="8" s="1"/>
  <c r="K1770" i="5"/>
  <c r="K38" i="8" s="1"/>
  <c r="K1776" i="5"/>
  <c r="K40" i="8" s="1"/>
  <c r="K1786" i="5"/>
  <c r="K43" i="8" s="1"/>
  <c r="K1790" i="5"/>
  <c r="K45" i="8" s="1"/>
  <c r="K1796" i="5"/>
  <c r="K47" i="8" s="1"/>
  <c r="K1800" i="5"/>
  <c r="K49" i="8" s="1"/>
  <c r="K1810" i="5"/>
  <c r="K52" i="8" s="1"/>
  <c r="K1812" i="5"/>
  <c r="K53" i="8" s="1"/>
  <c r="K1826" i="5"/>
  <c r="K58" i="8" s="1"/>
  <c r="K1830" i="5"/>
  <c r="K60" i="8" s="1"/>
  <c r="K1836" i="5"/>
  <c r="K62" i="8" s="1"/>
  <c r="K1842" i="5"/>
  <c r="K64" i="8" s="1"/>
  <c r="K1846" i="5"/>
  <c r="K65" i="8" s="1"/>
  <c r="K1854" i="5"/>
  <c r="K67" i="8" s="1"/>
  <c r="K1856" i="5"/>
  <c r="K68" i="8" s="1"/>
  <c r="K1874" i="5"/>
  <c r="K76" i="8" s="1"/>
  <c r="K1879" i="5"/>
  <c r="K79" i="8" s="1"/>
  <c r="K1881" i="5"/>
  <c r="K80" i="8" s="1"/>
  <c r="K1883" i="5"/>
  <c r="K81" i="8" s="1"/>
  <c r="K1885" i="5"/>
  <c r="K83" i="8" s="1"/>
  <c r="K1889" i="5"/>
  <c r="K84" i="8" s="1"/>
  <c r="K1893" i="5"/>
  <c r="K85" i="8" s="1"/>
  <c r="K1895" i="5"/>
  <c r="K86" i="8" s="1"/>
  <c r="K1899" i="5"/>
  <c r="K87" i="8" s="1"/>
  <c r="K1911" i="5"/>
  <c r="K93" i="8" s="1"/>
  <c r="K1913" i="5"/>
  <c r="K94" i="8" s="1"/>
  <c r="K1915" i="5"/>
  <c r="K95" i="8" s="1"/>
  <c r="K1923" i="5"/>
  <c r="K97" i="8" s="1"/>
  <c r="K1929" i="5"/>
  <c r="K99" i="8" s="1"/>
  <c r="K1933" i="5"/>
  <c r="K100" i="8" s="1"/>
  <c r="K1939" i="5"/>
  <c r="K103" i="8" s="1"/>
  <c r="K1941" i="5"/>
  <c r="K104" i="8" s="1"/>
  <c r="K1949" i="5"/>
  <c r="K108" i="8" s="1"/>
  <c r="K1959" i="5"/>
  <c r="K113" i="8" s="1"/>
  <c r="K1961" i="5"/>
  <c r="K114" i="8" s="1"/>
  <c r="K1967" i="5"/>
  <c r="K117" i="8" s="1"/>
  <c r="K1971" i="5"/>
  <c r="K119" i="8" s="1"/>
  <c r="K1975" i="5"/>
  <c r="K121" i="8" s="1"/>
  <c r="K1981" i="5"/>
  <c r="K124" i="8" s="1"/>
  <c r="K1993" i="5"/>
  <c r="K130" i="8" s="1"/>
  <c r="K1997" i="5"/>
  <c r="K133" i="8" s="1"/>
  <c r="K2003" i="5"/>
  <c r="K136" i="8" s="1"/>
  <c r="K2013" i="5"/>
  <c r="K140" i="8" s="1"/>
  <c r="K2015" i="5"/>
  <c r="K141" i="8" s="1"/>
  <c r="K2023" i="5"/>
  <c r="K144" i="8" s="1"/>
  <c r="K2027" i="5"/>
  <c r="K146" i="8" s="1"/>
  <c r="K2029" i="5"/>
  <c r="K147" i="8" s="1"/>
  <c r="K2031" i="5"/>
  <c r="K148" i="8" s="1"/>
  <c r="K2033" i="5"/>
  <c r="K149" i="8" s="1"/>
  <c r="K2035" i="5"/>
  <c r="K151" i="8" s="1"/>
  <c r="K2039" i="5"/>
  <c r="K153" i="8" s="1"/>
  <c r="K2043" i="5"/>
  <c r="K154" i="8" s="1"/>
  <c r="K2049" i="5"/>
  <c r="K158" i="8" s="1"/>
  <c r="K2059" i="5"/>
  <c r="K162" i="8" s="1"/>
  <c r="K2063" i="5"/>
  <c r="K163" i="8" s="1"/>
  <c r="K2067" i="5"/>
  <c r="K164" i="8" s="1"/>
  <c r="K2073" i="5"/>
  <c r="K168" i="8" s="1"/>
  <c r="K2092" i="5"/>
  <c r="K176" i="8" s="1"/>
  <c r="K2094" i="5"/>
  <c r="K177" i="8" s="1"/>
  <c r="K2096" i="5"/>
  <c r="K178" i="8" s="1"/>
  <c r="K2098" i="5"/>
  <c r="K179" i="8" s="1"/>
  <c r="K2104" i="5"/>
  <c r="K183" i="8" s="1"/>
  <c r="K2120" i="5"/>
  <c r="K191" i="8" s="1"/>
  <c r="K2128" i="5"/>
  <c r="K195" i="8" s="1"/>
  <c r="K2130" i="5"/>
  <c r="K196" i="8" s="1"/>
  <c r="K2134" i="5"/>
  <c r="K198" i="8" s="1"/>
  <c r="K2140" i="5"/>
  <c r="K200" i="8" s="1"/>
  <c r="K2146" i="5"/>
  <c r="K203" i="8" s="1"/>
  <c r="K2148" i="5"/>
  <c r="K204" i="8" s="1"/>
  <c r="K2150" i="5"/>
  <c r="K205" i="8" s="1"/>
  <c r="K2154" i="5"/>
  <c r="K206" i="8" s="1"/>
  <c r="K2156" i="5"/>
  <c r="K207" i="8" s="1"/>
  <c r="K2160" i="5"/>
  <c r="K209" i="8" s="1"/>
  <c r="K2166" i="5"/>
  <c r="K212" i="8" s="1"/>
  <c r="K2168" i="5"/>
  <c r="K213" i="8" s="1"/>
  <c r="K2170" i="5"/>
  <c r="K214" i="8" s="1"/>
  <c r="K2172" i="5"/>
  <c r="K215" i="8" s="1"/>
  <c r="K2176" i="5"/>
  <c r="K217" i="8" s="1"/>
  <c r="K2180" i="5"/>
  <c r="K220" i="8" s="1"/>
  <c r="K2184" i="5"/>
  <c r="K222" i="8" s="1"/>
  <c r="K2186" i="5"/>
  <c r="K223" i="8" s="1"/>
  <c r="K2190" i="5"/>
  <c r="K224" i="8" s="1"/>
  <c r="K2198" i="5"/>
  <c r="K227" i="8" s="1"/>
  <c r="K2202" i="5"/>
  <c r="K229" i="8" s="1"/>
  <c r="K2206" i="5"/>
  <c r="K231" i="8" s="1"/>
  <c r="K2216" i="5"/>
  <c r="K235" i="8" s="1"/>
  <c r="J2220" i="5"/>
  <c r="J236" i="8" s="1"/>
  <c r="J2224" i="5"/>
  <c r="J238" i="8" s="1"/>
  <c r="J2232" i="5"/>
  <c r="J240" i="8" s="1"/>
  <c r="J2236" i="5"/>
  <c r="J242" i="8" s="1"/>
  <c r="J2242" i="5"/>
  <c r="J244" i="8" s="1"/>
  <c r="J2246" i="5"/>
  <c r="J245" i="8" s="1"/>
  <c r="J2250" i="5"/>
  <c r="J247" i="8" s="1"/>
  <c r="J2254" i="5"/>
  <c r="J249" i="8" s="1"/>
  <c r="J2256" i="5"/>
  <c r="J250" i="8" s="1"/>
  <c r="J2258" i="5"/>
  <c r="J251" i="8" s="1"/>
  <c r="J2260" i="5"/>
  <c r="J252" i="8" s="1"/>
  <c r="J2268" i="5"/>
  <c r="J254" i="8" s="1"/>
  <c r="J2280" i="5"/>
  <c r="J259" i="8" s="1"/>
  <c r="J2282" i="5"/>
  <c r="J260" i="8" s="1"/>
  <c r="J2290" i="5"/>
  <c r="J264" i="8" s="1"/>
  <c r="J2296" i="5"/>
  <c r="J266" i="8" s="1"/>
  <c r="J2306" i="5"/>
  <c r="J268" i="8" s="1"/>
  <c r="J2312" i="5"/>
  <c r="J272" i="8" s="1"/>
  <c r="J2314" i="5"/>
  <c r="J273" i="8" s="1"/>
  <c r="K2384" i="5"/>
  <c r="K304" i="8" s="1"/>
  <c r="K2388" i="5"/>
  <c r="K306" i="8" s="1"/>
  <c r="K2396" i="5"/>
  <c r="K309" i="8" s="1"/>
  <c r="K2403" i="5"/>
  <c r="K312" i="8" s="1"/>
  <c r="K2407" i="5"/>
  <c r="K314" i="8" s="1"/>
  <c r="K2421" i="5"/>
  <c r="K318" i="8" s="1"/>
  <c r="K2435" i="5"/>
  <c r="K324" i="8" s="1"/>
  <c r="K2439" i="5"/>
  <c r="K325" i="8" s="1"/>
  <c r="K2451" i="5"/>
  <c r="K329" i="8" s="1"/>
  <c r="J2461" i="5"/>
  <c r="J334" i="8" s="1"/>
  <c r="J2463" i="5"/>
  <c r="J335" i="8" s="1"/>
  <c r="J2470" i="5"/>
  <c r="J337" i="8" s="1"/>
  <c r="J2480" i="5"/>
  <c r="J341" i="8" s="1"/>
  <c r="J2495" i="5"/>
  <c r="J346" i="8" s="1"/>
  <c r="K1876" i="5"/>
  <c r="K77" i="8" s="1"/>
  <c r="J2099" i="5"/>
  <c r="J180" i="8" s="1"/>
  <c r="J2101" i="5"/>
  <c r="J181" i="8" s="1"/>
  <c r="J2103" i="5"/>
  <c r="J182" i="8" s="1"/>
  <c r="J2105" i="5"/>
  <c r="J184" i="8" s="1"/>
  <c r="J2107" i="5"/>
  <c r="J185" i="8" s="1"/>
  <c r="J2109" i="5"/>
  <c r="J186" i="8" s="1"/>
  <c r="J2111" i="5"/>
  <c r="J187" i="8" s="1"/>
  <c r="J2113" i="5"/>
  <c r="J188" i="8" s="1"/>
  <c r="J2115" i="5"/>
  <c r="J189" i="8" s="1"/>
  <c r="J2117" i="5"/>
  <c r="J190" i="8" s="1"/>
  <c r="J2121" i="5"/>
  <c r="J192" i="8" s="1"/>
  <c r="J2125" i="5"/>
  <c r="J193" i="8" s="1"/>
  <c r="J2127" i="5"/>
  <c r="J194" i="8" s="1"/>
  <c r="J2133" i="5"/>
  <c r="J197" i="8" s="1"/>
  <c r="J2137" i="5"/>
  <c r="J199" i="8" s="1"/>
  <c r="J2143" i="5"/>
  <c r="J201" i="8" s="1"/>
  <c r="J2145" i="5"/>
  <c r="J202" i="8" s="1"/>
  <c r="J2157" i="5"/>
  <c r="J208" i="8" s="1"/>
  <c r="J2165" i="5"/>
  <c r="J211" i="8" s="1"/>
  <c r="J2175" i="5"/>
  <c r="J216" i="8" s="1"/>
  <c r="J2177" i="5"/>
  <c r="J218" i="8" s="1"/>
  <c r="J2179" i="5"/>
  <c r="J219" i="8" s="1"/>
  <c r="J2183" i="5"/>
  <c r="J221" i="8" s="1"/>
  <c r="J2191" i="5"/>
  <c r="J225" i="8" s="1"/>
  <c r="J2195" i="5"/>
  <c r="J226" i="8" s="1"/>
  <c r="J2199" i="5"/>
  <c r="J228" i="8" s="1"/>
  <c r="J2205" i="5"/>
  <c r="J230" i="8" s="1"/>
  <c r="J2211" i="5"/>
  <c r="J232" i="8" s="1"/>
  <c r="J2213" i="5"/>
  <c r="J233" i="8" s="1"/>
  <c r="J2215" i="5"/>
  <c r="J234" i="8" s="1"/>
  <c r="K2220" i="5"/>
  <c r="K236" i="8" s="1"/>
  <c r="K2224" i="5"/>
  <c r="K238" i="8" s="1"/>
  <c r="K2232" i="5"/>
  <c r="K240" i="8" s="1"/>
  <c r="K2236" i="5"/>
  <c r="K242" i="8" s="1"/>
  <c r="K2242" i="5"/>
  <c r="K244" i="8" s="1"/>
  <c r="K2246" i="5"/>
  <c r="K245" i="8" s="1"/>
  <c r="K2250" i="5"/>
  <c r="K247" i="8" s="1"/>
  <c r="K2254" i="5"/>
  <c r="K249" i="8" s="1"/>
  <c r="K2256" i="5"/>
  <c r="K250" i="8" s="1"/>
  <c r="K2258" i="5"/>
  <c r="K251" i="8" s="1"/>
  <c r="K2260" i="5"/>
  <c r="K252" i="8" s="1"/>
  <c r="K2268" i="5"/>
  <c r="K254" i="8" s="1"/>
  <c r="K2280" i="5"/>
  <c r="K259" i="8" s="1"/>
  <c r="K2282" i="5"/>
  <c r="K260" i="8" s="1"/>
  <c r="K2290" i="5"/>
  <c r="K264" i="8" s="1"/>
  <c r="K2296" i="5"/>
  <c r="K266" i="8" s="1"/>
  <c r="K2306" i="5"/>
  <c r="K268" i="8" s="1"/>
  <c r="K2312" i="5"/>
  <c r="K272" i="8" s="1"/>
  <c r="K2314" i="5"/>
  <c r="K273" i="8" s="1"/>
  <c r="K2339" i="5"/>
  <c r="K285" i="8" s="1"/>
  <c r="K2343" i="5"/>
  <c r="K286" i="8" s="1"/>
  <c r="K2351" i="5"/>
  <c r="K290" i="8" s="1"/>
  <c r="K2358" i="5"/>
  <c r="K294" i="8" s="1"/>
  <c r="K2362" i="5"/>
  <c r="K296" i="8" s="1"/>
  <c r="J2385" i="5"/>
  <c r="J305" i="8" s="1"/>
  <c r="J2401" i="5"/>
  <c r="J311" i="8" s="1"/>
  <c r="J2382" i="5"/>
  <c r="J303" i="8" s="1"/>
  <c r="J2418" i="5"/>
  <c r="J317" i="8" s="1"/>
  <c r="J2426" i="5"/>
  <c r="J319" i="8" s="1"/>
  <c r="J2432" i="5"/>
  <c r="J322" i="8" s="1"/>
  <c r="J2442" i="5"/>
  <c r="J326" i="8" s="1"/>
  <c r="J2454" i="5"/>
  <c r="J331" i="8" s="1"/>
  <c r="J2456" i="5"/>
  <c r="J332" i="8" s="1"/>
  <c r="K2461" i="5"/>
  <c r="K334" i="8" s="1"/>
  <c r="K2463" i="5"/>
  <c r="K335" i="8" s="1"/>
  <c r="K2470" i="5"/>
  <c r="K337" i="8" s="1"/>
  <c r="K2478" i="5"/>
  <c r="K340" i="8" s="1"/>
  <c r="K2480" i="5"/>
  <c r="K341" i="8" s="1"/>
  <c r="K2495" i="5"/>
  <c r="K346" i="8" s="1"/>
  <c r="K2052" i="5"/>
  <c r="K159" i="8" s="1"/>
  <c r="K2056" i="5"/>
  <c r="K160" i="8" s="1"/>
  <c r="K2058" i="5"/>
  <c r="K161" i="8" s="1"/>
  <c r="K2068" i="5"/>
  <c r="K165" i="8" s="1"/>
  <c r="K2070" i="5"/>
  <c r="K166" i="8" s="1"/>
  <c r="K2072" i="5"/>
  <c r="K167" i="8" s="1"/>
  <c r="K2091" i="5"/>
  <c r="K175" i="8" s="1"/>
  <c r="K2099" i="5"/>
  <c r="K180" i="8" s="1"/>
  <c r="K2101" i="5"/>
  <c r="K181" i="8" s="1"/>
  <c r="K2103" i="5"/>
  <c r="K182" i="8" s="1"/>
  <c r="K2105" i="5"/>
  <c r="K184" i="8" s="1"/>
  <c r="K2107" i="5"/>
  <c r="K185" i="8" s="1"/>
  <c r="K2109" i="5"/>
  <c r="K186" i="8" s="1"/>
  <c r="K2111" i="5"/>
  <c r="K187" i="8" s="1"/>
  <c r="K2113" i="5"/>
  <c r="K188" i="8" s="1"/>
  <c r="K2115" i="5"/>
  <c r="K189" i="8" s="1"/>
  <c r="K2117" i="5"/>
  <c r="K190" i="8" s="1"/>
  <c r="K2121" i="5"/>
  <c r="K192" i="8" s="1"/>
  <c r="K2125" i="5"/>
  <c r="K193" i="8" s="1"/>
  <c r="K2127" i="5"/>
  <c r="K194" i="8" s="1"/>
  <c r="K2133" i="5"/>
  <c r="K197" i="8" s="1"/>
  <c r="K2137" i="5"/>
  <c r="K199" i="8" s="1"/>
  <c r="K2143" i="5"/>
  <c r="K201" i="8" s="1"/>
  <c r="K2145" i="5"/>
  <c r="K202" i="8" s="1"/>
  <c r="K2157" i="5"/>
  <c r="K208" i="8" s="1"/>
  <c r="K2165" i="5"/>
  <c r="K211" i="8" s="1"/>
  <c r="K2175" i="5"/>
  <c r="K216" i="8" s="1"/>
  <c r="K2177" i="5"/>
  <c r="K218" i="8" s="1"/>
  <c r="K2179" i="5"/>
  <c r="K219" i="8" s="1"/>
  <c r="K2183" i="5"/>
  <c r="K221" i="8" s="1"/>
  <c r="K2191" i="5"/>
  <c r="K225" i="8" s="1"/>
  <c r="K2195" i="5"/>
  <c r="K226" i="8" s="1"/>
  <c r="K2199" i="5"/>
  <c r="K228" i="8" s="1"/>
  <c r="K2205" i="5"/>
  <c r="K230" i="8" s="1"/>
  <c r="K2211" i="5"/>
  <c r="K232" i="8" s="1"/>
  <c r="K2213" i="5"/>
  <c r="K233" i="8" s="1"/>
  <c r="K2215" i="5"/>
  <c r="K234" i="8" s="1"/>
  <c r="J2223" i="5"/>
  <c r="J237" i="8" s="1"/>
  <c r="J2227" i="5"/>
  <c r="J239" i="8" s="1"/>
  <c r="J2233" i="5"/>
  <c r="J241" i="8" s="1"/>
  <c r="J2239" i="5"/>
  <c r="J243" i="8" s="1"/>
  <c r="J2247" i="5"/>
  <c r="J246" i="8" s="1"/>
  <c r="J2253" i="5"/>
  <c r="J248" i="8" s="1"/>
  <c r="J2263" i="5"/>
  <c r="J253" i="8" s="1"/>
  <c r="J2269" i="5"/>
  <c r="J255" i="8" s="1"/>
  <c r="J2273" i="5"/>
  <c r="J256" i="8" s="1"/>
  <c r="J2277" i="5"/>
  <c r="J257" i="8" s="1"/>
  <c r="J2279" i="5"/>
  <c r="J258" i="8" s="1"/>
  <c r="J2285" i="5"/>
  <c r="J261" i="8" s="1"/>
  <c r="J2287" i="5"/>
  <c r="J262" i="8" s="1"/>
  <c r="J2291" i="5"/>
  <c r="J265" i="8" s="1"/>
  <c r="J2301" i="5"/>
  <c r="J267" i="8" s="1"/>
  <c r="J2307" i="5"/>
  <c r="J269" i="8" s="1"/>
  <c r="J2309" i="5"/>
  <c r="J270" i="8" s="1"/>
  <c r="J2311" i="5"/>
  <c r="J271" i="8" s="1"/>
  <c r="J2316" i="5"/>
  <c r="J274" i="8" s="1"/>
  <c r="J2328" i="5"/>
  <c r="J280" i="8" s="1"/>
  <c r="J2346" i="5"/>
  <c r="J288" i="8" s="1"/>
  <c r="J2348" i="5"/>
  <c r="J289" i="8" s="1"/>
  <c r="J2352" i="5"/>
  <c r="J291" i="8" s="1"/>
  <c r="J2356" i="5"/>
  <c r="J293" i="8" s="1"/>
  <c r="J2367" i="5"/>
  <c r="J298" i="8" s="1"/>
  <c r="K2385" i="5"/>
  <c r="K305" i="8" s="1"/>
  <c r="K2395" i="5"/>
  <c r="K308" i="8" s="1"/>
  <c r="K2401" i="5"/>
  <c r="K311" i="8" s="1"/>
  <c r="K2382" i="5"/>
  <c r="K303" i="8" s="1"/>
  <c r="K2406" i="5"/>
  <c r="K313" i="8" s="1"/>
  <c r="K2411" i="5"/>
  <c r="K315" i="8" s="1"/>
  <c r="K2418" i="5"/>
  <c r="K317" i="8" s="1"/>
  <c r="K2426" i="5"/>
  <c r="K319" i="8" s="1"/>
  <c r="K2430" i="5"/>
  <c r="K321" i="8" s="1"/>
  <c r="K2432" i="5"/>
  <c r="K322" i="8" s="1"/>
  <c r="K2434" i="5"/>
  <c r="K323" i="8" s="1"/>
  <c r="K2442" i="5"/>
  <c r="K326" i="8" s="1"/>
  <c r="K2454" i="5"/>
  <c r="K331" i="8" s="1"/>
  <c r="K2456" i="5"/>
  <c r="K332" i="8" s="1"/>
  <c r="J2473" i="5"/>
  <c r="J338" i="8" s="1"/>
  <c r="J2502" i="5"/>
  <c r="J348" i="8" s="1"/>
  <c r="J2504" i="5"/>
  <c r="J349" i="8" s="1"/>
  <c r="J2486" i="5"/>
  <c r="J343" i="8" s="1"/>
  <c r="J2492" i="5"/>
  <c r="J345" i="8" s="1"/>
  <c r="J2506" i="5"/>
  <c r="J350" i="8" s="1"/>
  <c r="M1708" i="5"/>
  <c r="N1708" i="5" s="1"/>
  <c r="O1708" i="5" s="1"/>
  <c r="P1708" i="5" s="1"/>
  <c r="D1708" i="5"/>
  <c r="E1708" i="5" s="1"/>
  <c r="F1708" i="5" s="1"/>
  <c r="G1708" i="5" s="1"/>
  <c r="H1708" i="5" s="1"/>
  <c r="J1709" i="5"/>
  <c r="J8" i="8" s="1"/>
  <c r="D1876" i="5"/>
  <c r="D77" i="8" s="1"/>
  <c r="P1746" i="5"/>
  <c r="M1204" i="5"/>
  <c r="M1203" i="5" s="1"/>
  <c r="M2294" i="5" s="1"/>
  <c r="E2294" i="5" s="1"/>
  <c r="J1138" i="5"/>
  <c r="P167" i="5"/>
  <c r="P166" i="5" s="1"/>
  <c r="P1792" i="5" s="1"/>
  <c r="H1792" i="5" s="1"/>
  <c r="G526" i="5"/>
  <c r="G527" i="5" s="1"/>
  <c r="J527" i="5" s="1"/>
  <c r="P780" i="5"/>
  <c r="N931" i="5"/>
  <c r="N930" i="5" s="1"/>
  <c r="N2173" i="5" s="1"/>
  <c r="F2173" i="5" s="1"/>
  <c r="Q609" i="5"/>
  <c r="Q642" i="5"/>
  <c r="O1529" i="5"/>
  <c r="M667" i="5"/>
  <c r="G1002" i="5"/>
  <c r="G1003" i="5" s="1"/>
  <c r="N1003" i="5" s="1"/>
  <c r="J1099" i="5"/>
  <c r="J277" i="5"/>
  <c r="J1155" i="5"/>
  <c r="Q32" i="5"/>
  <c r="V32" i="5" s="1"/>
  <c r="Q41" i="5"/>
  <c r="V41" i="5" s="1"/>
  <c r="J50" i="5"/>
  <c r="Q92" i="5"/>
  <c r="V92" i="5" s="1"/>
  <c r="Q681" i="5"/>
  <c r="Q1015" i="5"/>
  <c r="L1110" i="5"/>
  <c r="Q206" i="5"/>
  <c r="L571" i="5"/>
  <c r="J595" i="5"/>
  <c r="Q823" i="5"/>
  <c r="L561" i="5"/>
  <c r="L585" i="5"/>
  <c r="J601" i="5"/>
  <c r="N1184" i="5"/>
  <c r="Q1187" i="5"/>
  <c r="Q1197" i="5"/>
  <c r="M751" i="5"/>
  <c r="N1324" i="5"/>
  <c r="L1351" i="5"/>
  <c r="Q1404" i="5"/>
  <c r="Q1039" i="5"/>
  <c r="Q1340" i="5"/>
  <c r="M5" i="5"/>
  <c r="N5" i="5" s="1"/>
  <c r="O5" i="5" s="1"/>
  <c r="P5" i="5" s="1"/>
  <c r="J276" i="5"/>
  <c r="M335" i="5"/>
  <c r="M334" i="5" s="1"/>
  <c r="M1875" i="5" s="1"/>
  <c r="E1875" i="5" s="1"/>
  <c r="J596" i="5"/>
  <c r="L662" i="5"/>
  <c r="L667" i="5"/>
  <c r="Q1508" i="5"/>
  <c r="J1526" i="5"/>
  <c r="J1534" i="5"/>
  <c r="M18" i="5"/>
  <c r="Q408" i="5"/>
  <c r="Q468" i="5"/>
  <c r="Q503" i="5"/>
  <c r="N561" i="5"/>
  <c r="N571" i="5"/>
  <c r="L719" i="5"/>
  <c r="L718" i="5" s="1"/>
  <c r="L2064" i="5" s="1"/>
  <c r="D2064" i="5" s="1"/>
  <c r="Q731" i="5"/>
  <c r="Q735" i="5"/>
  <c r="L911" i="5"/>
  <c r="P1069" i="5"/>
  <c r="N1130" i="5"/>
  <c r="J1136" i="5"/>
  <c r="O1161" i="5"/>
  <c r="L1168" i="5"/>
  <c r="J1252" i="5"/>
  <c r="J1301" i="5"/>
  <c r="Q1451" i="5"/>
  <c r="Q1678" i="5"/>
  <c r="Q6" i="5"/>
  <c r="N212" i="5"/>
  <c r="Q218" i="5"/>
  <c r="Q251" i="5"/>
  <c r="Q257" i="5"/>
  <c r="M300" i="5"/>
  <c r="Q340" i="5"/>
  <c r="Q348" i="5"/>
  <c r="L354" i="5"/>
  <c r="Q360" i="5"/>
  <c r="Q372" i="5"/>
  <c r="Q384" i="5"/>
  <c r="Q492" i="5"/>
  <c r="J522" i="5"/>
  <c r="Q592" i="5"/>
  <c r="Q926" i="5"/>
  <c r="N1029" i="5"/>
  <c r="Q1088" i="5"/>
  <c r="J1161" i="5"/>
  <c r="Q1173" i="5"/>
  <c r="J1339" i="5"/>
  <c r="Q1400" i="5"/>
  <c r="Q1561" i="5"/>
  <c r="Q1578" i="5"/>
  <c r="J1623" i="5"/>
  <c r="Q1670" i="5"/>
  <c r="Q176" i="5"/>
  <c r="L238" i="5"/>
  <c r="L237" i="5" s="1"/>
  <c r="L1829" i="5" s="1"/>
  <c r="D1829" i="5" s="1"/>
  <c r="M354" i="5"/>
  <c r="Q622" i="5"/>
  <c r="Q776" i="5"/>
  <c r="Q788" i="5"/>
  <c r="Q791" i="5"/>
  <c r="Q797" i="5"/>
  <c r="Q829" i="5"/>
  <c r="Q856" i="5"/>
  <c r="Q1046" i="5"/>
  <c r="J1069" i="5"/>
  <c r="Q1118" i="5"/>
  <c r="Q1157" i="5"/>
  <c r="Q1244" i="5"/>
  <c r="J1250" i="5"/>
  <c r="Q1412" i="5"/>
  <c r="Q1545" i="5"/>
  <c r="Q1608" i="5"/>
  <c r="M2094" i="5"/>
  <c r="M177" i="8" s="1"/>
  <c r="N1717" i="5"/>
  <c r="N12" i="8" s="1"/>
  <c r="N2044" i="5"/>
  <c r="N155" i="8" s="1"/>
  <c r="O1717" i="5"/>
  <c r="O12" i="8" s="1"/>
  <c r="Q25" i="5"/>
  <c r="V25" i="5" s="1"/>
  <c r="Q40" i="5"/>
  <c r="V40" i="5" s="1"/>
  <c r="Q51" i="5"/>
  <c r="V51" i="5" s="1"/>
  <c r="Q70" i="5"/>
  <c r="V70" i="5" s="1"/>
  <c r="Q89" i="5"/>
  <c r="V89" i="5" s="1"/>
  <c r="Q122" i="5"/>
  <c r="V122" i="5" s="1"/>
  <c r="Q151" i="5"/>
  <c r="V151" i="5" s="1"/>
  <c r="Q157" i="5"/>
  <c r="V157" i="5" s="1"/>
  <c r="Q175" i="5"/>
  <c r="Q207" i="5"/>
  <c r="Q245" i="5"/>
  <c r="Q263" i="5"/>
  <c r="Q274" i="5"/>
  <c r="Q290" i="5"/>
  <c r="Q293" i="5"/>
  <c r="Q333" i="5"/>
  <c r="Q347" i="5"/>
  <c r="Q349" i="5"/>
  <c r="J362" i="5"/>
  <c r="Q383" i="5"/>
  <c r="Q390" i="5"/>
  <c r="Q396" i="5"/>
  <c r="Q404" i="5"/>
  <c r="Q407" i="5"/>
  <c r="M416" i="5"/>
  <c r="Q473" i="5"/>
  <c r="Q477" i="5"/>
  <c r="Q482" i="5"/>
  <c r="Q487" i="5"/>
  <c r="Q515" i="5"/>
  <c r="Q529" i="5"/>
  <c r="L586" i="5"/>
  <c r="Q589" i="5"/>
  <c r="Q626" i="5"/>
  <c r="Q682" i="5"/>
  <c r="O2044" i="5"/>
  <c r="O155" i="8" s="1"/>
  <c r="Q689" i="5"/>
  <c r="G740" i="5"/>
  <c r="I740" i="5" s="1"/>
  <c r="O822" i="5"/>
  <c r="O821" i="5" s="1"/>
  <c r="O2116" i="5" s="1"/>
  <c r="G2116" i="5" s="1"/>
  <c r="L822" i="5"/>
  <c r="L821" i="5" s="1"/>
  <c r="L2116" i="5" s="1"/>
  <c r="D2116" i="5" s="1"/>
  <c r="O944" i="5"/>
  <c r="N944" i="5"/>
  <c r="M944" i="5"/>
  <c r="G1061" i="5"/>
  <c r="H1061" i="5" s="1"/>
  <c r="I1061" i="5" s="1"/>
  <c r="P1061" i="5" s="1"/>
  <c r="P1060" i="5" s="1"/>
  <c r="P2235" i="5" s="1"/>
  <c r="H2235" i="5" s="1"/>
  <c r="O825" i="5"/>
  <c r="L825" i="5"/>
  <c r="P1717" i="5"/>
  <c r="P12" i="8" s="1"/>
  <c r="O50" i="5"/>
  <c r="O49" i="5" s="1"/>
  <c r="O1730" i="5" s="1"/>
  <c r="Q52" i="5"/>
  <c r="V52" i="5" s="1"/>
  <c r="Q55" i="5"/>
  <c r="V55" i="5" s="1"/>
  <c r="Q77" i="5"/>
  <c r="V77" i="5" s="1"/>
  <c r="Q86" i="5"/>
  <c r="V86" i="5" s="1"/>
  <c r="Q110" i="5"/>
  <c r="V110" i="5" s="1"/>
  <c r="Q121" i="5"/>
  <c r="V121" i="5" s="1"/>
  <c r="Q138" i="5"/>
  <c r="V138" i="5" s="1"/>
  <c r="Q168" i="5"/>
  <c r="V168" i="5" s="1"/>
  <c r="Q232" i="5"/>
  <c r="Q273" i="5"/>
  <c r="J289" i="5"/>
  <c r="Q298" i="5"/>
  <c r="Q332" i="5"/>
  <c r="Q343" i="5"/>
  <c r="J363" i="5"/>
  <c r="Q412" i="5"/>
  <c r="Q440" i="5"/>
  <c r="G446" i="5"/>
  <c r="H446" i="5" s="1"/>
  <c r="Q456" i="5"/>
  <c r="Q519" i="5"/>
  <c r="M526" i="5"/>
  <c r="Q536" i="5"/>
  <c r="J541" i="5"/>
  <c r="Q603" i="5"/>
  <c r="Q619" i="5"/>
  <c r="P2010" i="5"/>
  <c r="P138" i="8" s="1"/>
  <c r="L625" i="5"/>
  <c r="L624" i="5" s="1"/>
  <c r="L2014" i="5" s="1"/>
  <c r="D2014" i="5" s="1"/>
  <c r="Q650" i="5"/>
  <c r="Q663" i="5"/>
  <c r="Q665" i="5"/>
  <c r="Q672" i="5"/>
  <c r="P2044" i="5"/>
  <c r="P155" i="8" s="1"/>
  <c r="O2096" i="5"/>
  <c r="O178" i="8" s="1"/>
  <c r="Q22" i="5"/>
  <c r="V22" i="5" s="1"/>
  <c r="M1717" i="5"/>
  <c r="M12" i="8" s="1"/>
  <c r="M38" i="5"/>
  <c r="J43" i="5"/>
  <c r="Q48" i="5"/>
  <c r="V48" i="5" s="1"/>
  <c r="Q63" i="5"/>
  <c r="V63" i="5" s="1"/>
  <c r="Q78" i="5"/>
  <c r="V78" i="5" s="1"/>
  <c r="Q93" i="5"/>
  <c r="V93" i="5" s="1"/>
  <c r="Q101" i="5"/>
  <c r="V101" i="5" s="1"/>
  <c r="Q114" i="5"/>
  <c r="V114" i="5" s="1"/>
  <c r="Q143" i="5"/>
  <c r="V143" i="5" s="1"/>
  <c r="Q182" i="5"/>
  <c r="L212" i="5"/>
  <c r="Q226" i="5"/>
  <c r="Q339" i="5"/>
  <c r="Q448" i="5"/>
  <c r="J491" i="5"/>
  <c r="Q493" i="5"/>
  <c r="Q511" i="5"/>
  <c r="Q537" i="5"/>
  <c r="P541" i="5"/>
  <c r="P540" i="5" s="1"/>
  <c r="P1973" i="5" s="1"/>
  <c r="J549" i="5"/>
  <c r="Q552" i="5"/>
  <c r="Q556" i="5"/>
  <c r="Q593" i="5"/>
  <c r="Q599" i="5"/>
  <c r="Q623" i="5"/>
  <c r="Q651" i="5"/>
  <c r="Q656" i="5"/>
  <c r="Q659" i="5"/>
  <c r="Q671" i="5"/>
  <c r="M2044" i="5"/>
  <c r="M155" i="8" s="1"/>
  <c r="O778" i="5"/>
  <c r="O777" i="5" s="1"/>
  <c r="O2093" i="5" s="1"/>
  <c r="G2093" i="5" s="1"/>
  <c r="P778" i="5"/>
  <c r="P800" i="5"/>
  <c r="M800" i="5"/>
  <c r="J967" i="5"/>
  <c r="G983" i="5"/>
  <c r="J983" i="5" s="1"/>
  <c r="O1003" i="5"/>
  <c r="L1003" i="5"/>
  <c r="J1480" i="5"/>
  <c r="Q705" i="5"/>
  <c r="Q734" i="5"/>
  <c r="Q775" i="5"/>
  <c r="Q787" i="5"/>
  <c r="Q796" i="5"/>
  <c r="Q857" i="5"/>
  <c r="Q880" i="5"/>
  <c r="Q887" i="5"/>
  <c r="Q909" i="5"/>
  <c r="Q918" i="5"/>
  <c r="Q942" i="5"/>
  <c r="Q993" i="5"/>
  <c r="M1003" i="5"/>
  <c r="Q1011" i="5"/>
  <c r="Q1018" i="5"/>
  <c r="Q1038" i="5"/>
  <c r="M1044" i="5"/>
  <c r="Q1062" i="5"/>
  <c r="Q1094" i="5"/>
  <c r="Q1101" i="5"/>
  <c r="J1139" i="5"/>
  <c r="Q1145" i="5"/>
  <c r="J1156" i="5"/>
  <c r="Q1196" i="5"/>
  <c r="Q1198" i="5"/>
  <c r="Q1207" i="5"/>
  <c r="Q329" i="5"/>
  <c r="M771" i="5"/>
  <c r="Q1245" i="5"/>
  <c r="J1305" i="5"/>
  <c r="M1309" i="5"/>
  <c r="Q1318" i="5"/>
  <c r="Q1327" i="5"/>
  <c r="Q1365" i="5"/>
  <c r="Q1371" i="5"/>
  <c r="Q1452" i="5"/>
  <c r="Q1481" i="5"/>
  <c r="N2427" i="5"/>
  <c r="N320" i="8" s="1"/>
  <c r="J1525" i="5"/>
  <c r="F1528" i="5"/>
  <c r="G1528" i="5" s="1"/>
  <c r="H1528" i="5" s="1"/>
  <c r="I1528" i="5" s="1"/>
  <c r="Q1531" i="5"/>
  <c r="Q1538" i="5"/>
  <c r="Q1557" i="5"/>
  <c r="Q1573" i="5"/>
  <c r="Q1593" i="5"/>
  <c r="Q1600" i="5"/>
  <c r="Q1603" i="5"/>
  <c r="Q1618" i="5"/>
  <c r="O1674" i="5"/>
  <c r="Q1624" i="5"/>
  <c r="Q709" i="5"/>
  <c r="Q847" i="5"/>
  <c r="Q864" i="5"/>
  <c r="Q884" i="5"/>
  <c r="Q923" i="5"/>
  <c r="M931" i="5"/>
  <c r="M930" i="5" s="1"/>
  <c r="M2173" i="5" s="1"/>
  <c r="E2173" i="5" s="1"/>
  <c r="Q961" i="5"/>
  <c r="Q1019" i="5"/>
  <c r="M1061" i="5"/>
  <c r="M1060" i="5" s="1"/>
  <c r="M2235" i="5" s="1"/>
  <c r="E2235" i="5" s="1"/>
  <c r="M1068" i="5"/>
  <c r="Q1113" i="5"/>
  <c r="Q1169" i="5"/>
  <c r="Q1178" i="5"/>
  <c r="Q1191" i="5"/>
  <c r="O1202" i="5"/>
  <c r="O1201" i="5" s="1"/>
  <c r="O2293" i="5" s="1"/>
  <c r="F1209" i="5"/>
  <c r="Q1226" i="5"/>
  <c r="Q302" i="5"/>
  <c r="Q764" i="5"/>
  <c r="Q1267" i="5"/>
  <c r="Q1296" i="5"/>
  <c r="Q1326" i="5"/>
  <c r="Q1336" i="5"/>
  <c r="Q1364" i="5"/>
  <c r="Q1425" i="5"/>
  <c r="J1486" i="5"/>
  <c r="Q1501" i="5"/>
  <c r="M2430" i="5"/>
  <c r="M321" i="8" s="1"/>
  <c r="Q1513" i="5"/>
  <c r="Q1553" i="5"/>
  <c r="Q1552" i="5"/>
  <c r="Q1569" i="5"/>
  <c r="J1595" i="5"/>
  <c r="Q708" i="5"/>
  <c r="Q727" i="5"/>
  <c r="N780" i="5"/>
  <c r="Q781" i="5"/>
  <c r="Q830" i="5"/>
  <c r="Q850" i="5"/>
  <c r="Q881" i="5"/>
  <c r="Q938" i="5"/>
  <c r="Q941" i="5"/>
  <c r="Q949" i="5"/>
  <c r="Q960" i="5"/>
  <c r="Q968" i="5"/>
  <c r="Q1031" i="5"/>
  <c r="Q1057" i="5"/>
  <c r="J1068" i="5"/>
  <c r="Q1087" i="5"/>
  <c r="M1096" i="5"/>
  <c r="Q1107" i="5"/>
  <c r="Q1127" i="5"/>
  <c r="Q1174" i="5"/>
  <c r="L1209" i="5"/>
  <c r="L1208" i="5" s="1"/>
  <c r="Q1232" i="5"/>
  <c r="Q1239" i="5"/>
  <c r="Q742" i="5"/>
  <c r="Q1314" i="5"/>
  <c r="Q1476" i="5"/>
  <c r="J1499" i="5"/>
  <c r="P2427" i="5"/>
  <c r="P320" i="8" s="1"/>
  <c r="Q1512" i="5"/>
  <c r="J1521" i="5"/>
  <c r="Q1583" i="5"/>
  <c r="Q1613" i="5"/>
  <c r="J1622" i="5"/>
  <c r="L186" i="5"/>
  <c r="L185" i="5" s="1"/>
  <c r="L1802" i="5" s="1"/>
  <c r="L442" i="5"/>
  <c r="L545" i="5"/>
  <c r="M550" i="5"/>
  <c r="L628" i="5"/>
  <c r="L810" i="5"/>
  <c r="L838" i="5"/>
  <c r="N863" i="5"/>
  <c r="N862" i="5" s="1"/>
  <c r="N2136" i="5" s="1"/>
  <c r="F2136" i="5" s="1"/>
  <c r="L1076" i="5"/>
  <c r="L1186" i="5"/>
  <c r="M1194" i="5"/>
  <c r="P1242" i="5"/>
  <c r="L323" i="5"/>
  <c r="N746" i="5"/>
  <c r="O2468" i="5"/>
  <c r="G2468" i="5" s="1"/>
  <c r="P170" i="5"/>
  <c r="M184" i="5"/>
  <c r="M183" i="5" s="1"/>
  <c r="M1801" i="5" s="1"/>
  <c r="E1801" i="5" s="1"/>
  <c r="N186" i="5"/>
  <c r="N185" i="5" s="1"/>
  <c r="N1802" i="5" s="1"/>
  <c r="P228" i="5"/>
  <c r="M259" i="5"/>
  <c r="P268" i="5"/>
  <c r="M338" i="5"/>
  <c r="M337" i="5" s="1"/>
  <c r="M1877" i="5" s="1"/>
  <c r="E1877" i="5" s="1"/>
  <c r="M356" i="5"/>
  <c r="M365" i="5"/>
  <c r="M364" i="5" s="1"/>
  <c r="M1891" i="5" s="1"/>
  <c r="N392" i="5"/>
  <c r="M400" i="5"/>
  <c r="P442" i="5"/>
  <c r="N479" i="5"/>
  <c r="L534" i="5"/>
  <c r="M628" i="5"/>
  <c r="M636" i="5"/>
  <c r="L680" i="5"/>
  <c r="L679" i="5" s="1"/>
  <c r="L2042" i="5" s="1"/>
  <c r="D2042" i="5" s="1"/>
  <c r="L794" i="5"/>
  <c r="L839" i="5"/>
  <c r="L1029" i="5"/>
  <c r="P1124" i="5"/>
  <c r="N1186" i="5"/>
  <c r="O1220" i="5"/>
  <c r="M1299" i="5"/>
  <c r="M1576" i="5"/>
  <c r="N1605" i="5"/>
  <c r="N1604" i="5" s="1"/>
  <c r="N2476" i="5" s="1"/>
  <c r="F2476" i="5" s="1"/>
  <c r="P1606" i="5"/>
  <c r="P2477" i="5" s="1"/>
  <c r="H2477" i="5" s="1"/>
  <c r="N16" i="5"/>
  <c r="L170" i="5"/>
  <c r="L228" i="5"/>
  <c r="L356" i="5"/>
  <c r="L392" i="5"/>
  <c r="M479" i="5"/>
  <c r="N18" i="5"/>
  <c r="P186" i="5"/>
  <c r="P185" i="5" s="1"/>
  <c r="P1802" i="5" s="1"/>
  <c r="N338" i="5"/>
  <c r="N337" i="5" s="1"/>
  <c r="N1877" i="5" s="1"/>
  <c r="F1877" i="5" s="1"/>
  <c r="N356" i="5"/>
  <c r="P506" i="5"/>
  <c r="P1956" i="5" s="1"/>
  <c r="P111" i="8" s="1"/>
  <c r="M534" i="5"/>
  <c r="M794" i="5"/>
  <c r="O2209" i="5"/>
  <c r="G2209" i="5" s="1"/>
  <c r="M1029" i="5"/>
  <c r="J1202" i="5"/>
  <c r="P1399" i="5"/>
  <c r="P1398" i="5" s="1"/>
  <c r="P2381" i="5" s="1"/>
  <c r="H2381" i="5" s="1"/>
  <c r="P1496" i="5"/>
  <c r="M1597" i="5"/>
  <c r="L1644" i="5"/>
  <c r="L790" i="5"/>
  <c r="L789" i="5" s="1"/>
  <c r="L2100" i="5" s="1"/>
  <c r="D2100" i="5" s="1"/>
  <c r="L146" i="5"/>
  <c r="M198" i="5"/>
  <c r="M265" i="5"/>
  <c r="P375" i="5"/>
  <c r="M375" i="5"/>
  <c r="O535" i="5"/>
  <c r="O533" i="5" s="1"/>
  <c r="O1969" i="5" s="1"/>
  <c r="G1969" i="5" s="1"/>
  <c r="N535" i="5"/>
  <c r="O819" i="5"/>
  <c r="O818" i="5" s="1"/>
  <c r="O2114" i="5" s="1"/>
  <c r="M819" i="5"/>
  <c r="M818" i="5" s="1"/>
  <c r="M2114" i="5" s="1"/>
  <c r="L819" i="5"/>
  <c r="L818" i="5" s="1"/>
  <c r="L2114" i="5" s="1"/>
  <c r="O837" i="5"/>
  <c r="P837" i="5"/>
  <c r="O899" i="5"/>
  <c r="N899" i="5"/>
  <c r="M899" i="5"/>
  <c r="M898" i="5" s="1"/>
  <c r="M2155" i="5" s="1"/>
  <c r="E2155" i="5" s="1"/>
  <c r="M30" i="5"/>
  <c r="L113" i="5"/>
  <c r="L128" i="5"/>
  <c r="L133" i="5"/>
  <c r="M160" i="5"/>
  <c r="N276" i="5"/>
  <c r="L355" i="5"/>
  <c r="P370" i="5"/>
  <c r="M370" i="5"/>
  <c r="M528" i="5"/>
  <c r="M531" i="5"/>
  <c r="L535" i="5"/>
  <c r="L658" i="5"/>
  <c r="L657" i="5" s="1"/>
  <c r="L2030" i="5" s="1"/>
  <c r="D2030" i="5" s="1"/>
  <c r="L899" i="5"/>
  <c r="L17" i="5"/>
  <c r="L27" i="5"/>
  <c r="L26" i="5" s="1"/>
  <c r="L1720" i="5" s="1"/>
  <c r="N50" i="5"/>
  <c r="N49" i="5" s="1"/>
  <c r="N1730" i="5" s="1"/>
  <c r="N103" i="5"/>
  <c r="P108" i="5"/>
  <c r="P107" i="5" s="1"/>
  <c r="P1763" i="5" s="1"/>
  <c r="H1763" i="5" s="1"/>
  <c r="N113" i="5"/>
  <c r="P128" i="5"/>
  <c r="P133" i="5"/>
  <c r="N146" i="5"/>
  <c r="P189" i="5"/>
  <c r="P212" i="5"/>
  <c r="M231" i="5"/>
  <c r="M230" i="5" s="1"/>
  <c r="M1825" i="5" s="1"/>
  <c r="E1825" i="5" s="1"/>
  <c r="M276" i="5"/>
  <c r="P276" i="5"/>
  <c r="O282" i="5"/>
  <c r="O353" i="5"/>
  <c r="O1887" i="5" s="1"/>
  <c r="G1887" i="5" s="1"/>
  <c r="N355" i="5"/>
  <c r="P367" i="5"/>
  <c r="P366" i="5" s="1"/>
  <c r="P1892" i="5" s="1"/>
  <c r="H1892" i="5" s="1"/>
  <c r="M367" i="5"/>
  <c r="M366" i="5" s="1"/>
  <c r="M1892" i="5" s="1"/>
  <c r="E1892" i="5" s="1"/>
  <c r="L378" i="5"/>
  <c r="L377" i="5" s="1"/>
  <c r="L1897" i="5" s="1"/>
  <c r="O400" i="5"/>
  <c r="N400" i="5"/>
  <c r="N410" i="5"/>
  <c r="O737" i="5"/>
  <c r="L737" i="5"/>
  <c r="O934" i="5"/>
  <c r="P934" i="5"/>
  <c r="O1009" i="5"/>
  <c r="N1009" i="5"/>
  <c r="M1009" i="5"/>
  <c r="L1009" i="5"/>
  <c r="P1148" i="5"/>
  <c r="M1148" i="5"/>
  <c r="O1176" i="5"/>
  <c r="P1176" i="5"/>
  <c r="L1176" i="5"/>
  <c r="O767" i="5"/>
  <c r="N767" i="5"/>
  <c r="P1320" i="5"/>
  <c r="M1320" i="5"/>
  <c r="O581" i="5"/>
  <c r="P581" i="5"/>
  <c r="N581" i="5"/>
  <c r="L108" i="5"/>
  <c r="L107" i="5" s="1"/>
  <c r="L1763" i="5" s="1"/>
  <c r="D1763" i="5" s="1"/>
  <c r="L189" i="5"/>
  <c r="L276" i="5"/>
  <c r="O386" i="5"/>
  <c r="N386" i="5"/>
  <c r="O506" i="5"/>
  <c r="N506" i="5"/>
  <c r="N1956" i="5" s="1"/>
  <c r="N111" i="8" s="1"/>
  <c r="M506" i="5"/>
  <c r="M1956" i="5" s="1"/>
  <c r="M111" i="8" s="1"/>
  <c r="M525" i="5"/>
  <c r="N819" i="5"/>
  <c r="N818" i="5" s="1"/>
  <c r="N2114" i="5" s="1"/>
  <c r="P17" i="5"/>
  <c r="N27" i="5"/>
  <c r="N26" i="5" s="1"/>
  <c r="N1720" i="5" s="1"/>
  <c r="P113" i="5"/>
  <c r="P146" i="5"/>
  <c r="O365" i="5"/>
  <c r="O364" i="5" s="1"/>
  <c r="O1891" i="5" s="1"/>
  <c r="L365" i="5"/>
  <c r="L364" i="5" s="1"/>
  <c r="L1891" i="5" s="1"/>
  <c r="P410" i="5"/>
  <c r="P466" i="5"/>
  <c r="M466" i="5"/>
  <c r="O634" i="5"/>
  <c r="O633" i="5" s="1"/>
  <c r="O2019" i="5" s="1"/>
  <c r="G2019" i="5" s="1"/>
  <c r="N634" i="5"/>
  <c r="N633" i="5" s="1"/>
  <c r="N2019" i="5" s="1"/>
  <c r="F2019" i="5" s="1"/>
  <c r="O649" i="5"/>
  <c r="M649" i="5"/>
  <c r="O675" i="5"/>
  <c r="L675" i="5"/>
  <c r="O815" i="5"/>
  <c r="N815" i="5"/>
  <c r="L815" i="5"/>
  <c r="O979" i="5"/>
  <c r="P979" i="5"/>
  <c r="O1051" i="5"/>
  <c r="O1050" i="5" s="1"/>
  <c r="P1051" i="5"/>
  <c r="P1050" i="5" s="1"/>
  <c r="N1051" i="5"/>
  <c r="N1050" i="5" s="1"/>
  <c r="L1051" i="5"/>
  <c r="L1050" i="5" s="1"/>
  <c r="O1077" i="5"/>
  <c r="O1075" i="5" s="1"/>
  <c r="O2241" i="5" s="1"/>
  <c r="G2241" i="5" s="1"/>
  <c r="N1077" i="5"/>
  <c r="M1077" i="5"/>
  <c r="L1077" i="5"/>
  <c r="O1160" i="5"/>
  <c r="P1160" i="5"/>
  <c r="L1160" i="5"/>
  <c r="P1165" i="5"/>
  <c r="M1165" i="5"/>
  <c r="O1189" i="5"/>
  <c r="P1189" i="5"/>
  <c r="L1189" i="5"/>
  <c r="O318" i="5"/>
  <c r="N318" i="5"/>
  <c r="M318" i="5"/>
  <c r="L318" i="5"/>
  <c r="O774" i="5"/>
  <c r="N774" i="5"/>
  <c r="O1343" i="5"/>
  <c r="N1343" i="5"/>
  <c r="L1343" i="5"/>
  <c r="O1419" i="5"/>
  <c r="M1419" i="5"/>
  <c r="O1612" i="5"/>
  <c r="M1612" i="5"/>
  <c r="L1612" i="5"/>
  <c r="O1700" i="5"/>
  <c r="O1699" i="5" s="1"/>
  <c r="O2514" i="5" s="1"/>
  <c r="G2514" i="5" s="1"/>
  <c r="L1700" i="5"/>
  <c r="L1699" i="5" s="1"/>
  <c r="L2514" i="5" s="1"/>
  <c r="D2514" i="5" s="1"/>
  <c r="O1081" i="5"/>
  <c r="P1081" i="5"/>
  <c r="N1081" i="5"/>
  <c r="P1218" i="5"/>
  <c r="P1217" i="5" s="1"/>
  <c r="P2302" i="5" s="1"/>
  <c r="H2302" i="5" s="1"/>
  <c r="N1218" i="5"/>
  <c r="N1217" i="5" s="1"/>
  <c r="N2302" i="5" s="1"/>
  <c r="F2302" i="5" s="1"/>
  <c r="P1356" i="5"/>
  <c r="M1356" i="5"/>
  <c r="N1213" i="5"/>
  <c r="N1212" i="5" s="1"/>
  <c r="L1213" i="5"/>
  <c r="L1212" i="5" s="1"/>
  <c r="O759" i="5"/>
  <c r="P759" i="5"/>
  <c r="L759" i="5"/>
  <c r="P1003" i="5"/>
  <c r="N1110" i="5"/>
  <c r="P1130" i="5"/>
  <c r="N1168" i="5"/>
  <c r="P1186" i="5"/>
  <c r="P323" i="5"/>
  <c r="P1351" i="5"/>
  <c r="N1644" i="5"/>
  <c r="L1013" i="5"/>
  <c r="M1069" i="5"/>
  <c r="P1110" i="5"/>
  <c r="P1168" i="5"/>
  <c r="L1171" i="5"/>
  <c r="M305" i="5"/>
  <c r="N1305" i="5"/>
  <c r="L1496" i="5"/>
  <c r="L1605" i="5"/>
  <c r="L1604" i="5" s="1"/>
  <c r="L2476" i="5" s="1"/>
  <c r="D2476" i="5" s="1"/>
  <c r="P1171" i="5"/>
  <c r="L1184" i="5"/>
  <c r="P1213" i="5"/>
  <c r="P1212" i="5" s="1"/>
  <c r="J1222" i="5"/>
  <c r="L1242" i="5"/>
  <c r="M762" i="5"/>
  <c r="M1303" i="5"/>
  <c r="L1324" i="5"/>
  <c r="N1329" i="5"/>
  <c r="M1347" i="5"/>
  <c r="M1346" i="5" s="1"/>
  <c r="M2361" i="5" s="1"/>
  <c r="E2361" i="5" s="1"/>
  <c r="N1367" i="5"/>
  <c r="N1496" i="5"/>
  <c r="M1605" i="5"/>
  <c r="M1604" i="5" s="1"/>
  <c r="M2476" i="5" s="1"/>
  <c r="E2476" i="5" s="1"/>
  <c r="P61" i="5"/>
  <c r="P60" i="5" s="1"/>
  <c r="P1736" i="5" s="1"/>
  <c r="H1736" i="5" s="1"/>
  <c r="P142" i="5"/>
  <c r="O247" i="5"/>
  <c r="N247" i="5"/>
  <c r="M247" i="5"/>
  <c r="O1017" i="5"/>
  <c r="N1017" i="5"/>
  <c r="M1017" i="5"/>
  <c r="L1017" i="5"/>
  <c r="P1017" i="5"/>
  <c r="M10" i="5"/>
  <c r="N17" i="5"/>
  <c r="P18" i="5"/>
  <c r="M27" i="5"/>
  <c r="M26" i="5" s="1"/>
  <c r="M1720" i="5" s="1"/>
  <c r="P50" i="5"/>
  <c r="P49" i="5" s="1"/>
  <c r="P1730" i="5" s="1"/>
  <c r="L61" i="5"/>
  <c r="P103" i="5"/>
  <c r="L117" i="5"/>
  <c r="L124" i="5"/>
  <c r="L129" i="5"/>
  <c r="L142" i="5"/>
  <c r="L141" i="5" s="1"/>
  <c r="L1778" i="5" s="1"/>
  <c r="D1778" i="5" s="1"/>
  <c r="N160" i="5"/>
  <c r="N159" i="5" s="1"/>
  <c r="N1788" i="5" s="1"/>
  <c r="F1788" i="5" s="1"/>
  <c r="L167" i="5"/>
  <c r="L166" i="5" s="1"/>
  <c r="L1792" i="5" s="1"/>
  <c r="D1792" i="5" s="1"/>
  <c r="N170" i="5"/>
  <c r="N184" i="5"/>
  <c r="N183" i="5" s="1"/>
  <c r="N1801" i="5" s="1"/>
  <c r="F1801" i="5" s="1"/>
  <c r="M220" i="5"/>
  <c r="L223" i="5"/>
  <c r="L222" i="5" s="1"/>
  <c r="L1821" i="5" s="1"/>
  <c r="D1821" i="5" s="1"/>
  <c r="L235" i="5"/>
  <c r="L241" i="5"/>
  <c r="L247" i="5"/>
  <c r="M253" i="5"/>
  <c r="P424" i="5"/>
  <c r="M424" i="5"/>
  <c r="O566" i="5"/>
  <c r="P566" i="5"/>
  <c r="N566" i="5"/>
  <c r="L566" i="5"/>
  <c r="O661" i="5"/>
  <c r="O660" i="5" s="1"/>
  <c r="O2032" i="5" s="1"/>
  <c r="G2032" i="5" s="1"/>
  <c r="P661" i="5"/>
  <c r="L661" i="5"/>
  <c r="P721" i="5"/>
  <c r="M721" i="5"/>
  <c r="P235" i="5"/>
  <c r="P241" i="5"/>
  <c r="O805" i="5"/>
  <c r="P805" i="5"/>
  <c r="N805" i="5"/>
  <c r="L805" i="5"/>
  <c r="M61" i="5"/>
  <c r="M60" i="5" s="1"/>
  <c r="M1736" i="5" s="1"/>
  <c r="E1736" i="5" s="1"/>
  <c r="N117" i="5"/>
  <c r="N124" i="5"/>
  <c r="N129" i="5"/>
  <c r="M142" i="5"/>
  <c r="M141" i="5" s="1"/>
  <c r="M1778" i="5" s="1"/>
  <c r="E1778" i="5" s="1"/>
  <c r="P160" i="5"/>
  <c r="P159" i="5" s="1"/>
  <c r="P1788" i="5" s="1"/>
  <c r="H1788" i="5" s="1"/>
  <c r="N167" i="5"/>
  <c r="N166" i="5" s="1"/>
  <c r="N1792" i="5" s="1"/>
  <c r="F1792" i="5" s="1"/>
  <c r="M223" i="5"/>
  <c r="M235" i="5"/>
  <c r="M241" i="5"/>
  <c r="P247" i="5"/>
  <c r="O420" i="5"/>
  <c r="N420" i="5"/>
  <c r="M420" i="5"/>
  <c r="L420" i="5"/>
  <c r="P223" i="5"/>
  <c r="P222" i="5" s="1"/>
  <c r="P1821" i="5" s="1"/>
  <c r="H1821" i="5" s="1"/>
  <c r="O450" i="5"/>
  <c r="P450" i="5"/>
  <c r="N450" i="5"/>
  <c r="L450" i="5"/>
  <c r="P555" i="5"/>
  <c r="N555" i="5"/>
  <c r="L555" i="5"/>
  <c r="O584" i="5"/>
  <c r="P584" i="5"/>
  <c r="N584" i="5"/>
  <c r="L584" i="5"/>
  <c r="L18" i="5"/>
  <c r="P27" i="5"/>
  <c r="L50" i="5"/>
  <c r="L49" i="5" s="1"/>
  <c r="L1730" i="5" s="1"/>
  <c r="N61" i="5"/>
  <c r="N60" i="5" s="1"/>
  <c r="N1736" i="5" s="1"/>
  <c r="F1736" i="5" s="1"/>
  <c r="J76" i="5"/>
  <c r="L103" i="5"/>
  <c r="N108" i="5"/>
  <c r="N107" i="5" s="1"/>
  <c r="N1763" i="5" s="1"/>
  <c r="F1763" i="5" s="1"/>
  <c r="P117" i="5"/>
  <c r="P124" i="5"/>
  <c r="N128" i="5"/>
  <c r="P129" i="5"/>
  <c r="N133" i="5"/>
  <c r="N142" i="5"/>
  <c r="N141" i="5" s="1"/>
  <c r="N1778" i="5" s="1"/>
  <c r="F1778" i="5" s="1"/>
  <c r="M156" i="5"/>
  <c r="M155" i="5" s="1"/>
  <c r="M1785" i="5" s="1"/>
  <c r="E1785" i="5" s="1"/>
  <c r="L160" i="5"/>
  <c r="L159" i="5" s="1"/>
  <c r="L1788" i="5" s="1"/>
  <c r="D1788" i="5" s="1"/>
  <c r="M165" i="5"/>
  <c r="M164" i="5" s="1"/>
  <c r="M1791" i="5" s="1"/>
  <c r="M173" i="5"/>
  <c r="N189" i="5"/>
  <c r="M202" i="5"/>
  <c r="M201" i="5" s="1"/>
  <c r="M1809" i="5" s="1"/>
  <c r="E1809" i="5" s="1"/>
  <c r="N223" i="5"/>
  <c r="N222" i="5" s="1"/>
  <c r="N1821" i="5" s="1"/>
  <c r="F1821" i="5" s="1"/>
  <c r="N228" i="5"/>
  <c r="N235" i="5"/>
  <c r="N241" i="5"/>
  <c r="L244" i="5"/>
  <c r="O268" i="5"/>
  <c r="M268" i="5"/>
  <c r="L268" i="5"/>
  <c r="H338" i="5"/>
  <c r="O378" i="5"/>
  <c r="O377" i="5" s="1"/>
  <c r="O1897" i="5" s="1"/>
  <c r="N378" i="5"/>
  <c r="N377" i="5" s="1"/>
  <c r="N1897" i="5" s="1"/>
  <c r="M378" i="5"/>
  <c r="M377" i="5" s="1"/>
  <c r="M1897" i="5" s="1"/>
  <c r="P420" i="5"/>
  <c r="O428" i="5"/>
  <c r="P428" i="5"/>
  <c r="N428" i="5"/>
  <c r="L428" i="5"/>
  <c r="O484" i="5"/>
  <c r="N484" i="5"/>
  <c r="M484" i="5"/>
  <c r="L484" i="5"/>
  <c r="O576" i="5"/>
  <c r="P576" i="5"/>
  <c r="N576" i="5"/>
  <c r="L576" i="5"/>
  <c r="O654" i="5"/>
  <c r="P654" i="5"/>
  <c r="N654" i="5"/>
  <c r="L654" i="5"/>
  <c r="P928" i="5"/>
  <c r="O928" i="5"/>
  <c r="N354" i="5"/>
  <c r="P355" i="5"/>
  <c r="P356" i="5"/>
  <c r="P365" i="5"/>
  <c r="P364" i="5" s="1"/>
  <c r="P1891" i="5" s="1"/>
  <c r="P386" i="5"/>
  <c r="P392" i="5"/>
  <c r="P400" i="5"/>
  <c r="M410" i="5"/>
  <c r="P479" i="5"/>
  <c r="N534" i="5"/>
  <c r="P535" i="5"/>
  <c r="M545" i="5"/>
  <c r="P561" i="5"/>
  <c r="P571" i="5"/>
  <c r="M585" i="5"/>
  <c r="N586" i="5"/>
  <c r="N628" i="5"/>
  <c r="P634" i="5"/>
  <c r="P633" i="5" s="1"/>
  <c r="P2019" i="5" s="1"/>
  <c r="H2019" i="5" s="1"/>
  <c r="N662" i="5"/>
  <c r="N667" i="5"/>
  <c r="M675" i="5"/>
  <c r="M680" i="5"/>
  <c r="M679" i="5" s="1"/>
  <c r="M2042" i="5" s="1"/>
  <c r="E2042" i="5" s="1"/>
  <c r="M719" i="5"/>
  <c r="M718" i="5" s="1"/>
  <c r="M2064" i="5" s="1"/>
  <c r="E2064" i="5" s="1"/>
  <c r="N737" i="5"/>
  <c r="N794" i="5"/>
  <c r="N810" i="5"/>
  <c r="M822" i="5"/>
  <c r="M825" i="5"/>
  <c r="M838" i="5"/>
  <c r="P839" i="5"/>
  <c r="P922" i="5"/>
  <c r="O922" i="5"/>
  <c r="O920" i="5" s="1"/>
  <c r="O2167" i="5" s="1"/>
  <c r="G2167" i="5" s="1"/>
  <c r="L922" i="5"/>
  <c r="O950" i="5"/>
  <c r="O2185" i="5" s="1"/>
  <c r="N950" i="5"/>
  <c r="N2185" i="5" s="1"/>
  <c r="O1086" i="5"/>
  <c r="O1085" i="5" s="1"/>
  <c r="O2245" i="5" s="1"/>
  <c r="P1086" i="5"/>
  <c r="P1085" i="5" s="1"/>
  <c r="P2245" i="5" s="1"/>
  <c r="N1086" i="5"/>
  <c r="N1085" i="5" s="1"/>
  <c r="N2245" i="5" s="1"/>
  <c r="L1086" i="5"/>
  <c r="L1085" i="5" s="1"/>
  <c r="L2245" i="5" s="1"/>
  <c r="O1126" i="5"/>
  <c r="P1126" i="5"/>
  <c r="N1126" i="5"/>
  <c r="L1126" i="5"/>
  <c r="M279" i="5"/>
  <c r="M282" i="5"/>
  <c r="M285" i="5"/>
  <c r="M284" i="5" s="1"/>
  <c r="M1851" i="5" s="1"/>
  <c r="P354" i="5"/>
  <c r="L386" i="5"/>
  <c r="L479" i="5"/>
  <c r="L506" i="5"/>
  <c r="P534" i="5"/>
  <c r="M541" i="5"/>
  <c r="M540" i="5" s="1"/>
  <c r="M1973" i="5" s="1"/>
  <c r="N545" i="5"/>
  <c r="N585" i="5"/>
  <c r="P586" i="5"/>
  <c r="P628" i="5"/>
  <c r="L634" i="5"/>
  <c r="M645" i="5"/>
  <c r="M654" i="5"/>
  <c r="P662" i="5"/>
  <c r="P667" i="5"/>
  <c r="N675" i="5"/>
  <c r="N680" i="5"/>
  <c r="J684" i="5"/>
  <c r="N719" i="5"/>
  <c r="N718" i="5" s="1"/>
  <c r="N2064" i="5" s="1"/>
  <c r="F2064" i="5" s="1"/>
  <c r="P737" i="5"/>
  <c r="L778" i="5"/>
  <c r="L780" i="5"/>
  <c r="P794" i="5"/>
  <c r="P810" i="5"/>
  <c r="P819" i="5"/>
  <c r="P818" i="5" s="1"/>
  <c r="P2114" i="5" s="1"/>
  <c r="N822" i="5"/>
  <c r="N821" i="5" s="1"/>
  <c r="N2116" i="5" s="1"/>
  <c r="F2116" i="5" s="1"/>
  <c r="N825" i="5"/>
  <c r="L837" i="5"/>
  <c r="N838" i="5"/>
  <c r="M839" i="5"/>
  <c r="M925" i="5"/>
  <c r="M924" i="5" s="1"/>
  <c r="L925" i="5"/>
  <c r="L924" i="5" s="1"/>
  <c r="P1090" i="5"/>
  <c r="P1089" i="5" s="1"/>
  <c r="M1090" i="5"/>
  <c r="M1089" i="5" s="1"/>
  <c r="O1115" i="5"/>
  <c r="P1115" i="5"/>
  <c r="N1115" i="5"/>
  <c r="L1115" i="5"/>
  <c r="P545" i="5"/>
  <c r="P585" i="5"/>
  <c r="J598" i="5"/>
  <c r="P675" i="5"/>
  <c r="P680" i="5"/>
  <c r="P679" i="5" s="1"/>
  <c r="P2042" i="5" s="1"/>
  <c r="H2042" i="5" s="1"/>
  <c r="P719" i="5"/>
  <c r="P718" i="5" s="1"/>
  <c r="P2064" i="5" s="1"/>
  <c r="H2064" i="5" s="1"/>
  <c r="P822" i="5"/>
  <c r="P821" i="5" s="1"/>
  <c r="P2116" i="5" s="1"/>
  <c r="H2116" i="5" s="1"/>
  <c r="P825" i="5"/>
  <c r="P838" i="5"/>
  <c r="O904" i="5"/>
  <c r="P904" i="5"/>
  <c r="M904" i="5"/>
  <c r="O958" i="5"/>
  <c r="P958" i="5"/>
  <c r="M958" i="5"/>
  <c r="L958" i="5"/>
  <c r="O982" i="5"/>
  <c r="P982" i="5"/>
  <c r="M982" i="5"/>
  <c r="L982" i="5"/>
  <c r="O1065" i="5"/>
  <c r="P1065" i="5"/>
  <c r="N1065" i="5"/>
  <c r="L1065" i="5"/>
  <c r="M1163" i="5"/>
  <c r="N1163" i="5"/>
  <c r="P1163" i="5"/>
  <c r="L1163" i="5"/>
  <c r="O1317" i="5"/>
  <c r="O1316" i="5" s="1"/>
  <c r="O2347" i="5" s="1"/>
  <c r="N1317" i="5"/>
  <c r="N1316" i="5" s="1"/>
  <c r="N2347" i="5" s="1"/>
  <c r="M1317" i="5"/>
  <c r="L1317" i="5"/>
  <c r="L1316" i="5" s="1"/>
  <c r="L2347" i="5" s="1"/>
  <c r="P1317" i="5"/>
  <c r="P1316" i="5" s="1"/>
  <c r="P2347" i="5" s="1"/>
  <c r="P911" i="5"/>
  <c r="P931" i="5"/>
  <c r="P930" i="5" s="1"/>
  <c r="P2173" i="5" s="1"/>
  <c r="H2173" i="5" s="1"/>
  <c r="P944" i="5"/>
  <c r="M1013" i="5"/>
  <c r="J1026" i="5"/>
  <c r="N1076" i="5"/>
  <c r="P1099" i="5"/>
  <c r="L1200" i="5"/>
  <c r="L1199" i="5" s="1"/>
  <c r="P1200" i="5"/>
  <c r="P1199" i="5" s="1"/>
  <c r="O1222" i="5"/>
  <c r="O1221" i="5" s="1"/>
  <c r="O2304" i="5" s="1"/>
  <c r="P1222" i="5"/>
  <c r="P1221" i="5" s="1"/>
  <c r="P2304" i="5" s="1"/>
  <c r="N1222" i="5"/>
  <c r="N1221" i="5" s="1"/>
  <c r="N2304" i="5" s="1"/>
  <c r="L1222" i="5"/>
  <c r="L1221" i="5" s="1"/>
  <c r="L2304" i="5" s="1"/>
  <c r="O1339" i="5"/>
  <c r="P1339" i="5"/>
  <c r="N1339" i="5"/>
  <c r="L1339" i="5"/>
  <c r="O1490" i="5"/>
  <c r="P1490" i="5"/>
  <c r="N1490" i="5"/>
  <c r="L1490" i="5"/>
  <c r="P1571" i="5"/>
  <c r="M1571" i="5"/>
  <c r="P899" i="5"/>
  <c r="L931" i="5"/>
  <c r="L930" i="5" s="1"/>
  <c r="L2173" i="5" s="1"/>
  <c r="D2173" i="5" s="1"/>
  <c r="L944" i="5"/>
  <c r="L979" i="5"/>
  <c r="P1009" i="5"/>
  <c r="N1013" i="5"/>
  <c r="P1029" i="5"/>
  <c r="L1061" i="5"/>
  <c r="L1060" i="5" s="1"/>
  <c r="L2235" i="5" s="1"/>
  <c r="D2235" i="5" s="1"/>
  <c r="P1076" i="5"/>
  <c r="P1077" i="5"/>
  <c r="L1081" i="5"/>
  <c r="M1084" i="5"/>
  <c r="L1124" i="5"/>
  <c r="N1200" i="5"/>
  <c r="N1199" i="5" s="1"/>
  <c r="J1204" i="5"/>
  <c r="P925" i="5"/>
  <c r="P924" i="5" s="1"/>
  <c r="P1013" i="5"/>
  <c r="N1124" i="5"/>
  <c r="P755" i="5"/>
  <c r="M755" i="5"/>
  <c r="O1402" i="5"/>
  <c r="P1402" i="5"/>
  <c r="N1402" i="5"/>
  <c r="L1402" i="5"/>
  <c r="M1184" i="5"/>
  <c r="N1189" i="5"/>
  <c r="L1215" i="5"/>
  <c r="L1214" i="5" s="1"/>
  <c r="N1242" i="5"/>
  <c r="N305" i="5"/>
  <c r="P318" i="5"/>
  <c r="N323" i="5"/>
  <c r="P746" i="5"/>
  <c r="N751" i="5"/>
  <c r="N759" i="5"/>
  <c r="P767" i="5"/>
  <c r="N771" i="5"/>
  <c r="P774" i="5"/>
  <c r="N1303" i="5"/>
  <c r="P1305" i="5"/>
  <c r="M1324" i="5"/>
  <c r="P1329" i="5"/>
  <c r="M1343" i="5"/>
  <c r="N1351" i="5"/>
  <c r="P1367" i="5"/>
  <c r="P1602" i="5"/>
  <c r="P1601" i="5" s="1"/>
  <c r="P2474" i="5" s="1"/>
  <c r="N1602" i="5"/>
  <c r="N1601" i="5" s="1"/>
  <c r="N2474" i="5" s="1"/>
  <c r="L1602" i="5"/>
  <c r="L1601" i="5" s="1"/>
  <c r="L2474" i="5" s="1"/>
  <c r="O1607" i="5"/>
  <c r="N1607" i="5"/>
  <c r="M1607" i="5"/>
  <c r="L1607" i="5"/>
  <c r="L1606" i="5" s="1"/>
  <c r="L2477" i="5" s="1"/>
  <c r="D2477" i="5" s="1"/>
  <c r="O1672" i="5"/>
  <c r="P1672" i="5"/>
  <c r="N1672" i="5"/>
  <c r="L1672" i="5"/>
  <c r="O1648" i="5"/>
  <c r="P1648" i="5"/>
  <c r="N1648" i="5"/>
  <c r="L1648" i="5"/>
  <c r="M1697" i="5"/>
  <c r="P1697" i="5"/>
  <c r="N1697" i="5"/>
  <c r="L1697" i="5"/>
  <c r="J1218" i="5"/>
  <c r="O1218" i="5"/>
  <c r="O1217" i="5" s="1"/>
  <c r="O2302" i="5" s="1"/>
  <c r="G2302" i="5" s="1"/>
  <c r="P305" i="5"/>
  <c r="P751" i="5"/>
  <c r="P771" i="5"/>
  <c r="P1303" i="5"/>
  <c r="O1414" i="5"/>
  <c r="N1414" i="5"/>
  <c r="L1414" i="5"/>
  <c r="O1462" i="5"/>
  <c r="M1462" i="5"/>
  <c r="P1599" i="5"/>
  <c r="M1599" i="5"/>
  <c r="O1610" i="5"/>
  <c r="N1610" i="5"/>
  <c r="M1610" i="5"/>
  <c r="L1610" i="5"/>
  <c r="N1171" i="5"/>
  <c r="N1176" i="5"/>
  <c r="P1184" i="5"/>
  <c r="P1204" i="5"/>
  <c r="L1218" i="5"/>
  <c r="L1217" i="5" s="1"/>
  <c r="L2302" i="5" s="1"/>
  <c r="D2302" i="5" s="1"/>
  <c r="M1236" i="5"/>
  <c r="L305" i="5"/>
  <c r="M309" i="5"/>
  <c r="L746" i="5"/>
  <c r="L751" i="5"/>
  <c r="L767" i="5"/>
  <c r="L771" i="5"/>
  <c r="L774" i="5"/>
  <c r="L773" i="5" s="1"/>
  <c r="L2090" i="5" s="1"/>
  <c r="D2090" i="5" s="1"/>
  <c r="L1303" i="5"/>
  <c r="L1305" i="5"/>
  <c r="P1324" i="5"/>
  <c r="L1329" i="5"/>
  <c r="P1343" i="5"/>
  <c r="L1367" i="5"/>
  <c r="P1383" i="5"/>
  <c r="M1383" i="5"/>
  <c r="P1414" i="5"/>
  <c r="P1610" i="5"/>
  <c r="N1700" i="5"/>
  <c r="N1699" i="5" s="1"/>
  <c r="N2514" i="5" s="1"/>
  <c r="F2514" i="5" s="1"/>
  <c r="M1396" i="5"/>
  <c r="L1399" i="5"/>
  <c r="L1398" i="5" s="1"/>
  <c r="L2381" i="5" s="1"/>
  <c r="D2381" i="5" s="1"/>
  <c r="M1506" i="5"/>
  <c r="L1551" i="5"/>
  <c r="N1612" i="5"/>
  <c r="M1639" i="5"/>
  <c r="P1644" i="5"/>
  <c r="M1658" i="5"/>
  <c r="P1700" i="5"/>
  <c r="P1699" i="5" s="1"/>
  <c r="P2514" i="5" s="1"/>
  <c r="H2514" i="5" s="1"/>
  <c r="L1392" i="5"/>
  <c r="L1391" i="5" s="1"/>
  <c r="N1399" i="5"/>
  <c r="N1398" i="5" s="1"/>
  <c r="N2381" i="5" s="1"/>
  <c r="F2381" i="5" s="1"/>
  <c r="M1458" i="5"/>
  <c r="M1530" i="5"/>
  <c r="P1605" i="5"/>
  <c r="P1604" i="5" s="1"/>
  <c r="P2476" i="5" s="1"/>
  <c r="H2476" i="5" s="1"/>
  <c r="P1612" i="5"/>
  <c r="O1392" i="5"/>
  <c r="N140" i="5"/>
  <c r="N139" i="5" s="1"/>
  <c r="N1777" i="5" s="1"/>
  <c r="F1777" i="5" s="1"/>
  <c r="M140" i="5"/>
  <c r="M139" i="5" s="1"/>
  <c r="M1777" i="5" s="1"/>
  <c r="E1777" i="5" s="1"/>
  <c r="P140" i="5"/>
  <c r="P139" i="5" s="1"/>
  <c r="P1777" i="5" s="1"/>
  <c r="H1777" i="5" s="1"/>
  <c r="L140" i="5"/>
  <c r="O140" i="5"/>
  <c r="O139" i="5" s="1"/>
  <c r="O1777" i="5" s="1"/>
  <c r="G1777" i="5" s="1"/>
  <c r="J36" i="5"/>
  <c r="L181" i="5"/>
  <c r="P458" i="5"/>
  <c r="P457" i="5" s="1"/>
  <c r="P1930" i="5" s="1"/>
  <c r="N549" i="5"/>
  <c r="M549" i="5"/>
  <c r="P549" i="5"/>
  <c r="L549" i="5"/>
  <c r="N670" i="5"/>
  <c r="N669" i="5" s="1"/>
  <c r="N2037" i="5" s="1"/>
  <c r="M670" i="5"/>
  <c r="M669" i="5" s="1"/>
  <c r="M2037" i="5" s="1"/>
  <c r="P670" i="5"/>
  <c r="P669" i="5" s="1"/>
  <c r="P2037" i="5" s="1"/>
  <c r="L670" i="5"/>
  <c r="N997" i="5"/>
  <c r="M997" i="5"/>
  <c r="P997" i="5"/>
  <c r="L997" i="5"/>
  <c r="O997" i="5"/>
  <c r="N1025" i="5"/>
  <c r="M1025" i="5"/>
  <c r="L1025" i="5"/>
  <c r="N1141" i="5"/>
  <c r="M1141" i="5"/>
  <c r="P1141" i="5"/>
  <c r="L1141" i="5"/>
  <c r="O1141" i="5"/>
  <c r="L1718" i="5"/>
  <c r="D1718" i="5" s="1"/>
  <c r="Q24" i="5"/>
  <c r="N39" i="5"/>
  <c r="M39" i="5"/>
  <c r="P39" i="5"/>
  <c r="L39" i="5"/>
  <c r="J96" i="5"/>
  <c r="Q85" i="5"/>
  <c r="V85" i="5" s="1"/>
  <c r="Q109" i="5"/>
  <c r="V109" i="5" s="1"/>
  <c r="N153" i="5"/>
  <c r="M153" i="5"/>
  <c r="P153" i="5"/>
  <c r="L153" i="5"/>
  <c r="J162" i="5"/>
  <c r="Q163" i="5"/>
  <c r="V163" i="5" s="1"/>
  <c r="Q187" i="5"/>
  <c r="Q210" i="5"/>
  <c r="N280" i="5"/>
  <c r="M280" i="5"/>
  <c r="P280" i="5"/>
  <c r="P278" i="5" s="1"/>
  <c r="P1849" i="5" s="1"/>
  <c r="H1849" i="5" s="1"/>
  <c r="L280" i="5"/>
  <c r="P335" i="5"/>
  <c r="P334" i="5" s="1"/>
  <c r="P1875" i="5" s="1"/>
  <c r="H1875" i="5" s="1"/>
  <c r="Q336" i="5"/>
  <c r="L342" i="5"/>
  <c r="J410" i="5"/>
  <c r="J414" i="5"/>
  <c r="Q418" i="5"/>
  <c r="M1929" i="5"/>
  <c r="M99" i="8" s="1"/>
  <c r="Q464" i="5"/>
  <c r="Q476" i="5"/>
  <c r="G489" i="5"/>
  <c r="Q514" i="5"/>
  <c r="N517" i="5"/>
  <c r="M517" i="5"/>
  <c r="P517" i="5"/>
  <c r="L517" i="5"/>
  <c r="J523" i="5"/>
  <c r="M527" i="5"/>
  <c r="J528" i="5"/>
  <c r="Q543" i="5"/>
  <c r="O549" i="5"/>
  <c r="N554" i="5"/>
  <c r="M554" i="5"/>
  <c r="P554" i="5"/>
  <c r="L554" i="5"/>
  <c r="Q558" i="5"/>
  <c r="Q563" i="5"/>
  <c r="Q568" i="5"/>
  <c r="Q573" i="5"/>
  <c r="Q578" i="5"/>
  <c r="Q602" i="5"/>
  <c r="N605" i="5"/>
  <c r="M605" i="5"/>
  <c r="P605" i="5"/>
  <c r="L605" i="5"/>
  <c r="Q664" i="5"/>
  <c r="O670" i="5"/>
  <c r="O669" i="5" s="1"/>
  <c r="O2037" i="5" s="1"/>
  <c r="N678" i="5"/>
  <c r="N677" i="5" s="1"/>
  <c r="N2041" i="5" s="1"/>
  <c r="F2041" i="5" s="1"/>
  <c r="M678" i="5"/>
  <c r="M677" i="5" s="1"/>
  <c r="M2041" i="5" s="1"/>
  <c r="E2041" i="5" s="1"/>
  <c r="P678" i="5"/>
  <c r="P677" i="5" s="1"/>
  <c r="P2041" i="5" s="1"/>
  <c r="H2041" i="5" s="1"/>
  <c r="L678" i="5"/>
  <c r="Q685" i="5"/>
  <c r="Q695" i="5"/>
  <c r="Q717" i="5"/>
  <c r="Q728" i="5"/>
  <c r="Q802" i="5"/>
  <c r="Q807" i="5"/>
  <c r="Q812" i="5"/>
  <c r="Q817" i="5"/>
  <c r="G837" i="5"/>
  <c r="N837" i="5" s="1"/>
  <c r="Q843" i="5"/>
  <c r="Q846" i="5"/>
  <c r="Q870" i="5"/>
  <c r="N889" i="5"/>
  <c r="N888" i="5" s="1"/>
  <c r="N2151" i="5" s="1"/>
  <c r="F2151" i="5" s="1"/>
  <c r="M889" i="5"/>
  <c r="M888" i="5" s="1"/>
  <c r="M2151" i="5" s="1"/>
  <c r="E2151" i="5" s="1"/>
  <c r="P889" i="5"/>
  <c r="P888" i="5" s="1"/>
  <c r="P2151" i="5" s="1"/>
  <c r="H2151" i="5" s="1"/>
  <c r="O889" i="5"/>
  <c r="O888" i="5" s="1"/>
  <c r="O2151" i="5" s="1"/>
  <c r="G2151" i="5" s="1"/>
  <c r="L889" i="5"/>
  <c r="F980" i="5"/>
  <c r="J980" i="5" s="1"/>
  <c r="N1053" i="5"/>
  <c r="M1053" i="5"/>
  <c r="P1053" i="5"/>
  <c r="L1053" i="5"/>
  <c r="O1053" i="5"/>
  <c r="N178" i="5"/>
  <c r="M178" i="5"/>
  <c r="P178" i="5"/>
  <c r="L178" i="5"/>
  <c r="L272" i="5"/>
  <c r="L346" i="5"/>
  <c r="Q8" i="5"/>
  <c r="M16" i="5"/>
  <c r="Q62" i="5"/>
  <c r="V62" i="5" s="1"/>
  <c r="Q130" i="5"/>
  <c r="V130" i="5" s="1"/>
  <c r="N137" i="5"/>
  <c r="N136" i="5" s="1"/>
  <c r="N1775" i="5" s="1"/>
  <c r="F1775" i="5" s="1"/>
  <c r="M137" i="5"/>
  <c r="M136" i="5" s="1"/>
  <c r="M1775" i="5" s="1"/>
  <c r="E1775" i="5" s="1"/>
  <c r="P137" i="5"/>
  <c r="P136" i="5" s="1"/>
  <c r="P1775" i="5" s="1"/>
  <c r="H1775" i="5" s="1"/>
  <c r="L137" i="5"/>
  <c r="Q158" i="5"/>
  <c r="V158" i="5" s="1"/>
  <c r="J167" i="5"/>
  <c r="O167" i="5"/>
  <c r="O166" i="5" s="1"/>
  <c r="O1792" i="5" s="1"/>
  <c r="G1792" i="5" s="1"/>
  <c r="I184" i="5"/>
  <c r="P184" i="5" s="1"/>
  <c r="P183" i="5" s="1"/>
  <c r="P1801" i="5" s="1"/>
  <c r="H1801" i="5" s="1"/>
  <c r="N193" i="5"/>
  <c r="N192" i="5" s="1"/>
  <c r="N1805" i="5" s="1"/>
  <c r="F1805" i="5" s="1"/>
  <c r="M193" i="5"/>
  <c r="M192" i="5" s="1"/>
  <c r="M1805" i="5" s="1"/>
  <c r="E1805" i="5" s="1"/>
  <c r="P193" i="5"/>
  <c r="P192" i="5" s="1"/>
  <c r="P1805" i="5" s="1"/>
  <c r="H1805" i="5" s="1"/>
  <c r="L193" i="5"/>
  <c r="Q196" i="5"/>
  <c r="Q203" i="5"/>
  <c r="Q239" i="5"/>
  <c r="N295" i="5"/>
  <c r="M295" i="5"/>
  <c r="P295" i="5"/>
  <c r="L295" i="5"/>
  <c r="Q297" i="5"/>
  <c r="Q1858" i="5" s="1"/>
  <c r="I1858" i="5" s="1"/>
  <c r="Z1858" i="5" s="1"/>
  <c r="J335" i="5"/>
  <c r="Q368" i="5"/>
  <c r="N403" i="5"/>
  <c r="N402" i="5" s="1"/>
  <c r="N1907" i="5" s="1"/>
  <c r="F1907" i="5" s="1"/>
  <c r="M403" i="5"/>
  <c r="M402" i="5" s="1"/>
  <c r="M1907" i="5" s="1"/>
  <c r="E1907" i="5" s="1"/>
  <c r="P403" i="5"/>
  <c r="P402" i="5" s="1"/>
  <c r="P1907" i="5" s="1"/>
  <c r="H1907" i="5" s="1"/>
  <c r="L403" i="5"/>
  <c r="Q417" i="5"/>
  <c r="G442" i="5"/>
  <c r="I455" i="5"/>
  <c r="P462" i="5"/>
  <c r="P461" i="5" s="1"/>
  <c r="P1932" i="5" s="1"/>
  <c r="H1932" i="5" s="1"/>
  <c r="Q463" i="5"/>
  <c r="N472" i="5"/>
  <c r="N471" i="5" s="1"/>
  <c r="N1938" i="5" s="1"/>
  <c r="F1938" i="5" s="1"/>
  <c r="M472" i="5"/>
  <c r="M471" i="5" s="1"/>
  <c r="M1938" i="5" s="1"/>
  <c r="E1938" i="5" s="1"/>
  <c r="L472" i="5"/>
  <c r="Q510" i="5"/>
  <c r="G513" i="5"/>
  <c r="Q542" i="5"/>
  <c r="J555" i="5"/>
  <c r="O555" i="5"/>
  <c r="O553" i="5" s="1"/>
  <c r="O1979" i="5" s="1"/>
  <c r="G1979" i="5" s="1"/>
  <c r="Q557" i="5"/>
  <c r="Q588" i="5"/>
  <c r="Q632" i="5"/>
  <c r="Q643" i="5"/>
  <c r="N655" i="5"/>
  <c r="M655" i="5"/>
  <c r="P655" i="5"/>
  <c r="L655" i="5"/>
  <c r="Q684" i="5"/>
  <c r="Q688" i="5"/>
  <c r="N691" i="5"/>
  <c r="M691" i="5"/>
  <c r="P691" i="5"/>
  <c r="L691" i="5"/>
  <c r="Q784" i="5"/>
  <c r="Q820" i="5"/>
  <c r="G845" i="5"/>
  <c r="J947" i="5"/>
  <c r="L183" i="5"/>
  <c r="L1801" i="5" s="1"/>
  <c r="D1801" i="5" s="1"/>
  <c r="N215" i="5"/>
  <c r="N214" i="5" s="1"/>
  <c r="N1817" i="5" s="1"/>
  <c r="F1817" i="5" s="1"/>
  <c r="M215" i="5"/>
  <c r="M214" i="5" s="1"/>
  <c r="M1817" i="5" s="1"/>
  <c r="E1817" i="5" s="1"/>
  <c r="P215" i="5"/>
  <c r="P214" i="5" s="1"/>
  <c r="P1817" i="5" s="1"/>
  <c r="H1817" i="5" s="1"/>
  <c r="L215" i="5"/>
  <c r="F443" i="5"/>
  <c r="G443" i="5" s="1"/>
  <c r="J521" i="5"/>
  <c r="Q598" i="5"/>
  <c r="L597" i="5"/>
  <c r="L1999" i="5" s="1"/>
  <c r="D1999" i="5" s="1"/>
  <c r="N34" i="5"/>
  <c r="M34" i="5"/>
  <c r="P34" i="5"/>
  <c r="L34" i="5"/>
  <c r="Q84" i="5"/>
  <c r="V84" i="5" s="1"/>
  <c r="M97" i="5"/>
  <c r="M1758" i="5" s="1"/>
  <c r="E1758" i="5" s="1"/>
  <c r="J18" i="5"/>
  <c r="O34" i="5"/>
  <c r="J38" i="5"/>
  <c r="P38" i="5"/>
  <c r="N106" i="5"/>
  <c r="N105" i="5" s="1"/>
  <c r="N1762" i="5" s="1"/>
  <c r="F1762" i="5" s="1"/>
  <c r="M106" i="5"/>
  <c r="M105" i="5" s="1"/>
  <c r="M1762" i="5" s="1"/>
  <c r="E1762" i="5" s="1"/>
  <c r="P106" i="5"/>
  <c r="P105" i="5" s="1"/>
  <c r="P1762" i="5" s="1"/>
  <c r="H1762" i="5" s="1"/>
  <c r="L106" i="5"/>
  <c r="N120" i="5"/>
  <c r="M120" i="5"/>
  <c r="P120" i="5"/>
  <c r="L120" i="5"/>
  <c r="O137" i="5"/>
  <c r="O136" i="5" s="1"/>
  <c r="O1775" i="5" s="1"/>
  <c r="G1775" i="5" s="1"/>
  <c r="O184" i="5"/>
  <c r="O183" i="5" s="1"/>
  <c r="O1801" i="5" s="1"/>
  <c r="G1801" i="5" s="1"/>
  <c r="O193" i="5"/>
  <c r="O192" i="5" s="1"/>
  <c r="O1805" i="5" s="1"/>
  <c r="G1805" i="5" s="1"/>
  <c r="J209" i="5"/>
  <c r="Q233" i="5"/>
  <c r="O295" i="5"/>
  <c r="N381" i="5"/>
  <c r="M381" i="5"/>
  <c r="P381" i="5"/>
  <c r="L381" i="5"/>
  <c r="O403" i="5"/>
  <c r="O402" i="5" s="1"/>
  <c r="O1907" i="5" s="1"/>
  <c r="G1907" i="5" s="1"/>
  <c r="J406" i="5"/>
  <c r="P414" i="5"/>
  <c r="J475" i="5"/>
  <c r="J506" i="5"/>
  <c r="P524" i="5"/>
  <c r="P1966" i="5" s="1"/>
  <c r="H1966" i="5" s="1"/>
  <c r="N551" i="5"/>
  <c r="M551" i="5"/>
  <c r="P551" i="5"/>
  <c r="L551" i="5"/>
  <c r="O655" i="5"/>
  <c r="O691" i="5"/>
  <c r="N779" i="5"/>
  <c r="M779" i="5"/>
  <c r="P779" i="5"/>
  <c r="L779" i="5"/>
  <c r="P786" i="5"/>
  <c r="P785" i="5" s="1"/>
  <c r="P2097" i="5" s="1"/>
  <c r="H2097" i="5" s="1"/>
  <c r="L786" i="5"/>
  <c r="N828" i="5"/>
  <c r="N827" i="5" s="1"/>
  <c r="N2119" i="5" s="1"/>
  <c r="F2119" i="5" s="1"/>
  <c r="M828" i="5"/>
  <c r="M827" i="5" s="1"/>
  <c r="M2119" i="5" s="1"/>
  <c r="E2119" i="5" s="1"/>
  <c r="P828" i="5"/>
  <c r="P827" i="5" s="1"/>
  <c r="P2119" i="5" s="1"/>
  <c r="H2119" i="5" s="1"/>
  <c r="L828" i="5"/>
  <c r="F869" i="5"/>
  <c r="G869" i="5" s="1"/>
  <c r="M878" i="5"/>
  <c r="P878" i="5"/>
  <c r="L878" i="5"/>
  <c r="O878" i="5"/>
  <c r="N878" i="5"/>
  <c r="M891" i="5"/>
  <c r="P891" i="5"/>
  <c r="L891" i="5"/>
  <c r="O891" i="5"/>
  <c r="N891" i="5"/>
  <c r="F1130" i="5"/>
  <c r="J1130" i="5" s="1"/>
  <c r="L1130" i="5"/>
  <c r="N763" i="5"/>
  <c r="M763" i="5"/>
  <c r="P763" i="5"/>
  <c r="P761" i="5" s="1"/>
  <c r="P2084" i="5" s="1"/>
  <c r="L763" i="5"/>
  <c r="L2387" i="5"/>
  <c r="D2387" i="5" s="1"/>
  <c r="Q1411" i="5"/>
  <c r="Q2387" i="5" s="1"/>
  <c r="I2387" i="5" s="1"/>
  <c r="N1526" i="5"/>
  <c r="M1526" i="5"/>
  <c r="P1526" i="5"/>
  <c r="L1526" i="5"/>
  <c r="O1526" i="5"/>
  <c r="N1530" i="5"/>
  <c r="G1536" i="5"/>
  <c r="N10" i="5"/>
  <c r="O16" i="5"/>
  <c r="M17" i="5"/>
  <c r="O18" i="5"/>
  <c r="N30" i="5"/>
  <c r="N38" i="5"/>
  <c r="M50" i="5"/>
  <c r="O103" i="5"/>
  <c r="O108" i="5"/>
  <c r="O107" i="5" s="1"/>
  <c r="O1763" i="5" s="1"/>
  <c r="G1763" i="5" s="1"/>
  <c r="M113" i="5"/>
  <c r="M117" i="5"/>
  <c r="M124" i="5"/>
  <c r="M128" i="5"/>
  <c r="O129" i="5"/>
  <c r="O133" i="5"/>
  <c r="O146" i="5"/>
  <c r="N156" i="5"/>
  <c r="N155" i="5" s="1"/>
  <c r="N1785" i="5" s="1"/>
  <c r="F1785" i="5" s="1"/>
  <c r="N165" i="5"/>
  <c r="N164" i="5" s="1"/>
  <c r="N1791" i="5" s="1"/>
  <c r="M167" i="5"/>
  <c r="M166" i="5" s="1"/>
  <c r="M1792" i="5" s="1"/>
  <c r="E1792" i="5" s="1"/>
  <c r="M170" i="5"/>
  <c r="N173" i="5"/>
  <c r="O186" i="5"/>
  <c r="O185" i="5" s="1"/>
  <c r="O1802" i="5" s="1"/>
  <c r="O189" i="5"/>
  <c r="N198" i="5"/>
  <c r="O212" i="5"/>
  <c r="N220" i="5"/>
  <c r="M228" i="5"/>
  <c r="N231" i="5"/>
  <c r="N230" i="5" s="1"/>
  <c r="N1825" i="5" s="1"/>
  <c r="F1825" i="5" s="1"/>
  <c r="N253" i="5"/>
  <c r="N259" i="5"/>
  <c r="N265" i="5"/>
  <c r="N279" i="5"/>
  <c r="N282" i="5"/>
  <c r="N285" i="5"/>
  <c r="N284" i="5" s="1"/>
  <c r="N1851" i="5" s="1"/>
  <c r="N300" i="5"/>
  <c r="N335" i="5"/>
  <c r="N334" i="5" s="1"/>
  <c r="N1875" i="5" s="1"/>
  <c r="F1875" i="5" s="1"/>
  <c r="L337" i="5"/>
  <c r="L1877" i="5" s="1"/>
  <c r="D1877" i="5" s="1"/>
  <c r="M355" i="5"/>
  <c r="N367" i="5"/>
  <c r="N366" i="5" s="1"/>
  <c r="N1892" i="5" s="1"/>
  <c r="F1892" i="5" s="1"/>
  <c r="N370" i="5"/>
  <c r="N375" i="5"/>
  <c r="M392" i="5"/>
  <c r="N414" i="5"/>
  <c r="N416" i="5"/>
  <c r="N424" i="5"/>
  <c r="M428" i="5"/>
  <c r="M442" i="5"/>
  <c r="J447" i="5"/>
  <c r="M450" i="5"/>
  <c r="J458" i="5"/>
  <c r="N458" i="5"/>
  <c r="N457" i="5" s="1"/>
  <c r="N1930" i="5" s="1"/>
  <c r="J462" i="5"/>
  <c r="N462" i="5"/>
  <c r="N461" i="5" s="1"/>
  <c r="N1932" i="5" s="1"/>
  <c r="F1932" i="5" s="1"/>
  <c r="N466" i="5"/>
  <c r="N525" i="5"/>
  <c r="N528" i="5"/>
  <c r="N531" i="5"/>
  <c r="M535" i="5"/>
  <c r="N541" i="5"/>
  <c r="N540" i="5" s="1"/>
  <c r="N1973" i="5" s="1"/>
  <c r="N550" i="5"/>
  <c r="M555" i="5"/>
  <c r="M561" i="5"/>
  <c r="M566" i="5"/>
  <c r="M571" i="5"/>
  <c r="M576" i="5"/>
  <c r="M581" i="5"/>
  <c r="M584" i="5"/>
  <c r="M586" i="5"/>
  <c r="N636" i="5"/>
  <c r="N645" i="5"/>
  <c r="M658" i="5"/>
  <c r="M657" i="5" s="1"/>
  <c r="M2030" i="5" s="1"/>
  <c r="E2030" i="5" s="1"/>
  <c r="M662" i="5"/>
  <c r="N721" i="5"/>
  <c r="M737" i="5"/>
  <c r="M780" i="5"/>
  <c r="M790" i="5"/>
  <c r="M789" i="5" s="1"/>
  <c r="M2100" i="5" s="1"/>
  <c r="E2100" i="5" s="1"/>
  <c r="N800" i="5"/>
  <c r="M805" i="5"/>
  <c r="M810" i="5"/>
  <c r="M815" i="5"/>
  <c r="M837" i="5"/>
  <c r="Q874" i="5"/>
  <c r="Q2142" i="5" s="1"/>
  <c r="I2142" i="5" s="1"/>
  <c r="Q919" i="5"/>
  <c r="N922" i="5"/>
  <c r="M922" i="5"/>
  <c r="O925" i="5"/>
  <c r="O924" i="5" s="1"/>
  <c r="J940" i="5"/>
  <c r="Q948" i="5"/>
  <c r="Q976" i="5"/>
  <c r="Q984" i="5"/>
  <c r="J1044" i="5"/>
  <c r="P1044" i="5"/>
  <c r="Q1078" i="5"/>
  <c r="M1099" i="5"/>
  <c r="N1149" i="5"/>
  <c r="M1149" i="5"/>
  <c r="P1149" i="5"/>
  <c r="L1149" i="5"/>
  <c r="N1161" i="5"/>
  <c r="M1161" i="5"/>
  <c r="P1161" i="5"/>
  <c r="L1161" i="5"/>
  <c r="H1172" i="5"/>
  <c r="I1172" i="5" s="1"/>
  <c r="P1172" i="5" s="1"/>
  <c r="H1190" i="5"/>
  <c r="I1190" i="5" s="1"/>
  <c r="O1200" i="5"/>
  <c r="O1199" i="5" s="1"/>
  <c r="N1202" i="5"/>
  <c r="N1201" i="5" s="1"/>
  <c r="M1202" i="5"/>
  <c r="M1201" i="5" s="1"/>
  <c r="P1202" i="5"/>
  <c r="P1201" i="5" s="1"/>
  <c r="L1202" i="5"/>
  <c r="J1210" i="5"/>
  <c r="Q1216" i="5"/>
  <c r="P1224" i="5"/>
  <c r="P1223" i="5" s="1"/>
  <c r="P2305" i="5" s="1"/>
  <c r="H2305" i="5" s="1"/>
  <c r="Q1225" i="5"/>
  <c r="Q1233" i="5"/>
  <c r="O763" i="5"/>
  <c r="Q1297" i="5"/>
  <c r="N1307" i="5"/>
  <c r="M1307" i="5"/>
  <c r="P1307" i="5"/>
  <c r="L1307" i="5"/>
  <c r="F1518" i="5"/>
  <c r="O10" i="5"/>
  <c r="L16" i="5"/>
  <c r="O30" i="5"/>
  <c r="O38" i="5"/>
  <c r="O37" i="5" s="1"/>
  <c r="O1724" i="5" s="1"/>
  <c r="G1724" i="5" s="1"/>
  <c r="O198" i="5"/>
  <c r="O253" i="5"/>
  <c r="O259" i="5"/>
  <c r="O279" i="5"/>
  <c r="O278" i="5" s="1"/>
  <c r="O1849" i="5" s="1"/>
  <c r="G1849" i="5" s="1"/>
  <c r="O285" i="5"/>
  <c r="O284" i="5" s="1"/>
  <c r="O1851" i="5" s="1"/>
  <c r="O300" i="5"/>
  <c r="O335" i="5"/>
  <c r="O334" i="5" s="1"/>
  <c r="O1875" i="5" s="1"/>
  <c r="G1875" i="5" s="1"/>
  <c r="O367" i="5"/>
  <c r="O366" i="5" s="1"/>
  <c r="O1892" i="5" s="1"/>
  <c r="G1892" i="5" s="1"/>
  <c r="O370" i="5"/>
  <c r="O375" i="5"/>
  <c r="L410" i="5"/>
  <c r="O414" i="5"/>
  <c r="O416" i="5"/>
  <c r="O424" i="5"/>
  <c r="O458" i="5"/>
  <c r="O457" i="5" s="1"/>
  <c r="O1930" i="5" s="1"/>
  <c r="O462" i="5"/>
  <c r="O461" i="5" s="1"/>
  <c r="O1932" i="5" s="1"/>
  <c r="G1932" i="5" s="1"/>
  <c r="O466" i="5"/>
  <c r="O525" i="5"/>
  <c r="O526" i="5"/>
  <c r="O527" i="5"/>
  <c r="O528" i="5"/>
  <c r="O531" i="5"/>
  <c r="O541" i="5"/>
  <c r="O540" i="5" s="1"/>
  <c r="O1973" i="5" s="1"/>
  <c r="O550" i="5"/>
  <c r="O621" i="5"/>
  <c r="O620" i="5" s="1"/>
  <c r="O2011" i="5" s="1"/>
  <c r="G2011" i="5" s="1"/>
  <c r="O636" i="5"/>
  <c r="O645" i="5"/>
  <c r="O653" i="5"/>
  <c r="O721" i="5"/>
  <c r="Q795" i="5"/>
  <c r="O800" i="5"/>
  <c r="P863" i="5"/>
  <c r="P862" i="5" s="1"/>
  <c r="P2136" i="5" s="1"/>
  <c r="H2136" i="5" s="1"/>
  <c r="L863" i="5"/>
  <c r="Q900" i="5"/>
  <c r="M921" i="5"/>
  <c r="P921" i="5"/>
  <c r="L921" i="5"/>
  <c r="N928" i="5"/>
  <c r="M928" i="5"/>
  <c r="Q936" i="5"/>
  <c r="N959" i="5"/>
  <c r="M959" i="5"/>
  <c r="P959" i="5"/>
  <c r="L959" i="5"/>
  <c r="F965" i="5"/>
  <c r="J965" i="5" s="1"/>
  <c r="N987" i="5"/>
  <c r="M987" i="5"/>
  <c r="P987" i="5"/>
  <c r="L987" i="5"/>
  <c r="N1037" i="5"/>
  <c r="M1037" i="5"/>
  <c r="P1037" i="5"/>
  <c r="L1037" i="5"/>
  <c r="Q1056" i="5"/>
  <c r="N1059" i="5"/>
  <c r="M1059" i="5"/>
  <c r="P1059" i="5"/>
  <c r="L1059" i="5"/>
  <c r="Q1070" i="5"/>
  <c r="N1073" i="5"/>
  <c r="M1073" i="5"/>
  <c r="P1073" i="5"/>
  <c r="L1073" i="5"/>
  <c r="Q1100" i="5"/>
  <c r="N1120" i="5"/>
  <c r="M1120" i="5"/>
  <c r="P1120" i="5"/>
  <c r="L1120" i="5"/>
  <c r="Q1144" i="5"/>
  <c r="N1147" i="5"/>
  <c r="M1147" i="5"/>
  <c r="P1147" i="5"/>
  <c r="L1147" i="5"/>
  <c r="J1159" i="5"/>
  <c r="N1172" i="5"/>
  <c r="M1172" i="5"/>
  <c r="L1172" i="5"/>
  <c r="N1206" i="5"/>
  <c r="N1205" i="5" s="1"/>
  <c r="N2295" i="5" s="1"/>
  <c r="F2295" i="5" s="1"/>
  <c r="M1206" i="5"/>
  <c r="M1205" i="5" s="1"/>
  <c r="M2295" i="5" s="1"/>
  <c r="E2295" i="5" s="1"/>
  <c r="P1206" i="5"/>
  <c r="P1205" i="5" s="1"/>
  <c r="P2295" i="5" s="1"/>
  <c r="H2295" i="5" s="1"/>
  <c r="L1206" i="5"/>
  <c r="L1211" i="5"/>
  <c r="J1213" i="5"/>
  <c r="O1213" i="5"/>
  <c r="O1212" i="5" s="1"/>
  <c r="J1217" i="5"/>
  <c r="J1220" i="5"/>
  <c r="J1221" i="5"/>
  <c r="Q1229" i="5"/>
  <c r="Q303" i="5"/>
  <c r="N314" i="5"/>
  <c r="M314" i="5"/>
  <c r="P314" i="5"/>
  <c r="L314" i="5"/>
  <c r="Q743" i="5"/>
  <c r="Q765" i="5"/>
  <c r="Q2086" i="5" s="1"/>
  <c r="I2086" i="5" s="1"/>
  <c r="Z2086" i="5" s="1"/>
  <c r="Q769" i="5"/>
  <c r="M1333" i="5"/>
  <c r="Q1348" i="5"/>
  <c r="F1374" i="5"/>
  <c r="P1461" i="5"/>
  <c r="L1461" i="5"/>
  <c r="N1461" i="5"/>
  <c r="O1461" i="5"/>
  <c r="M1461" i="5"/>
  <c r="N1478" i="5"/>
  <c r="N1477" i="5" s="1"/>
  <c r="N2416" i="5" s="1"/>
  <c r="F2416" i="5" s="1"/>
  <c r="M1478" i="5"/>
  <c r="M1477" i="5" s="1"/>
  <c r="M2416" i="5" s="1"/>
  <c r="E2416" i="5" s="1"/>
  <c r="P1478" i="5"/>
  <c r="P1477" i="5" s="1"/>
  <c r="P2416" i="5" s="1"/>
  <c r="H2416" i="5" s="1"/>
  <c r="L1478" i="5"/>
  <c r="O1478" i="5"/>
  <c r="O1477" i="5" s="1"/>
  <c r="O2416" i="5" s="1"/>
  <c r="G2416" i="5" s="1"/>
  <c r="G1551" i="5"/>
  <c r="H1550" i="5"/>
  <c r="N1592" i="5"/>
  <c r="N1591" i="5" s="1"/>
  <c r="N2469" i="5" s="1"/>
  <c r="F2469" i="5" s="1"/>
  <c r="M1592" i="5"/>
  <c r="M1591" i="5" s="1"/>
  <c r="M2469" i="5" s="1"/>
  <c r="E2469" i="5" s="1"/>
  <c r="P1592" i="5"/>
  <c r="P1591" i="5" s="1"/>
  <c r="P2469" i="5" s="1"/>
  <c r="H2469" i="5" s="1"/>
  <c r="L1592" i="5"/>
  <c r="O1592" i="5"/>
  <c r="O1591" i="5" s="1"/>
  <c r="O2469" i="5" s="1"/>
  <c r="G2469" i="5" s="1"/>
  <c r="J44" i="5"/>
  <c r="E95" i="5"/>
  <c r="J95" i="5" s="1"/>
  <c r="W1782" i="5"/>
  <c r="O156" i="5"/>
  <c r="O155" i="5" s="1"/>
  <c r="O1785" i="5" s="1"/>
  <c r="G1785" i="5" s="1"/>
  <c r="O165" i="5"/>
  <c r="O164" i="5" s="1"/>
  <c r="O1791" i="5" s="1"/>
  <c r="O173" i="5"/>
  <c r="O220" i="5"/>
  <c r="O231" i="5"/>
  <c r="O230" i="5" s="1"/>
  <c r="O1825" i="5" s="1"/>
  <c r="G1825" i="5" s="1"/>
  <c r="O265" i="5"/>
  <c r="Q7" i="5"/>
  <c r="L10" i="5"/>
  <c r="L30" i="5"/>
  <c r="L38" i="5"/>
  <c r="Q150" i="5"/>
  <c r="L156" i="5"/>
  <c r="L165" i="5"/>
  <c r="L173" i="5"/>
  <c r="L198" i="5"/>
  <c r="L202" i="5"/>
  <c r="L220" i="5"/>
  <c r="L231" i="5"/>
  <c r="J249" i="5"/>
  <c r="L250" i="5"/>
  <c r="L253" i="5"/>
  <c r="L256" i="5"/>
  <c r="L259" i="5"/>
  <c r="L262" i="5"/>
  <c r="L265" i="5"/>
  <c r="L279" i="5"/>
  <c r="L282" i="5"/>
  <c r="L285" i="5"/>
  <c r="F287" i="5"/>
  <c r="G287" i="5" s="1"/>
  <c r="H287" i="5" s="1"/>
  <c r="I287" i="5" s="1"/>
  <c r="W1858" i="5"/>
  <c r="L300" i="5"/>
  <c r="L335" i="5"/>
  <c r="L367" i="5"/>
  <c r="L370" i="5"/>
  <c r="L375" i="5"/>
  <c r="L414" i="5"/>
  <c r="L416" i="5"/>
  <c r="L424" i="5"/>
  <c r="G444" i="5"/>
  <c r="L458" i="5"/>
  <c r="L460" i="5"/>
  <c r="L462" i="5"/>
  <c r="L466" i="5"/>
  <c r="L525" i="5"/>
  <c r="L526" i="5"/>
  <c r="L527" i="5"/>
  <c r="L528" i="5"/>
  <c r="L531" i="5"/>
  <c r="L541" i="5"/>
  <c r="L550" i="5"/>
  <c r="L636" i="5"/>
  <c r="L645" i="5"/>
  <c r="L653" i="5"/>
  <c r="L683" i="5"/>
  <c r="L2045" i="5" s="1"/>
  <c r="D2045" i="5" s="1"/>
  <c r="L721" i="5"/>
  <c r="L783" i="5"/>
  <c r="L800" i="5"/>
  <c r="G839" i="5"/>
  <c r="M863" i="5"/>
  <c r="M862" i="5" s="1"/>
  <c r="M2136" i="5" s="1"/>
  <c r="E2136" i="5" s="1"/>
  <c r="Q897" i="5"/>
  <c r="Q901" i="5"/>
  <c r="N911" i="5"/>
  <c r="M911" i="5"/>
  <c r="N921" i="5"/>
  <c r="L928" i="5"/>
  <c r="N934" i="5"/>
  <c r="M934" i="5"/>
  <c r="Q937" i="5"/>
  <c r="M950" i="5"/>
  <c r="M2185" i="5" s="1"/>
  <c r="P950" i="5"/>
  <c r="P2185" i="5" s="1"/>
  <c r="Q952" i="5"/>
  <c r="O959" i="5"/>
  <c r="N973" i="5"/>
  <c r="M973" i="5"/>
  <c r="P973" i="5"/>
  <c r="L973" i="5"/>
  <c r="Q975" i="5"/>
  <c r="J982" i="5"/>
  <c r="O987" i="5"/>
  <c r="Q994" i="5"/>
  <c r="N1007" i="5"/>
  <c r="N1006" i="5" s="1"/>
  <c r="M1007" i="5"/>
  <c r="M1006" i="5" s="1"/>
  <c r="P1007" i="5"/>
  <c r="P1006" i="5" s="1"/>
  <c r="L1007" i="5"/>
  <c r="H1025" i="5"/>
  <c r="I1025" i="5" s="1"/>
  <c r="P1025" i="5" s="1"/>
  <c r="O1037" i="5"/>
  <c r="N1045" i="5"/>
  <c r="M1045" i="5"/>
  <c r="P1045" i="5"/>
  <c r="L1045" i="5"/>
  <c r="O1059" i="5"/>
  <c r="P1068" i="5"/>
  <c r="O1073" i="5"/>
  <c r="N1099" i="5"/>
  <c r="N1104" i="5"/>
  <c r="M1104" i="5"/>
  <c r="P1104" i="5"/>
  <c r="L1104" i="5"/>
  <c r="O1120" i="5"/>
  <c r="O1147" i="5"/>
  <c r="N1160" i="5"/>
  <c r="J1160" i="5"/>
  <c r="J1206" i="5"/>
  <c r="O1206" i="5"/>
  <c r="O1205" i="5" s="1"/>
  <c r="O2295" i="5" s="1"/>
  <c r="G2295" i="5" s="1"/>
  <c r="N1220" i="5"/>
  <c r="M1220" i="5"/>
  <c r="P1220" i="5"/>
  <c r="L1220" i="5"/>
  <c r="O314" i="5"/>
  <c r="N1301" i="5"/>
  <c r="M1301" i="5"/>
  <c r="P1301" i="5"/>
  <c r="L1301" i="5"/>
  <c r="J1309" i="5"/>
  <c r="N1312" i="5"/>
  <c r="M1312" i="5"/>
  <c r="P1312" i="5"/>
  <c r="L1312" i="5"/>
  <c r="Q1315" i="5"/>
  <c r="Q1331" i="5"/>
  <c r="Q1341" i="5"/>
  <c r="P1427" i="5"/>
  <c r="L1427" i="5"/>
  <c r="N1427" i="5"/>
  <c r="O1427" i="5"/>
  <c r="M1427" i="5"/>
  <c r="G1472" i="5"/>
  <c r="M1657" i="5"/>
  <c r="P1657" i="5"/>
  <c r="L1657" i="5"/>
  <c r="N1665" i="5"/>
  <c r="M1665" i="5"/>
  <c r="P1665" i="5"/>
  <c r="L1665" i="5"/>
  <c r="O1665" i="5"/>
  <c r="N904" i="5"/>
  <c r="J925" i="5"/>
  <c r="N925" i="5"/>
  <c r="N924" i="5" s="1"/>
  <c r="N958" i="5"/>
  <c r="M979" i="5"/>
  <c r="N982" i="5"/>
  <c r="N1044" i="5"/>
  <c r="M1051" i="5"/>
  <c r="M1050" i="5" s="1"/>
  <c r="M1065" i="5"/>
  <c r="N1068" i="5"/>
  <c r="N1069" i="5"/>
  <c r="M1076" i="5"/>
  <c r="M1081" i="5"/>
  <c r="N1084" i="5"/>
  <c r="M1086" i="5"/>
  <c r="M1085" i="5" s="1"/>
  <c r="M2245" i="5" s="1"/>
  <c r="N1090" i="5"/>
  <c r="N1089" i="5" s="1"/>
  <c r="N1096" i="5"/>
  <c r="O1099" i="5"/>
  <c r="M1110" i="5"/>
  <c r="M1115" i="5"/>
  <c r="M1124" i="5"/>
  <c r="M1126" i="5"/>
  <c r="N1148" i="5"/>
  <c r="M1160" i="5"/>
  <c r="O1163" i="5"/>
  <c r="N1165" i="5"/>
  <c r="M1168" i="5"/>
  <c r="M1171" i="5"/>
  <c r="M1176" i="5"/>
  <c r="M1186" i="5"/>
  <c r="M1189" i="5"/>
  <c r="N1194" i="5"/>
  <c r="M1200" i="5"/>
  <c r="M1199" i="5" s="1"/>
  <c r="N1204" i="5"/>
  <c r="M1213" i="5"/>
  <c r="M1212" i="5" s="1"/>
  <c r="M1218" i="5"/>
  <c r="M1217" i="5" s="1"/>
  <c r="M2302" i="5" s="1"/>
  <c r="E2302" i="5" s="1"/>
  <c r="M1222" i="5"/>
  <c r="M1221" i="5" s="1"/>
  <c r="M2304" i="5" s="1"/>
  <c r="M1224" i="5"/>
  <c r="M1223" i="5" s="1"/>
  <c r="M2305" i="5" s="1"/>
  <c r="E2305" i="5" s="1"/>
  <c r="N1224" i="5"/>
  <c r="N1223" i="5" s="1"/>
  <c r="N2305" i="5" s="1"/>
  <c r="F2305" i="5" s="1"/>
  <c r="N1236" i="5"/>
  <c r="M1242" i="5"/>
  <c r="N309" i="5"/>
  <c r="M323" i="5"/>
  <c r="N331" i="5"/>
  <c r="N330" i="5" s="1"/>
  <c r="N1872" i="5" s="1"/>
  <c r="M746" i="5"/>
  <c r="N755" i="5"/>
  <c r="M759" i="5"/>
  <c r="N762" i="5"/>
  <c r="M767" i="5"/>
  <c r="M774" i="5"/>
  <c r="N1299" i="5"/>
  <c r="M1305" i="5"/>
  <c r="N1309" i="5"/>
  <c r="N1320" i="5"/>
  <c r="M1329" i="5"/>
  <c r="N1333" i="5"/>
  <c r="J1338" i="5"/>
  <c r="M1339" i="5"/>
  <c r="N1347" i="5"/>
  <c r="N1346" i="5" s="1"/>
  <c r="N2361" i="5" s="1"/>
  <c r="F2361" i="5" s="1"/>
  <c r="M1351" i="5"/>
  <c r="N1356" i="5"/>
  <c r="M1367" i="5"/>
  <c r="N1383" i="5"/>
  <c r="J1385" i="5"/>
  <c r="P1419" i="5"/>
  <c r="L1419" i="5"/>
  <c r="N1419" i="5"/>
  <c r="N1396" i="5"/>
  <c r="P1396" i="5"/>
  <c r="L1396" i="5"/>
  <c r="L1460" i="5"/>
  <c r="J1475" i="5"/>
  <c r="Q1487" i="5"/>
  <c r="Q1503" i="5"/>
  <c r="L1516" i="5"/>
  <c r="O1530" i="5"/>
  <c r="M1536" i="5"/>
  <c r="N1548" i="5"/>
  <c r="M1548" i="5"/>
  <c r="P1548" i="5"/>
  <c r="L1548" i="5"/>
  <c r="N1550" i="5"/>
  <c r="M1550" i="5"/>
  <c r="M1549" i="5" s="1"/>
  <c r="M2450" i="5" s="1"/>
  <c r="E2450" i="5" s="1"/>
  <c r="L1550" i="5"/>
  <c r="N1585" i="5"/>
  <c r="M1585" i="5"/>
  <c r="P1585" i="5"/>
  <c r="L1585" i="5"/>
  <c r="N1590" i="5"/>
  <c r="N1589" i="5" s="1"/>
  <c r="M1590" i="5"/>
  <c r="M1589" i="5" s="1"/>
  <c r="P1590" i="5"/>
  <c r="P1589" i="5" s="1"/>
  <c r="L1590" i="5"/>
  <c r="J1602" i="5"/>
  <c r="O1602" i="5"/>
  <c r="O1601" i="5" s="1"/>
  <c r="O2474" i="5" s="1"/>
  <c r="J1674" i="5"/>
  <c r="N1628" i="5"/>
  <c r="M1628" i="5"/>
  <c r="P1628" i="5"/>
  <c r="L1628" i="5"/>
  <c r="N1636" i="5"/>
  <c r="M1636" i="5"/>
  <c r="P1636" i="5"/>
  <c r="L1636" i="5"/>
  <c r="N1653" i="5"/>
  <c r="M1653" i="5"/>
  <c r="P1653" i="5"/>
  <c r="L1653" i="5"/>
  <c r="W2142" i="5"/>
  <c r="N979" i="5"/>
  <c r="O1044" i="5"/>
  <c r="O1043" i="5" s="1"/>
  <c r="O2226" i="5" s="1"/>
  <c r="G2226" i="5" s="1"/>
  <c r="O1068" i="5"/>
  <c r="O1069" i="5"/>
  <c r="O1084" i="5"/>
  <c r="O1090" i="5"/>
  <c r="O1089" i="5" s="1"/>
  <c r="O1096" i="5"/>
  <c r="O1148" i="5"/>
  <c r="O1165" i="5"/>
  <c r="O1194" i="5"/>
  <c r="J1200" i="5"/>
  <c r="O1204" i="5"/>
  <c r="O1224" i="5"/>
  <c r="O1223" i="5" s="1"/>
  <c r="O2305" i="5" s="1"/>
  <c r="G2305" i="5" s="1"/>
  <c r="O1236" i="5"/>
  <c r="O309" i="5"/>
  <c r="O331" i="5"/>
  <c r="O330" i="5" s="1"/>
  <c r="O1872" i="5" s="1"/>
  <c r="O755" i="5"/>
  <c r="O762" i="5"/>
  <c r="O1299" i="5"/>
  <c r="O1309" i="5"/>
  <c r="O1320" i="5"/>
  <c r="O1333" i="5"/>
  <c r="O1347" i="5"/>
  <c r="O1346" i="5" s="1"/>
  <c r="O2361" i="5" s="1"/>
  <c r="G2361" i="5" s="1"/>
  <c r="O1356" i="5"/>
  <c r="O1383" i="5"/>
  <c r="Q1405" i="5"/>
  <c r="P1407" i="5"/>
  <c r="L1407" i="5"/>
  <c r="N1407" i="5"/>
  <c r="G1450" i="5"/>
  <c r="Q1393" i="5"/>
  <c r="F1460" i="5"/>
  <c r="Q1466" i="5"/>
  <c r="N1468" i="5"/>
  <c r="P1468" i="5"/>
  <c r="L1468" i="5"/>
  <c r="Q1500" i="5"/>
  <c r="L2428" i="5"/>
  <c r="D2428" i="5" s="1"/>
  <c r="Q1502" i="5"/>
  <c r="Q2428" i="5" s="1"/>
  <c r="I2428" i="5" s="1"/>
  <c r="J1522" i="5"/>
  <c r="J1529" i="5"/>
  <c r="I1537" i="5"/>
  <c r="P1537" i="5" s="1"/>
  <c r="P1536" i="5"/>
  <c r="M1537" i="5"/>
  <c r="N1580" i="5"/>
  <c r="M1580" i="5"/>
  <c r="P1580" i="5"/>
  <c r="L1580" i="5"/>
  <c r="L2484" i="5"/>
  <c r="D2484" i="5" s="1"/>
  <c r="Q1619" i="5"/>
  <c r="Q2484" i="5" s="1"/>
  <c r="I2484" i="5" s="1"/>
  <c r="N1388" i="5"/>
  <c r="M1388" i="5"/>
  <c r="P1388" i="5"/>
  <c r="L1388" i="5"/>
  <c r="L1044" i="5"/>
  <c r="L1068" i="5"/>
  <c r="L1069" i="5"/>
  <c r="L1084" i="5"/>
  <c r="L1090" i="5"/>
  <c r="F1092" i="5"/>
  <c r="G1092" i="5" s="1"/>
  <c r="H1092" i="5" s="1"/>
  <c r="L1096" i="5"/>
  <c r="L1148" i="5"/>
  <c r="L1165" i="5"/>
  <c r="L1194" i="5"/>
  <c r="J1203" i="5"/>
  <c r="L1204" i="5"/>
  <c r="L1224" i="5"/>
  <c r="L1236" i="5"/>
  <c r="L309" i="5"/>
  <c r="I327" i="5"/>
  <c r="L331" i="5"/>
  <c r="L755" i="5"/>
  <c r="L762" i="5"/>
  <c r="L1299" i="5"/>
  <c r="L1309" i="5"/>
  <c r="L1320" i="5"/>
  <c r="L1333" i="5"/>
  <c r="L1347" i="5"/>
  <c r="L1356" i="5"/>
  <c r="L1383" i="5"/>
  <c r="M1407" i="5"/>
  <c r="N1458" i="5"/>
  <c r="P1458" i="5"/>
  <c r="L1458" i="5"/>
  <c r="N1462" i="5"/>
  <c r="P1462" i="5"/>
  <c r="L1462" i="5"/>
  <c r="R1463" i="5"/>
  <c r="H1465" i="5"/>
  <c r="M1468" i="5"/>
  <c r="Q1504" i="5"/>
  <c r="N1510" i="5"/>
  <c r="M1510" i="5"/>
  <c r="P1510" i="5"/>
  <c r="L1510" i="5"/>
  <c r="F1519" i="5"/>
  <c r="N1529" i="5"/>
  <c r="M1529" i="5"/>
  <c r="P1529" i="5"/>
  <c r="L1529" i="5"/>
  <c r="P1530" i="5"/>
  <c r="O1537" i="5"/>
  <c r="N1544" i="5"/>
  <c r="M1544" i="5"/>
  <c r="P1544" i="5"/>
  <c r="L1544" i="5"/>
  <c r="N1555" i="5"/>
  <c r="M1555" i="5"/>
  <c r="P1555" i="5"/>
  <c r="L1555" i="5"/>
  <c r="O1580" i="5"/>
  <c r="N1674" i="5"/>
  <c r="M1674" i="5"/>
  <c r="P1674" i="5"/>
  <c r="L1674" i="5"/>
  <c r="N1632" i="5"/>
  <c r="M1632" i="5"/>
  <c r="P1632" i="5"/>
  <c r="L1632" i="5"/>
  <c r="G1657" i="5"/>
  <c r="H1657" i="5" s="1"/>
  <c r="J1657" i="5" s="1"/>
  <c r="N1659" i="5"/>
  <c r="M1659" i="5"/>
  <c r="P1659" i="5"/>
  <c r="L1659" i="5"/>
  <c r="O1388" i="5"/>
  <c r="M1414" i="5"/>
  <c r="M1399" i="5"/>
  <c r="M1398" i="5" s="1"/>
  <c r="M2381" i="5" s="1"/>
  <c r="E2381" i="5" s="1"/>
  <c r="M1402" i="5"/>
  <c r="M1490" i="5"/>
  <c r="O1496" i="5"/>
  <c r="M2427" i="5"/>
  <c r="M320" i="8" s="1"/>
  <c r="L2430" i="5"/>
  <c r="L321" i="8" s="1"/>
  <c r="N1506" i="5"/>
  <c r="E1530" i="5"/>
  <c r="O1536" i="5"/>
  <c r="N1571" i="5"/>
  <c r="N1576" i="5"/>
  <c r="N1597" i="5"/>
  <c r="N1599" i="5"/>
  <c r="M1602" i="5"/>
  <c r="M1601" i="5" s="1"/>
  <c r="M2474" i="5" s="1"/>
  <c r="M1672" i="5"/>
  <c r="N1639" i="5"/>
  <c r="M1644" i="5"/>
  <c r="M1648" i="5"/>
  <c r="N1658" i="5"/>
  <c r="O1697" i="5"/>
  <c r="M1700" i="5"/>
  <c r="M1699" i="5" s="1"/>
  <c r="M2514" i="5" s="1"/>
  <c r="E2514" i="5" s="1"/>
  <c r="N1392" i="5"/>
  <c r="J1484" i="5"/>
  <c r="O1506" i="5"/>
  <c r="O1571" i="5"/>
  <c r="O1576" i="5"/>
  <c r="O1597" i="5"/>
  <c r="O1599" i="5"/>
  <c r="O1639" i="5"/>
  <c r="O1658" i="5"/>
  <c r="O2427" i="5"/>
  <c r="O320" i="8" s="1"/>
  <c r="W2429" i="5"/>
  <c r="L1506" i="5"/>
  <c r="F1516" i="5"/>
  <c r="G1516" i="5" s="1"/>
  <c r="H1516" i="5" s="1"/>
  <c r="L1519" i="5"/>
  <c r="L1571" i="5"/>
  <c r="L1576" i="5"/>
  <c r="L1597" i="5"/>
  <c r="L1599" i="5"/>
  <c r="L1639" i="5"/>
  <c r="L1658" i="5"/>
  <c r="P1392" i="5"/>
  <c r="R2410" i="5" l="1"/>
  <c r="J2410" i="5" s="1"/>
  <c r="C113" i="12"/>
  <c r="R2451" i="5"/>
  <c r="B74" i="12"/>
  <c r="C74" i="12"/>
  <c r="C132" i="12"/>
  <c r="B101" i="12"/>
  <c r="R2407" i="5"/>
  <c r="R2411" i="5"/>
  <c r="B203" i="12"/>
  <c r="J2409" i="5"/>
  <c r="B34" i="12"/>
  <c r="G2185" i="5"/>
  <c r="E2185" i="5"/>
  <c r="H2185" i="5"/>
  <c r="F2185" i="5"/>
  <c r="F2474" i="5"/>
  <c r="D2304" i="5"/>
  <c r="F2245" i="5"/>
  <c r="E1791" i="5"/>
  <c r="H1730" i="5"/>
  <c r="G1891" i="5"/>
  <c r="D1720" i="5"/>
  <c r="H1802" i="5"/>
  <c r="F1802" i="5"/>
  <c r="G2474" i="5"/>
  <c r="G2037" i="5"/>
  <c r="E2037" i="5"/>
  <c r="E1851" i="5"/>
  <c r="E2304" i="5"/>
  <c r="G1973" i="5"/>
  <c r="G1930" i="5"/>
  <c r="F2037" i="5"/>
  <c r="H2474" i="5"/>
  <c r="F2304" i="5"/>
  <c r="H2245" i="5"/>
  <c r="E1897" i="5"/>
  <c r="D1730" i="5"/>
  <c r="E1720" i="5"/>
  <c r="F2114" i="5"/>
  <c r="D2114" i="5"/>
  <c r="D1802" i="5"/>
  <c r="G2293" i="5"/>
  <c r="H2304" i="5"/>
  <c r="G2245" i="5"/>
  <c r="F1897" i="5"/>
  <c r="D1897" i="5"/>
  <c r="E2114" i="5"/>
  <c r="E1891" i="5"/>
  <c r="H1973" i="5"/>
  <c r="E2474" i="5"/>
  <c r="F1973" i="5"/>
  <c r="F1930" i="5"/>
  <c r="H1930" i="5"/>
  <c r="E1973" i="5"/>
  <c r="H1891" i="5"/>
  <c r="E2245" i="5"/>
  <c r="G1791" i="5"/>
  <c r="G1851" i="5"/>
  <c r="F1851" i="5"/>
  <c r="G1802" i="5"/>
  <c r="F1791" i="5"/>
  <c r="H2084" i="5"/>
  <c r="H2037" i="5"/>
  <c r="D2474" i="5"/>
  <c r="G2304" i="5"/>
  <c r="H2114" i="5"/>
  <c r="D2245" i="5"/>
  <c r="G1897" i="5"/>
  <c r="D1891" i="5"/>
  <c r="F1720" i="5"/>
  <c r="F1730" i="5"/>
  <c r="G2114" i="5"/>
  <c r="O509" i="8"/>
  <c r="N508" i="8"/>
  <c r="U436" i="8"/>
  <c r="P508" i="8"/>
  <c r="F1215" i="5"/>
  <c r="F1211" i="5"/>
  <c r="N509" i="8"/>
  <c r="L508" i="8"/>
  <c r="M508" i="8"/>
  <c r="L509" i="8"/>
  <c r="M509" i="8"/>
  <c r="O508" i="8"/>
  <c r="P509" i="8"/>
  <c r="E1871" i="5"/>
  <c r="M74" i="8"/>
  <c r="L2378" i="5"/>
  <c r="O1871" i="5"/>
  <c r="G1872" i="5"/>
  <c r="N1871" i="5"/>
  <c r="F1872" i="5"/>
  <c r="D2347" i="5"/>
  <c r="F2347" i="5"/>
  <c r="H2347" i="5"/>
  <c r="G2347" i="5"/>
  <c r="L461" i="8"/>
  <c r="M461" i="8" s="1"/>
  <c r="N461" i="8" s="1"/>
  <c r="O461" i="8" s="1"/>
  <c r="P461" i="8" s="1"/>
  <c r="M361" i="8"/>
  <c r="N361" i="8" s="1"/>
  <c r="O361" i="8" s="1"/>
  <c r="P361" i="8" s="1"/>
  <c r="E2094" i="5"/>
  <c r="E2430" i="5"/>
  <c r="E321" i="8" s="1"/>
  <c r="F2427" i="5"/>
  <c r="F320" i="8" s="1"/>
  <c r="H2427" i="5"/>
  <c r="H320" i="8" s="1"/>
  <c r="E2427" i="5"/>
  <c r="E320" i="8" s="1"/>
  <c r="G2427" i="5"/>
  <c r="G320" i="8" s="1"/>
  <c r="D2430" i="5"/>
  <c r="D321" i="8" s="1"/>
  <c r="Q1782" i="5"/>
  <c r="V150" i="5"/>
  <c r="E1929" i="5"/>
  <c r="H1956" i="5"/>
  <c r="H111" i="8" s="1"/>
  <c r="Q1718" i="5"/>
  <c r="I1718" i="5" s="1"/>
  <c r="V24" i="5"/>
  <c r="E1956" i="5"/>
  <c r="E111" i="8" s="1"/>
  <c r="H2010" i="5"/>
  <c r="F1956" i="5"/>
  <c r="F111" i="8" s="1"/>
  <c r="G2096" i="5"/>
  <c r="F2044" i="5"/>
  <c r="F155" i="8" s="1"/>
  <c r="E2044" i="5"/>
  <c r="E155" i="8" s="1"/>
  <c r="H2044" i="5"/>
  <c r="H155" i="8" s="1"/>
  <c r="G2044" i="5"/>
  <c r="G155" i="8" s="1"/>
  <c r="E1717" i="5"/>
  <c r="O1729" i="5"/>
  <c r="O17" i="8" s="1"/>
  <c r="G1730" i="5"/>
  <c r="G1717" i="5"/>
  <c r="H1717" i="5"/>
  <c r="F1717" i="5"/>
  <c r="P1745" i="5"/>
  <c r="P25" i="8" s="1"/>
  <c r="H1746" i="5"/>
  <c r="L1746" i="5"/>
  <c r="O1746" i="5"/>
  <c r="M1746" i="5"/>
  <c r="N1746" i="5"/>
  <c r="O1956" i="5"/>
  <c r="O111" i="8" s="1"/>
  <c r="W1957" i="5"/>
  <c r="L1956" i="5"/>
  <c r="L111" i="8" s="1"/>
  <c r="K598" i="5"/>
  <c r="C210" i="1" s="1"/>
  <c r="J1002" i="5"/>
  <c r="N533" i="5"/>
  <c r="N1969" i="5" s="1"/>
  <c r="F1969" i="5" s="1"/>
  <c r="X2142" i="5"/>
  <c r="M1130" i="5"/>
  <c r="M1170" i="5"/>
  <c r="M2278" i="5" s="1"/>
  <c r="E2278" i="5" s="1"/>
  <c r="J1003" i="5"/>
  <c r="Q667" i="5"/>
  <c r="P1790" i="5"/>
  <c r="P45" i="8" s="1"/>
  <c r="G1209" i="5"/>
  <c r="G1211" i="5" s="1"/>
  <c r="N1211" i="5" s="1"/>
  <c r="N1210" i="5" s="1"/>
  <c r="N2298" i="5" s="1"/>
  <c r="F2298" i="5" s="1"/>
  <c r="Q550" i="5"/>
  <c r="Q535" i="5"/>
  <c r="N957" i="5"/>
  <c r="N2189" i="5" s="1"/>
  <c r="F2189" i="5" s="1"/>
  <c r="M1209" i="5"/>
  <c r="M1208" i="5" s="1"/>
  <c r="M2297" i="5" s="1"/>
  <c r="E2297" i="5" s="1"/>
  <c r="N278" i="5"/>
  <c r="N1849" i="5" s="1"/>
  <c r="F1849" i="5" s="1"/>
  <c r="L353" i="5"/>
  <c r="L1887" i="5" s="1"/>
  <c r="D1887" i="5" s="1"/>
  <c r="P553" i="5"/>
  <c r="P1979" i="5" s="1"/>
  <c r="H1979" i="5" s="1"/>
  <c r="L2346" i="5"/>
  <c r="N526" i="5"/>
  <c r="Q526" i="5" s="1"/>
  <c r="J455" i="5"/>
  <c r="L533" i="5"/>
  <c r="L1969" i="5" s="1"/>
  <c r="D1969" i="5" s="1"/>
  <c r="Q555" i="5"/>
  <c r="L957" i="5"/>
  <c r="L2189" i="5" s="1"/>
  <c r="D2189" i="5" s="1"/>
  <c r="L2113" i="5"/>
  <c r="L188" i="8" s="1"/>
  <c r="M1874" i="5"/>
  <c r="M76" i="8" s="1"/>
  <c r="Q392" i="5"/>
  <c r="N15" i="5"/>
  <c r="N1714" i="5" s="1"/>
  <c r="F1714" i="5" s="1"/>
  <c r="Q1324" i="5"/>
  <c r="Q628" i="5"/>
  <c r="N353" i="5"/>
  <c r="N1887" i="5" s="1"/>
  <c r="F1887" i="5" s="1"/>
  <c r="Q838" i="5"/>
  <c r="P1067" i="5"/>
  <c r="P2238" i="5" s="1"/>
  <c r="H2238" i="5" s="1"/>
  <c r="J526" i="5"/>
  <c r="G112" i="5"/>
  <c r="M37" i="5"/>
  <c r="M1724" i="5" s="1"/>
  <c r="E1724" i="5" s="1"/>
  <c r="Q30" i="5"/>
  <c r="V30" i="5" s="1"/>
  <c r="Q146" i="5"/>
  <c r="V146" i="5" s="1"/>
  <c r="O652" i="5"/>
  <c r="O2028" i="5" s="1"/>
  <c r="N527" i="5"/>
  <c r="Q527" i="5" s="1"/>
  <c r="M761" i="5"/>
  <c r="M2084" i="5" s="1"/>
  <c r="L1075" i="5"/>
  <c r="L2241" i="5" s="1"/>
  <c r="D2241" i="5" s="1"/>
  <c r="Q1184" i="5"/>
  <c r="Q1612" i="5"/>
  <c r="L660" i="5"/>
  <c r="L2032" i="5" s="1"/>
  <c r="D2032" i="5" s="1"/>
  <c r="Q771" i="5"/>
  <c r="M524" i="5"/>
  <c r="M1966" i="5" s="1"/>
  <c r="E1966" i="5" s="1"/>
  <c r="P2475" i="5"/>
  <c r="P339" i="8" s="1"/>
  <c r="Q1124" i="5"/>
  <c r="Q571" i="5"/>
  <c r="Q931" i="5"/>
  <c r="Q930" i="5" s="1"/>
  <c r="Q2173" i="5" s="1"/>
  <c r="I2173" i="5" s="1"/>
  <c r="N97" i="5"/>
  <c r="N1758" i="5" s="1"/>
  <c r="F1758" i="5" s="1"/>
  <c r="M1800" i="5"/>
  <c r="M49" i="8" s="1"/>
  <c r="Q1077" i="5"/>
  <c r="Q534" i="5"/>
  <c r="Q386" i="5"/>
  <c r="Q356" i="5"/>
  <c r="Q1186" i="5"/>
  <c r="Q1168" i="5"/>
  <c r="Q129" i="5"/>
  <c r="V129" i="5" s="1"/>
  <c r="Q825" i="5"/>
  <c r="Q1339" i="5"/>
  <c r="Q1242" i="5"/>
  <c r="P777" i="5"/>
  <c r="P2093" i="5" s="1"/>
  <c r="H2093" i="5" s="1"/>
  <c r="P660" i="5"/>
  <c r="P2032" i="5" s="1"/>
  <c r="Q794" i="5"/>
  <c r="Q1607" i="5"/>
  <c r="Q1606" i="5" s="1"/>
  <c r="Q2477" i="5" s="1"/>
  <c r="I2477" i="5" s="1"/>
  <c r="J740" i="5"/>
  <c r="Q1003" i="5"/>
  <c r="Q1605" i="5"/>
  <c r="Q1604" i="5" s="1"/>
  <c r="Q2476" i="5" s="1"/>
  <c r="I2476" i="5" s="1"/>
  <c r="Q746" i="5"/>
  <c r="O1061" i="5"/>
  <c r="O1060" i="5" s="1"/>
  <c r="O2235" i="5" s="1"/>
  <c r="G2235" i="5" s="1"/>
  <c r="J1025" i="5"/>
  <c r="X1858" i="5"/>
  <c r="J1374" i="5"/>
  <c r="Q1009" i="5"/>
  <c r="Q815" i="5"/>
  <c r="Q586" i="5"/>
  <c r="L2115" i="5"/>
  <c r="L189" i="8" s="1"/>
  <c r="Q819" i="5"/>
  <c r="Q818" i="5" s="1"/>
  <c r="Q2114" i="5" s="1"/>
  <c r="N1061" i="5"/>
  <c r="N1060" i="5" s="1"/>
  <c r="N2235" i="5" s="1"/>
  <c r="F2235" i="5" s="1"/>
  <c r="Q355" i="5"/>
  <c r="Q17" i="5"/>
  <c r="V17" i="5" s="1"/>
  <c r="Q400" i="5"/>
  <c r="Q479" i="5"/>
  <c r="P15" i="5"/>
  <c r="P1714" i="5" s="1"/>
  <c r="H1714" i="5" s="1"/>
  <c r="J1223" i="5"/>
  <c r="Q780" i="5"/>
  <c r="W1891" i="5"/>
  <c r="N553" i="5"/>
  <c r="N1979" i="5" s="1"/>
  <c r="Q365" i="5"/>
  <c r="Q364" i="5" s="1"/>
  <c r="Q1891" i="5" s="1"/>
  <c r="M278" i="5"/>
  <c r="M1849" i="5" s="1"/>
  <c r="E1849" i="5" s="1"/>
  <c r="M2473" i="5"/>
  <c r="M338" i="8" s="1"/>
  <c r="P2184" i="5"/>
  <c r="P222" i="8" s="1"/>
  <c r="M2029" i="5"/>
  <c r="M147" i="8" s="1"/>
  <c r="W1999" i="5"/>
  <c r="O1978" i="5"/>
  <c r="O122" i="8" s="1"/>
  <c r="P1800" i="5"/>
  <c r="P49" i="8" s="1"/>
  <c r="P1874" i="5"/>
  <c r="P76" i="8" s="1"/>
  <c r="N2473" i="5"/>
  <c r="N338" i="8" s="1"/>
  <c r="P2115" i="5"/>
  <c r="P189" i="8" s="1"/>
  <c r="P2113" i="5"/>
  <c r="P188" i="8" s="1"/>
  <c r="N2184" i="5"/>
  <c r="N222" i="8" s="1"/>
  <c r="N2113" i="5"/>
  <c r="N188" i="8" s="1"/>
  <c r="O1657" i="5"/>
  <c r="O1656" i="5" s="1"/>
  <c r="O2497" i="5" s="1"/>
  <c r="G2497" i="5" s="1"/>
  <c r="N1657" i="5"/>
  <c r="N1656" i="5" s="1"/>
  <c r="N2497" i="5" s="1"/>
  <c r="F2497" i="5" s="1"/>
  <c r="M2184" i="5"/>
  <c r="M222" i="8" s="1"/>
  <c r="O1790" i="5"/>
  <c r="O45" i="8" s="1"/>
  <c r="O2010" i="5"/>
  <c r="O138" i="8" s="1"/>
  <c r="J1518" i="5"/>
  <c r="N1874" i="5"/>
  <c r="N76" i="8" s="1"/>
  <c r="N1790" i="5"/>
  <c r="N45" i="8" s="1"/>
  <c r="W2387" i="5"/>
  <c r="X2387" i="5" s="1"/>
  <c r="M2154" i="5"/>
  <c r="M206" i="8" s="1"/>
  <c r="P2473" i="5"/>
  <c r="P338" i="8" s="1"/>
  <c r="O2184" i="5"/>
  <c r="O222" i="8" s="1"/>
  <c r="O2092" i="5"/>
  <c r="O176" i="8" s="1"/>
  <c r="O2115" i="5"/>
  <c r="O189" i="8" s="1"/>
  <c r="O2473" i="5"/>
  <c r="O338" i="8" s="1"/>
  <c r="P2346" i="5"/>
  <c r="O2346" i="5"/>
  <c r="O2113" i="5"/>
  <c r="O188" i="8" s="1"/>
  <c r="O1874" i="5"/>
  <c r="O76" i="8" s="1"/>
  <c r="M2099" i="5"/>
  <c r="M180" i="8" s="1"/>
  <c r="P2096" i="5"/>
  <c r="P178" i="8" s="1"/>
  <c r="N2115" i="5"/>
  <c r="N189" i="8" s="1"/>
  <c r="O2166" i="5"/>
  <c r="O212" i="8" s="1"/>
  <c r="O2031" i="5"/>
  <c r="O148" i="8" s="1"/>
  <c r="N1800" i="5"/>
  <c r="N49" i="8" s="1"/>
  <c r="J1061" i="5"/>
  <c r="J1528" i="5"/>
  <c r="J446" i="5"/>
  <c r="P1391" i="5"/>
  <c r="Q309" i="5"/>
  <c r="L2297" i="5"/>
  <c r="D2297" i="5" s="1"/>
  <c r="N2468" i="5"/>
  <c r="F2468" i="5" s="1"/>
  <c r="Q1305" i="5"/>
  <c r="Q1126" i="5"/>
  <c r="N2248" i="5"/>
  <c r="F2248" i="5" s="1"/>
  <c r="M1219" i="5"/>
  <c r="M2303" i="5" s="1"/>
  <c r="E2303" i="5" s="1"/>
  <c r="O1058" i="5"/>
  <c r="O2234" i="5" s="1"/>
  <c r="M1043" i="5"/>
  <c r="M2226" i="5" s="1"/>
  <c r="E2226" i="5" s="1"/>
  <c r="W1802" i="5"/>
  <c r="M1058" i="5"/>
  <c r="M2234" i="5" s="1"/>
  <c r="N2398" i="5"/>
  <c r="F2398" i="5" s="1"/>
  <c r="P2293" i="5"/>
  <c r="O2248" i="5"/>
  <c r="G2248" i="5" s="1"/>
  <c r="M2299" i="5"/>
  <c r="E2299" i="5" s="1"/>
  <c r="O1098" i="5"/>
  <c r="O2252" i="5" s="1"/>
  <c r="N1219" i="5"/>
  <c r="N2303" i="5" s="1"/>
  <c r="F2303" i="5" s="1"/>
  <c r="L2229" i="5"/>
  <c r="D2229" i="5" s="1"/>
  <c r="P2209" i="5"/>
  <c r="H2209" i="5" s="1"/>
  <c r="N1058" i="5"/>
  <c r="N2234" i="5" s="1"/>
  <c r="M2293" i="5"/>
  <c r="M1098" i="5"/>
  <c r="M2252" i="5" s="1"/>
  <c r="O2169" i="5"/>
  <c r="G2169" i="5" s="1"/>
  <c r="Q878" i="5"/>
  <c r="N1391" i="5"/>
  <c r="Q1236" i="5"/>
  <c r="O1203" i="5"/>
  <c r="O2294" i="5" s="1"/>
  <c r="G2294" i="5" s="1"/>
  <c r="O1083" i="5"/>
  <c r="O2244" i="5" s="1"/>
  <c r="G2244" i="5" s="1"/>
  <c r="P2468" i="5"/>
  <c r="H2468" i="5" s="1"/>
  <c r="M773" i="5"/>
  <c r="M2090" i="5" s="1"/>
  <c r="E2090" i="5" s="1"/>
  <c r="N1203" i="5"/>
  <c r="N2294" i="5" s="1"/>
  <c r="F2294" i="5" s="1"/>
  <c r="N1083" i="5"/>
  <c r="N2244" i="5" s="1"/>
  <c r="F2244" i="5" s="1"/>
  <c r="M2229" i="5"/>
  <c r="E2229" i="5" s="1"/>
  <c r="L2299" i="5"/>
  <c r="D2299" i="5" s="1"/>
  <c r="M2209" i="5"/>
  <c r="E2209" i="5" s="1"/>
  <c r="N1170" i="5"/>
  <c r="N2278" i="5" s="1"/>
  <c r="F2278" i="5" s="1"/>
  <c r="M927" i="5"/>
  <c r="M2171" i="5" s="1"/>
  <c r="E2171" i="5" s="1"/>
  <c r="P920" i="5"/>
  <c r="P2167" i="5" s="1"/>
  <c r="H2167" i="5" s="1"/>
  <c r="M2398" i="5"/>
  <c r="E2398" i="5" s="1"/>
  <c r="P2398" i="5"/>
  <c r="H2398" i="5" s="1"/>
  <c r="N2293" i="5"/>
  <c r="P1170" i="5"/>
  <c r="P2278" i="5" s="1"/>
  <c r="H2278" i="5" s="1"/>
  <c r="M2468" i="5"/>
  <c r="E2468" i="5" s="1"/>
  <c r="Q2429" i="5"/>
  <c r="I2429" i="5" s="1"/>
  <c r="M2292" i="5"/>
  <c r="E2292" i="5" s="1"/>
  <c r="Q1081" i="5"/>
  <c r="N2169" i="5"/>
  <c r="F2169" i="5" s="1"/>
  <c r="P1219" i="5"/>
  <c r="P2303" i="5" s="1"/>
  <c r="H2303" i="5" s="1"/>
  <c r="N1098" i="5"/>
  <c r="N2252" i="5" s="1"/>
  <c r="N2209" i="5"/>
  <c r="F2209" i="5" s="1"/>
  <c r="O957" i="5"/>
  <c r="O2189" i="5" s="1"/>
  <c r="G2189" i="5" s="1"/>
  <c r="O2299" i="5"/>
  <c r="G2299" i="5" s="1"/>
  <c r="P1058" i="5"/>
  <c r="P2234" i="5" s="1"/>
  <c r="M957" i="5"/>
  <c r="M2189" i="5" s="1"/>
  <c r="E2189" i="5" s="1"/>
  <c r="N927" i="5"/>
  <c r="N2171" i="5" s="1"/>
  <c r="F2171" i="5" s="1"/>
  <c r="M920" i="5"/>
  <c r="M2167" i="5" s="1"/>
  <c r="E2167" i="5" s="1"/>
  <c r="O2398" i="5"/>
  <c r="G2398" i="5" s="1"/>
  <c r="O2292" i="5"/>
  <c r="G2292" i="5" s="1"/>
  <c r="M1776" i="5"/>
  <c r="M40" i="8" s="1"/>
  <c r="P1203" i="5"/>
  <c r="P2294" i="5" s="1"/>
  <c r="H2294" i="5" s="1"/>
  <c r="Q1610" i="5"/>
  <c r="P2248" i="5"/>
  <c r="H2248" i="5" s="1"/>
  <c r="Q585" i="5"/>
  <c r="O927" i="5"/>
  <c r="O2171" i="5" s="1"/>
  <c r="G2171" i="5" s="1"/>
  <c r="M1016" i="5"/>
  <c r="M2214" i="5" s="1"/>
  <c r="E2214" i="5" s="1"/>
  <c r="M1067" i="5"/>
  <c r="M2238" i="5" s="1"/>
  <c r="E2238" i="5" s="1"/>
  <c r="O773" i="5"/>
  <c r="O2090" i="5" s="1"/>
  <c r="G2090" i="5" s="1"/>
  <c r="Q318" i="5"/>
  <c r="O2229" i="5"/>
  <c r="G2229" i="5" s="1"/>
  <c r="M1876" i="5"/>
  <c r="M77" i="8" s="1"/>
  <c r="P1052" i="5"/>
  <c r="P2230" i="5" s="1"/>
  <c r="H2230" i="5" s="1"/>
  <c r="O1776" i="5"/>
  <c r="O40" i="8" s="1"/>
  <c r="N1776" i="5"/>
  <c r="N40" i="8" s="1"/>
  <c r="M1606" i="5"/>
  <c r="M2477" i="5" s="1"/>
  <c r="E2477" i="5" s="1"/>
  <c r="Q751" i="5"/>
  <c r="L2300" i="5"/>
  <c r="Q1029" i="5"/>
  <c r="P1098" i="5"/>
  <c r="P2252" i="5" s="1"/>
  <c r="P927" i="5"/>
  <c r="P2171" i="5" s="1"/>
  <c r="H2171" i="5" s="1"/>
  <c r="P1729" i="5"/>
  <c r="P17" i="8" s="1"/>
  <c r="N1016" i="5"/>
  <c r="N2214" i="5" s="1"/>
  <c r="F2214" i="5" s="1"/>
  <c r="N898" i="5"/>
  <c r="N2155" i="5" s="1"/>
  <c r="F2155" i="5" s="1"/>
  <c r="M1052" i="5"/>
  <c r="M2230" i="5" s="1"/>
  <c r="E2230" i="5" s="1"/>
  <c r="O1391" i="5"/>
  <c r="N1606" i="5"/>
  <c r="N2477" i="5" s="1"/>
  <c r="F2477" i="5" s="1"/>
  <c r="P773" i="5"/>
  <c r="P2090" i="5" s="1"/>
  <c r="H2090" i="5" s="1"/>
  <c r="P2169" i="5"/>
  <c r="H2169" i="5" s="1"/>
  <c r="N2292" i="5"/>
  <c r="F2292" i="5" s="1"/>
  <c r="M1083" i="5"/>
  <c r="M2244" i="5" s="1"/>
  <c r="E2244" i="5" s="1"/>
  <c r="P2292" i="5"/>
  <c r="H2292" i="5" s="1"/>
  <c r="L2169" i="5"/>
  <c r="D2169" i="5" s="1"/>
  <c r="P1016" i="5"/>
  <c r="P2214" i="5" s="1"/>
  <c r="H2214" i="5" s="1"/>
  <c r="O1016" i="5"/>
  <c r="O2214" i="5" s="1"/>
  <c r="G2214" i="5" s="1"/>
  <c r="P2299" i="5"/>
  <c r="H2299" i="5" s="1"/>
  <c r="N2299" i="5"/>
  <c r="F2299" i="5" s="1"/>
  <c r="N2229" i="5"/>
  <c r="F2229" i="5" s="1"/>
  <c r="N1729" i="5"/>
  <c r="N17" i="8" s="1"/>
  <c r="O898" i="5"/>
  <c r="O2155" i="5" s="1"/>
  <c r="G2155" i="5" s="1"/>
  <c r="O1219" i="5"/>
  <c r="O2303" i="5" s="1"/>
  <c r="G2303" i="5" s="1"/>
  <c r="O1052" i="5"/>
  <c r="O2230" i="5" s="1"/>
  <c r="G2230" i="5" s="1"/>
  <c r="N1052" i="5"/>
  <c r="N2230" i="5" s="1"/>
  <c r="F2230" i="5" s="1"/>
  <c r="O1606" i="5"/>
  <c r="O2477" i="5" s="1"/>
  <c r="G2477" i="5" s="1"/>
  <c r="P898" i="5"/>
  <c r="P2155" i="5" s="1"/>
  <c r="H2155" i="5" s="1"/>
  <c r="N1075" i="5"/>
  <c r="N2241" i="5" s="1"/>
  <c r="F2241" i="5" s="1"/>
  <c r="M2248" i="5"/>
  <c r="E2248" i="5" s="1"/>
  <c r="M2169" i="5"/>
  <c r="E2169" i="5" s="1"/>
  <c r="L1016" i="5"/>
  <c r="L2214" i="5" s="1"/>
  <c r="D2214" i="5" s="1"/>
  <c r="N773" i="5"/>
  <c r="N2090" i="5" s="1"/>
  <c r="F2090" i="5" s="1"/>
  <c r="P2229" i="5"/>
  <c r="H2229" i="5" s="1"/>
  <c r="N1876" i="5"/>
  <c r="N77" i="8" s="1"/>
  <c r="N1043" i="5"/>
  <c r="N2226" i="5" s="1"/>
  <c r="F2226" i="5" s="1"/>
  <c r="M159" i="5"/>
  <c r="M1788" i="5" s="1"/>
  <c r="E1788" i="5" s="1"/>
  <c r="Q160" i="5"/>
  <c r="M2113" i="5"/>
  <c r="M188" i="8" s="1"/>
  <c r="W2114" i="5"/>
  <c r="M1316" i="5"/>
  <c r="M2347" i="5" s="1"/>
  <c r="Q1317" i="5"/>
  <c r="Q1316" i="5" s="1"/>
  <c r="Q2347" i="5" s="1"/>
  <c r="Q1658" i="5"/>
  <c r="Q1160" i="5"/>
  <c r="Q506" i="5"/>
  <c r="Q1956" i="5" s="1"/>
  <c r="Q111" i="8" s="1"/>
  <c r="Q484" i="5"/>
  <c r="Q241" i="5"/>
  <c r="Q276" i="5"/>
  <c r="L898" i="5"/>
  <c r="L2155" i="5" s="1"/>
  <c r="D2155" i="5" s="1"/>
  <c r="Q899" i="5"/>
  <c r="Q528" i="5"/>
  <c r="Q375" i="5"/>
  <c r="W2064" i="5"/>
  <c r="Q654" i="5"/>
  <c r="Q268" i="5"/>
  <c r="Q235" i="5"/>
  <c r="N37" i="5"/>
  <c r="N1724" i="5" s="1"/>
  <c r="F1724" i="5" s="1"/>
  <c r="P652" i="5"/>
  <c r="P2028" i="5" s="1"/>
  <c r="H2028" i="5" s="1"/>
  <c r="M533" i="5"/>
  <c r="M1969" i="5" s="1"/>
  <c r="E1969" i="5" s="1"/>
  <c r="Q1303" i="5"/>
  <c r="Q675" i="5"/>
  <c r="M821" i="5"/>
  <c r="M2116" i="5" s="1"/>
  <c r="E2116" i="5" s="1"/>
  <c r="Q822" i="5"/>
  <c r="Q821" i="5" s="1"/>
  <c r="Q2116" i="5" s="1"/>
  <c r="I2116" i="5" s="1"/>
  <c r="I338" i="5"/>
  <c r="P338" i="5" s="1"/>
  <c r="P337" i="5" s="1"/>
  <c r="P1877" i="5" s="1"/>
  <c r="H1877" i="5" s="1"/>
  <c r="O338" i="5"/>
  <c r="L243" i="5"/>
  <c r="L1832" i="5" s="1"/>
  <c r="D1832" i="5" s="1"/>
  <c r="P26" i="5"/>
  <c r="P1720" i="5" s="1"/>
  <c r="Q27" i="5"/>
  <c r="Q1632" i="5"/>
  <c r="Q1309" i="5"/>
  <c r="Q1069" i="5"/>
  <c r="Q1343" i="5"/>
  <c r="P353" i="5"/>
  <c r="P1887" i="5" s="1"/>
  <c r="H1887" i="5" s="1"/>
  <c r="Q354" i="5"/>
  <c r="Q428" i="5"/>
  <c r="Q323" i="5"/>
  <c r="M1075" i="5"/>
  <c r="M2241" i="5" s="1"/>
  <c r="E2241" i="5" s="1"/>
  <c r="Q1076" i="5"/>
  <c r="Q566" i="5"/>
  <c r="M49" i="5"/>
  <c r="M1730" i="5" s="1"/>
  <c r="Q50" i="5"/>
  <c r="Q1013" i="5"/>
  <c r="N2346" i="5"/>
  <c r="N679" i="5"/>
  <c r="N2042" i="5" s="1"/>
  <c r="F2042" i="5" s="1"/>
  <c r="Q680" i="5"/>
  <c r="Q679" i="5" s="1"/>
  <c r="Q2042" i="5" s="1"/>
  <c r="I2042" i="5" s="1"/>
  <c r="L633" i="5"/>
  <c r="L2019" i="5" s="1"/>
  <c r="D2019" i="5" s="1"/>
  <c r="Q634" i="5"/>
  <c r="Q633" i="5" s="1"/>
  <c r="Q2019" i="5" s="1"/>
  <c r="I2019" i="5" s="1"/>
  <c r="Q584" i="5"/>
  <c r="M222" i="5"/>
  <c r="M1821" i="5" s="1"/>
  <c r="E1821" i="5" s="1"/>
  <c r="Q223" i="5"/>
  <c r="Q222" i="5" s="1"/>
  <c r="Q1821" i="5" s="1"/>
  <c r="I1821" i="5" s="1"/>
  <c r="Q305" i="5"/>
  <c r="P141" i="5"/>
  <c r="P1778" i="5" s="1"/>
  <c r="Q142" i="5"/>
  <c r="Q1506" i="5"/>
  <c r="Q1599" i="5"/>
  <c r="Q1576" i="5"/>
  <c r="Q1148" i="5"/>
  <c r="W2514" i="5"/>
  <c r="Q1628" i="5"/>
  <c r="Q1396" i="5"/>
  <c r="Q1017" i="5"/>
  <c r="Q922" i="5"/>
  <c r="Q805" i="5"/>
  <c r="W2381" i="5"/>
  <c r="N442" i="5"/>
  <c r="Q442" i="5" s="1"/>
  <c r="J442" i="5"/>
  <c r="Q545" i="5"/>
  <c r="Q904" i="5"/>
  <c r="Q1045" i="5"/>
  <c r="N920" i="5"/>
  <c r="N2167" i="5" s="1"/>
  <c r="F2167" i="5" s="1"/>
  <c r="Q1461" i="5"/>
  <c r="Q1073" i="5"/>
  <c r="Q837" i="5"/>
  <c r="O15" i="5"/>
  <c r="O1714" i="5" s="1"/>
  <c r="Q167" i="5"/>
  <c r="Q1171" i="5"/>
  <c r="P1075" i="5"/>
  <c r="P2241" i="5" s="1"/>
  <c r="H2241" i="5" s="1"/>
  <c r="Q944" i="5"/>
  <c r="P533" i="5"/>
  <c r="P1969" i="5" s="1"/>
  <c r="H1969" i="5" s="1"/>
  <c r="Q719" i="5"/>
  <c r="Q718" i="5" s="1"/>
  <c r="Q2064" i="5" s="1"/>
  <c r="I2064" i="5" s="1"/>
  <c r="Q420" i="5"/>
  <c r="Q61" i="5"/>
  <c r="L60" i="5"/>
  <c r="L1736" i="5" s="1"/>
  <c r="D1736" i="5" s="1"/>
  <c r="P957" i="5"/>
  <c r="P2189" i="5" s="1"/>
  <c r="H2189" i="5" s="1"/>
  <c r="W2245" i="5"/>
  <c r="P1043" i="5"/>
  <c r="P2226" i="5" s="1"/>
  <c r="H2226" i="5" s="1"/>
  <c r="Q576" i="5"/>
  <c r="M1790" i="5"/>
  <c r="M45" i="8" s="1"/>
  <c r="W1763" i="5"/>
  <c r="Q381" i="5"/>
  <c r="Q997" i="5"/>
  <c r="W1897" i="5"/>
  <c r="Q1099" i="5"/>
  <c r="Q18" i="5"/>
  <c r="V18" i="5" s="1"/>
  <c r="J443" i="5"/>
  <c r="Q247" i="5"/>
  <c r="Q378" i="5"/>
  <c r="Q377" i="5" s="1"/>
  <c r="Q1897" i="5" s="1"/>
  <c r="I1465" i="5"/>
  <c r="L1089" i="5"/>
  <c r="Q1090" i="5"/>
  <c r="Q1089" i="5" s="1"/>
  <c r="Q1653" i="5"/>
  <c r="L652" i="5"/>
  <c r="L2028" i="5" s="1"/>
  <c r="D2028" i="5" s="1"/>
  <c r="L461" i="5"/>
  <c r="L1932" i="5" s="1"/>
  <c r="D1932" i="5" s="1"/>
  <c r="Q462" i="5"/>
  <c r="Q461" i="5" s="1"/>
  <c r="Q1932" i="5" s="1"/>
  <c r="I1932" i="5" s="1"/>
  <c r="Q370" i="5"/>
  <c r="L261" i="5"/>
  <c r="L1841" i="5" s="1"/>
  <c r="D1841" i="5" s="1"/>
  <c r="L164" i="5"/>
  <c r="L1791" i="5" s="1"/>
  <c r="Q165" i="5"/>
  <c r="Q1329" i="5"/>
  <c r="L2029" i="5"/>
  <c r="L147" i="8" s="1"/>
  <c r="Q137" i="5"/>
  <c r="L136" i="5"/>
  <c r="L1775" i="5" s="1"/>
  <c r="D1775" i="5" s="1"/>
  <c r="Q979" i="5"/>
  <c r="Q1224" i="5"/>
  <c r="Q1223" i="5" s="1"/>
  <c r="Q2305" i="5" s="1"/>
  <c r="I2305" i="5" s="1"/>
  <c r="L1223" i="5"/>
  <c r="L2305" i="5" s="1"/>
  <c r="D2305" i="5" s="1"/>
  <c r="W2428" i="5"/>
  <c r="X2428" i="5" s="1"/>
  <c r="L2427" i="5"/>
  <c r="L320" i="8" s="1"/>
  <c r="Q1312" i="5"/>
  <c r="Q636" i="5"/>
  <c r="Q282" i="5"/>
  <c r="L230" i="5"/>
  <c r="L1825" i="5" s="1"/>
  <c r="D1825" i="5" s="1"/>
  <c r="Q231" i="5"/>
  <c r="Q230" i="5" s="1"/>
  <c r="Q1825" i="5" s="1"/>
  <c r="I1825" i="5" s="1"/>
  <c r="H1551" i="5"/>
  <c r="N1551" i="5"/>
  <c r="J1224" i="5"/>
  <c r="Q863" i="5"/>
  <c r="Q862" i="5" s="1"/>
  <c r="Q2136" i="5" s="1"/>
  <c r="I2136" i="5" s="1"/>
  <c r="L862" i="5"/>
  <c r="L2136" i="5" s="1"/>
  <c r="D2136" i="5" s="1"/>
  <c r="L97" i="5"/>
  <c r="L1758" i="5" s="1"/>
  <c r="D1758" i="5" s="1"/>
  <c r="Q295" i="5"/>
  <c r="L192" i="5"/>
  <c r="L1805" i="5" s="1"/>
  <c r="D1805" i="5" s="1"/>
  <c r="Q193" i="5"/>
  <c r="Q192" i="5" s="1"/>
  <c r="Q1805" i="5" s="1"/>
  <c r="I1805" i="5" s="1"/>
  <c r="H112" i="5"/>
  <c r="Q1639" i="5"/>
  <c r="Q1597" i="5"/>
  <c r="Q1571" i="5"/>
  <c r="O1535" i="5"/>
  <c r="O2444" i="5" s="1"/>
  <c r="G2444" i="5" s="1"/>
  <c r="Q1674" i="5"/>
  <c r="Q1555" i="5"/>
  <c r="Q1490" i="5"/>
  <c r="Q1333" i="5"/>
  <c r="Q1194" i="5"/>
  <c r="Q1096" i="5"/>
  <c r="L1083" i="5"/>
  <c r="L2244" i="5" s="1"/>
  <c r="D2244" i="5" s="1"/>
  <c r="Q1084" i="5"/>
  <c r="L1067" i="5"/>
  <c r="L2238" i="5" s="1"/>
  <c r="D2238" i="5" s="1"/>
  <c r="Q1068" i="5"/>
  <c r="W2474" i="5"/>
  <c r="L2473" i="5"/>
  <c r="L338" i="8" s="1"/>
  <c r="Q1580" i="5"/>
  <c r="P1535" i="5"/>
  <c r="P2444" i="5" s="1"/>
  <c r="H2444" i="5" s="1"/>
  <c r="Q1468" i="5"/>
  <c r="G1460" i="5"/>
  <c r="M1460" i="5"/>
  <c r="Q1407" i="5"/>
  <c r="L1549" i="5"/>
  <c r="L2450" i="5" s="1"/>
  <c r="D2450" i="5" s="1"/>
  <c r="Q1548" i="5"/>
  <c r="M1535" i="5"/>
  <c r="M2444" i="5" s="1"/>
  <c r="E2444" i="5" s="1"/>
  <c r="M1516" i="5"/>
  <c r="Q1496" i="5"/>
  <c r="N1067" i="5"/>
  <c r="N2238" i="5" s="1"/>
  <c r="F2238" i="5" s="1"/>
  <c r="L1656" i="5"/>
  <c r="L2497" i="5" s="1"/>
  <c r="D2497" i="5" s="1"/>
  <c r="Q1427" i="5"/>
  <c r="Q1301" i="5"/>
  <c r="Q1220" i="5"/>
  <c r="L1219" i="5"/>
  <c r="L2303" i="5" s="1"/>
  <c r="D2303" i="5" s="1"/>
  <c r="O1172" i="5"/>
  <c r="Q1172" i="5" s="1"/>
  <c r="Q1110" i="5"/>
  <c r="Q1007" i="5"/>
  <c r="Q1006" i="5" s="1"/>
  <c r="L1006" i="5"/>
  <c r="L782" i="5"/>
  <c r="L2095" i="5" s="1"/>
  <c r="D2095" i="5" s="1"/>
  <c r="Q645" i="5"/>
  <c r="Q541" i="5"/>
  <c r="Q540" i="5" s="1"/>
  <c r="Q1973" i="5" s="1"/>
  <c r="L540" i="5"/>
  <c r="L1973" i="5" s="1"/>
  <c r="L459" i="5"/>
  <c r="L1931" i="5" s="1"/>
  <c r="D1931" i="5" s="1"/>
  <c r="J444" i="5"/>
  <c r="Q424" i="5"/>
  <c r="L366" i="5"/>
  <c r="L1892" i="5" s="1"/>
  <c r="D1892" i="5" s="1"/>
  <c r="Q367" i="5"/>
  <c r="Q366" i="5" s="1"/>
  <c r="Q1892" i="5" s="1"/>
  <c r="I1892" i="5" s="1"/>
  <c r="L278" i="5"/>
  <c r="L1849" i="5" s="1"/>
  <c r="D1849" i="5" s="1"/>
  <c r="Q279" i="5"/>
  <c r="Q259" i="5"/>
  <c r="Q220" i="5"/>
  <c r="Q10" i="5"/>
  <c r="V10" i="5" s="1"/>
  <c r="L1477" i="5"/>
  <c r="L2416" i="5" s="1"/>
  <c r="D2416" i="5" s="1"/>
  <c r="Q1478" i="5"/>
  <c r="Q1477" i="5" s="1"/>
  <c r="Q2416" i="5" s="1"/>
  <c r="I2416" i="5" s="1"/>
  <c r="L1210" i="5"/>
  <c r="L2298" i="5" s="1"/>
  <c r="D2298" i="5" s="1"/>
  <c r="Q1065" i="5"/>
  <c r="Q1037" i="5"/>
  <c r="Q921" i="5"/>
  <c r="L920" i="5"/>
  <c r="L2167" i="5" s="1"/>
  <c r="D2167" i="5" s="1"/>
  <c r="Q16" i="5"/>
  <c r="V16" i="5" s="1"/>
  <c r="L15" i="5"/>
  <c r="L1714" i="5" s="1"/>
  <c r="D1714" i="5" s="1"/>
  <c r="L2398" i="5"/>
  <c r="D2398" i="5" s="1"/>
  <c r="Q1414" i="5"/>
  <c r="Q1351" i="5"/>
  <c r="Q759" i="5"/>
  <c r="J1190" i="5"/>
  <c r="J1172" i="5"/>
  <c r="Q1161" i="5"/>
  <c r="Q925" i="5"/>
  <c r="Q924" i="5" s="1"/>
  <c r="Q1526" i="5"/>
  <c r="Q1399" i="5"/>
  <c r="Q1398" i="5" s="1"/>
  <c r="Q2381" i="5" s="1"/>
  <c r="I2381" i="5" s="1"/>
  <c r="Q763" i="5"/>
  <c r="W2302" i="5"/>
  <c r="J869" i="5"/>
  <c r="Q551" i="5"/>
  <c r="W1792" i="5"/>
  <c r="O97" i="5"/>
  <c r="O1758" i="5" s="1"/>
  <c r="G1758" i="5" s="1"/>
  <c r="P37" i="5"/>
  <c r="Q34" i="5"/>
  <c r="V34" i="5" s="1"/>
  <c r="Q561" i="5"/>
  <c r="Q189" i="5"/>
  <c r="Q982" i="5"/>
  <c r="K684" i="5"/>
  <c r="C220" i="1" s="1"/>
  <c r="Q683" i="5"/>
  <c r="Q2045" i="5" s="1"/>
  <c r="I2045" i="5" s="1"/>
  <c r="Q662" i="5"/>
  <c r="Q655" i="5"/>
  <c r="L402" i="5"/>
  <c r="L1907" i="5" s="1"/>
  <c r="D1907" i="5" s="1"/>
  <c r="Q403" i="5"/>
  <c r="Q402" i="5" s="1"/>
  <c r="Q1907" i="5" s="1"/>
  <c r="I1907" i="5" s="1"/>
  <c r="M353" i="5"/>
  <c r="M1887" i="5" s="1"/>
  <c r="E1887" i="5" s="1"/>
  <c r="J184" i="5"/>
  <c r="Q128" i="5"/>
  <c r="V128" i="5" s="1"/>
  <c r="Q117" i="5"/>
  <c r="V117" i="5" s="1"/>
  <c r="L271" i="5"/>
  <c r="L1845" i="5" s="1"/>
  <c r="D1845" i="5" s="1"/>
  <c r="Q186" i="5"/>
  <c r="Q185" i="5" s="1"/>
  <c r="Q1802" i="5" s="1"/>
  <c r="L1170" i="5"/>
  <c r="L2278" i="5" s="1"/>
  <c r="D2278" i="5" s="1"/>
  <c r="Q911" i="5"/>
  <c r="L888" i="5"/>
  <c r="L2151" i="5" s="1"/>
  <c r="D2151" i="5" s="1"/>
  <c r="Q889" i="5"/>
  <c r="Q888" i="5" s="1"/>
  <c r="Q2151" i="5" s="1"/>
  <c r="I2151" i="5" s="1"/>
  <c r="J837" i="5"/>
  <c r="L677" i="5"/>
  <c r="L2041" i="5" s="1"/>
  <c r="D2041" i="5" s="1"/>
  <c r="Q678" i="5"/>
  <c r="Q677" i="5" s="1"/>
  <c r="Q2041" i="5" s="1"/>
  <c r="I2041" i="5" s="1"/>
  <c r="L553" i="5"/>
  <c r="L1979" i="5" s="1"/>
  <c r="D1979" i="5" s="1"/>
  <c r="Q554" i="5"/>
  <c r="O548" i="5"/>
  <c r="O1977" i="5" s="1"/>
  <c r="G1977" i="5" s="1"/>
  <c r="Q153" i="5"/>
  <c r="V153" i="5" s="1"/>
  <c r="L1729" i="5"/>
  <c r="L17" i="8" s="1"/>
  <c r="Q934" i="5"/>
  <c r="L548" i="5"/>
  <c r="L1977" i="5" s="1"/>
  <c r="D1977" i="5" s="1"/>
  <c r="Q549" i="5"/>
  <c r="Q133" i="5"/>
  <c r="V133" i="5" s="1"/>
  <c r="Q1458" i="5"/>
  <c r="Q755" i="5"/>
  <c r="Q1665" i="5"/>
  <c r="Q951" i="5"/>
  <c r="L950" i="5"/>
  <c r="L2185" i="5" s="1"/>
  <c r="Q198" i="5"/>
  <c r="L37" i="5"/>
  <c r="L1724" i="5" s="1"/>
  <c r="D1724" i="5" s="1"/>
  <c r="Q38" i="5"/>
  <c r="V38" i="5" s="1"/>
  <c r="L214" i="5"/>
  <c r="L1817" i="5" s="1"/>
  <c r="D1817" i="5" s="1"/>
  <c r="Q215" i="5"/>
  <c r="Q214" i="5" s="1"/>
  <c r="Q1817" i="5" s="1"/>
  <c r="I1817" i="5" s="1"/>
  <c r="L1052" i="5"/>
  <c r="L2230" i="5" s="1"/>
  <c r="D2230" i="5" s="1"/>
  <c r="Q1053" i="5"/>
  <c r="Q605" i="5"/>
  <c r="Q581" i="5"/>
  <c r="L180" i="5"/>
  <c r="L1799" i="5" s="1"/>
  <c r="D1799" i="5" s="1"/>
  <c r="I1516" i="5"/>
  <c r="O1516" i="5"/>
  <c r="Q1529" i="5"/>
  <c r="G1519" i="5"/>
  <c r="M1519" i="5"/>
  <c r="Q1510" i="5"/>
  <c r="Q1356" i="5"/>
  <c r="Q1320" i="5"/>
  <c r="Q1299" i="5"/>
  <c r="L761" i="5"/>
  <c r="L2084" i="5" s="1"/>
  <c r="Q762" i="5"/>
  <c r="L330" i="5"/>
  <c r="L1872" i="5" s="1"/>
  <c r="Q1648" i="5"/>
  <c r="Q1672" i="5"/>
  <c r="W2484" i="5"/>
  <c r="X2484" i="5" s="1"/>
  <c r="Q1602" i="5"/>
  <c r="Q1601" i="5" s="1"/>
  <c r="Q2474" i="5" s="1"/>
  <c r="Q1402" i="5"/>
  <c r="O1067" i="5"/>
  <c r="O2238" i="5" s="1"/>
  <c r="G2238" i="5" s="1"/>
  <c r="Q1392" i="5"/>
  <c r="N1516" i="5"/>
  <c r="Q1419" i="5"/>
  <c r="P1656" i="5"/>
  <c r="P2497" i="5" s="1"/>
  <c r="H2497" i="5" s="1"/>
  <c r="Q1644" i="5"/>
  <c r="Q1051" i="5"/>
  <c r="Q1050" i="5" s="1"/>
  <c r="Q800" i="5"/>
  <c r="Q721" i="5"/>
  <c r="L2013" i="5"/>
  <c r="L140" i="8" s="1"/>
  <c r="Q531" i="5"/>
  <c r="L524" i="5"/>
  <c r="L1966" i="5" s="1"/>
  <c r="D1966" i="5" s="1"/>
  <c r="Q525" i="5"/>
  <c r="L457" i="5"/>
  <c r="L1930" i="5" s="1"/>
  <c r="Q458" i="5"/>
  <c r="Q457" i="5" s="1"/>
  <c r="Q1930" i="5" s="1"/>
  <c r="Q416" i="5"/>
  <c r="L334" i="5"/>
  <c r="L1875" i="5" s="1"/>
  <c r="D1875" i="5" s="1"/>
  <c r="Q335" i="5"/>
  <c r="Q334" i="5" s="1"/>
  <c r="Q1875" i="5" s="1"/>
  <c r="I1875" i="5" s="1"/>
  <c r="L255" i="5"/>
  <c r="L1838" i="5" s="1"/>
  <c r="D1838" i="5" s="1"/>
  <c r="L155" i="5"/>
  <c r="L1785" i="5" s="1"/>
  <c r="D1785" i="5" s="1"/>
  <c r="Q156" i="5"/>
  <c r="L1591" i="5"/>
  <c r="L2469" i="5" s="1"/>
  <c r="D2469" i="5" s="1"/>
  <c r="Q1592" i="5"/>
  <c r="Q1591" i="5" s="1"/>
  <c r="Q2469" i="5" s="1"/>
  <c r="I2469" i="5" s="1"/>
  <c r="Q1206" i="5"/>
  <c r="Q1205" i="5" s="1"/>
  <c r="Q2295" i="5" s="1"/>
  <c r="I2295" i="5" s="1"/>
  <c r="L1205" i="5"/>
  <c r="L2295" i="5" s="1"/>
  <c r="D2295" i="5" s="1"/>
  <c r="L2292" i="5"/>
  <c r="D2292" i="5" s="1"/>
  <c r="Q1120" i="5"/>
  <c r="Q1115" i="5"/>
  <c r="Q987" i="5"/>
  <c r="Q959" i="5"/>
  <c r="O524" i="5"/>
  <c r="O1966" i="5" s="1"/>
  <c r="G1966" i="5" s="1"/>
  <c r="Q410" i="5"/>
  <c r="Q1307" i="5"/>
  <c r="Q774" i="5"/>
  <c r="Q767" i="5"/>
  <c r="Q1149" i="5"/>
  <c r="N1536" i="5"/>
  <c r="G1537" i="5"/>
  <c r="N1537" i="5" s="1"/>
  <c r="Q1218" i="5"/>
  <c r="Q1217" i="5" s="1"/>
  <c r="Q2302" i="5" s="1"/>
  <c r="I2302" i="5" s="1"/>
  <c r="Q958" i="5"/>
  <c r="L827" i="5"/>
  <c r="L2119" i="5" s="1"/>
  <c r="D2119" i="5" s="1"/>
  <c r="Q828" i="5"/>
  <c r="Q827" i="5" s="1"/>
  <c r="Q2119" i="5" s="1"/>
  <c r="I2119" i="5" s="1"/>
  <c r="Q170" i="5"/>
  <c r="Q597" i="5"/>
  <c r="Q1999" i="5" s="1"/>
  <c r="I1999" i="5" s="1"/>
  <c r="Q228" i="5"/>
  <c r="Q184" i="5"/>
  <c r="Q183" i="5" s="1"/>
  <c r="Q1801" i="5" s="1"/>
  <c r="I1801" i="5" s="1"/>
  <c r="Q1189" i="5"/>
  <c r="H845" i="5"/>
  <c r="L2099" i="5"/>
  <c r="L180" i="8" s="1"/>
  <c r="Q691" i="5"/>
  <c r="L471" i="5"/>
  <c r="L1938" i="5" s="1"/>
  <c r="D1938" i="5" s="1"/>
  <c r="J287" i="5"/>
  <c r="Q113" i="5"/>
  <c r="V113" i="5" s="1"/>
  <c r="Q212" i="5"/>
  <c r="Q178" i="5"/>
  <c r="W2304" i="5"/>
  <c r="Q517" i="5"/>
  <c r="J489" i="5"/>
  <c r="L341" i="5"/>
  <c r="L1880" i="5" s="1"/>
  <c r="D1880" i="5" s="1"/>
  <c r="Q280" i="5"/>
  <c r="W1718" i="5"/>
  <c r="L1717" i="5"/>
  <c r="L12" i="8" s="1"/>
  <c r="O1025" i="5"/>
  <c r="P548" i="5"/>
  <c r="P1977" i="5" s="1"/>
  <c r="H1977" i="5" s="1"/>
  <c r="Q450" i="5"/>
  <c r="L139" i="5"/>
  <c r="L1777" i="5" s="1"/>
  <c r="D1777" i="5" s="1"/>
  <c r="Q140" i="5"/>
  <c r="Q108" i="5"/>
  <c r="Q124" i="5"/>
  <c r="V124" i="5" s="1"/>
  <c r="W2476" i="5"/>
  <c r="L2475" i="5"/>
  <c r="L339" i="8" s="1"/>
  <c r="L249" i="5"/>
  <c r="L1835" i="5" s="1"/>
  <c r="D1835" i="5" s="1"/>
  <c r="N548" i="5"/>
  <c r="N1977" i="5" s="1"/>
  <c r="F1977" i="5" s="1"/>
  <c r="E1536" i="5"/>
  <c r="J1530" i="5"/>
  <c r="L1530" i="5"/>
  <c r="Q1659" i="5"/>
  <c r="Q1544" i="5"/>
  <c r="Q1462" i="5"/>
  <c r="Q1383" i="5"/>
  <c r="L1346" i="5"/>
  <c r="L2361" i="5" s="1"/>
  <c r="D2361" i="5" s="1"/>
  <c r="Q1347" i="5"/>
  <c r="Q1346" i="5" s="1"/>
  <c r="Q2361" i="5" s="1"/>
  <c r="I2361" i="5" s="1"/>
  <c r="I331" i="5"/>
  <c r="J327" i="5"/>
  <c r="L1203" i="5"/>
  <c r="L2294" i="5" s="1"/>
  <c r="D2294" i="5" s="1"/>
  <c r="Q1204" i="5"/>
  <c r="Q1165" i="5"/>
  <c r="I1092" i="5"/>
  <c r="L1043" i="5"/>
  <c r="L2226" i="5" s="1"/>
  <c r="D2226" i="5" s="1"/>
  <c r="Q1044" i="5"/>
  <c r="Q1388" i="5"/>
  <c r="Q1697" i="5"/>
  <c r="J1450" i="5"/>
  <c r="O761" i="5"/>
  <c r="O2084" i="5" s="1"/>
  <c r="Q1700" i="5"/>
  <c r="Q1699" i="5" s="1"/>
  <c r="Q2514" i="5" s="1"/>
  <c r="I2514" i="5" s="1"/>
  <c r="AA2514" i="5" s="1"/>
  <c r="Q1636" i="5"/>
  <c r="L1589" i="5"/>
  <c r="Q1590" i="5"/>
  <c r="Q1589" i="5" s="1"/>
  <c r="Q1585" i="5"/>
  <c r="N761" i="5"/>
  <c r="N2084" i="5" s="1"/>
  <c r="M1656" i="5"/>
  <c r="M2497" i="5" s="1"/>
  <c r="E2497" i="5" s="1"/>
  <c r="H1472" i="5"/>
  <c r="Q1213" i="5"/>
  <c r="Q1212" i="5" s="1"/>
  <c r="Q1176" i="5"/>
  <c r="Q1104" i="5"/>
  <c r="Q973" i="5"/>
  <c r="Q928" i="5"/>
  <c r="L927" i="5"/>
  <c r="L2171" i="5" s="1"/>
  <c r="D2171" i="5" s="1"/>
  <c r="N839" i="5"/>
  <c r="Q839" i="5" s="1"/>
  <c r="J839" i="5"/>
  <c r="W2045" i="5"/>
  <c r="L2044" i="5"/>
  <c r="L155" i="8" s="1"/>
  <c r="Q466" i="5"/>
  <c r="Q414" i="5"/>
  <c r="Q300" i="5"/>
  <c r="L284" i="5"/>
  <c r="L1851" i="5" s="1"/>
  <c r="Q285" i="5"/>
  <c r="Q284" i="5" s="1"/>
  <c r="Q1851" i="5" s="1"/>
  <c r="Q265" i="5"/>
  <c r="Q253" i="5"/>
  <c r="L201" i="5"/>
  <c r="L1809" i="5" s="1"/>
  <c r="D1809" i="5" s="1"/>
  <c r="Q173" i="5"/>
  <c r="I1550" i="5"/>
  <c r="P1550" i="5" s="1"/>
  <c r="O1550" i="5"/>
  <c r="Q314" i="5"/>
  <c r="Q1200" i="5"/>
  <c r="Q1199" i="5" s="1"/>
  <c r="Q1163" i="5"/>
  <c r="Q1147" i="5"/>
  <c r="L1058" i="5"/>
  <c r="L2234" i="5" s="1"/>
  <c r="Q1059" i="5"/>
  <c r="Q1367" i="5"/>
  <c r="M1215" i="5"/>
  <c r="Q1202" i="5"/>
  <c r="Q1201" i="5" s="1"/>
  <c r="L1201" i="5"/>
  <c r="Q1086" i="5"/>
  <c r="Q1085" i="5" s="1"/>
  <c r="Q2245" i="5" s="1"/>
  <c r="Q891" i="5"/>
  <c r="L785" i="5"/>
  <c r="L2097" i="5" s="1"/>
  <c r="D2097" i="5" s="1"/>
  <c r="Q779" i="5"/>
  <c r="L777" i="5"/>
  <c r="L2093" i="5" s="1"/>
  <c r="D2093" i="5" s="1"/>
  <c r="O1800" i="5"/>
  <c r="O49" i="8" s="1"/>
  <c r="Q120" i="5"/>
  <c r="V120" i="5" s="1"/>
  <c r="L105" i="5"/>
  <c r="L1762" i="5" s="1"/>
  <c r="D1762" i="5" s="1"/>
  <c r="Q106" i="5"/>
  <c r="Q103" i="5"/>
  <c r="V103" i="5" s="1"/>
  <c r="Q810" i="5"/>
  <c r="L1800" i="5"/>
  <c r="L49" i="8" s="1"/>
  <c r="W1801" i="5"/>
  <c r="H513" i="5"/>
  <c r="M15" i="5"/>
  <c r="Q1222" i="5"/>
  <c r="Q1221" i="5" s="1"/>
  <c r="Q2304" i="5" s="1"/>
  <c r="Q737" i="5"/>
  <c r="M553" i="5"/>
  <c r="M1979" i="5" s="1"/>
  <c r="E1979" i="5" s="1"/>
  <c r="Q39" i="5"/>
  <c r="V39" i="5" s="1"/>
  <c r="Q1141" i="5"/>
  <c r="W2173" i="5"/>
  <c r="L669" i="5"/>
  <c r="L2037" i="5" s="1"/>
  <c r="Q670" i="5"/>
  <c r="Q669" i="5" s="1"/>
  <c r="Q2037" i="5" s="1"/>
  <c r="M548" i="5"/>
  <c r="M1977" i="5" s="1"/>
  <c r="E1977" i="5" s="1"/>
  <c r="E99" i="8" l="1"/>
  <c r="Z2173" i="5"/>
  <c r="B129" i="12" s="1"/>
  <c r="G178" i="8"/>
  <c r="E177" i="8"/>
  <c r="E74" i="8"/>
  <c r="H138" i="8"/>
  <c r="G12" i="8"/>
  <c r="H12" i="8"/>
  <c r="F12" i="8"/>
  <c r="J2411" i="5"/>
  <c r="J315" i="8" s="1"/>
  <c r="R2406" i="5"/>
  <c r="J2407" i="5"/>
  <c r="J314" i="8" s="1"/>
  <c r="R452" i="8"/>
  <c r="J2451" i="5"/>
  <c r="J329" i="8" s="1"/>
  <c r="E12" i="8"/>
  <c r="C238" i="12"/>
  <c r="D2185" i="5"/>
  <c r="I1782" i="5"/>
  <c r="I2037" i="5"/>
  <c r="I1802" i="5"/>
  <c r="D1973" i="5"/>
  <c r="D2300" i="5"/>
  <c r="F2234" i="5"/>
  <c r="G2252" i="5"/>
  <c r="G2234" i="5"/>
  <c r="D2037" i="5"/>
  <c r="I1930" i="5"/>
  <c r="I2474" i="5"/>
  <c r="I1973" i="5"/>
  <c r="E1730" i="5"/>
  <c r="E2234" i="5"/>
  <c r="I2114" i="5"/>
  <c r="I2245" i="5"/>
  <c r="G2084" i="5"/>
  <c r="I2304" i="5"/>
  <c r="I1851" i="5"/>
  <c r="D2084" i="5"/>
  <c r="H2234" i="5"/>
  <c r="F2252" i="5"/>
  <c r="F2293" i="5"/>
  <c r="E2293" i="5"/>
  <c r="H2293" i="5"/>
  <c r="D1930" i="5"/>
  <c r="D1791" i="5"/>
  <c r="H1720" i="5"/>
  <c r="H2252" i="5"/>
  <c r="E2252" i="5"/>
  <c r="I1891" i="5"/>
  <c r="D2234" i="5"/>
  <c r="D1851" i="5"/>
  <c r="F2084" i="5"/>
  <c r="I1897" i="5"/>
  <c r="E2084" i="5"/>
  <c r="M1211" i="5"/>
  <c r="Q508" i="8"/>
  <c r="Q509" i="8"/>
  <c r="F1871" i="5"/>
  <c r="N74" i="8"/>
  <c r="G1871" i="5"/>
  <c r="O74" i="8"/>
  <c r="N2378" i="5"/>
  <c r="F2378" i="5" s="1"/>
  <c r="O2378" i="5"/>
  <c r="G2378" i="5" s="1"/>
  <c r="P2378" i="5"/>
  <c r="H2378" i="5" s="1"/>
  <c r="D2378" i="5"/>
  <c r="L1871" i="5"/>
  <c r="D1872" i="5"/>
  <c r="W2084" i="5"/>
  <c r="P288" i="8"/>
  <c r="I2347" i="5"/>
  <c r="E2347" i="5"/>
  <c r="N288" i="8"/>
  <c r="O288" i="8"/>
  <c r="L288" i="8"/>
  <c r="F2115" i="5"/>
  <c r="X1718" i="5"/>
  <c r="D2099" i="5"/>
  <c r="E2113" i="5"/>
  <c r="F1876" i="5"/>
  <c r="E1876" i="5"/>
  <c r="Q1717" i="5"/>
  <c r="Q12" i="8" s="1"/>
  <c r="G2115" i="5"/>
  <c r="H2475" i="5"/>
  <c r="H339" i="8" s="1"/>
  <c r="D1956" i="5"/>
  <c r="D111" i="8" s="1"/>
  <c r="D2044" i="5"/>
  <c r="D155" i="8" s="1"/>
  <c r="E2154" i="5"/>
  <c r="D2115" i="5"/>
  <c r="D2475" i="5"/>
  <c r="D339" i="8" s="1"/>
  <c r="D2427" i="5"/>
  <c r="D320" i="8" s="1"/>
  <c r="G2166" i="5"/>
  <c r="E2099" i="5"/>
  <c r="G2092" i="5"/>
  <c r="H2115" i="5"/>
  <c r="X1782" i="5"/>
  <c r="Q107" i="5"/>
  <c r="V108" i="5"/>
  <c r="D2029" i="5"/>
  <c r="Q164" i="5"/>
  <c r="V165" i="5"/>
  <c r="Q141" i="5"/>
  <c r="V142" i="5"/>
  <c r="F2346" i="5"/>
  <c r="F288" i="8" s="1"/>
  <c r="G2113" i="5"/>
  <c r="G2346" i="5"/>
  <c r="G288" i="8" s="1"/>
  <c r="E2184" i="5"/>
  <c r="E222" i="8" s="1"/>
  <c r="F2473" i="5"/>
  <c r="F338" i="8" s="1"/>
  <c r="O2027" i="5"/>
  <c r="O146" i="8" s="1"/>
  <c r="G2028" i="5"/>
  <c r="D2346" i="5"/>
  <c r="D288" i="8" s="1"/>
  <c r="Q139" i="5"/>
  <c r="V140" i="5"/>
  <c r="Q155" i="5"/>
  <c r="V156" i="5"/>
  <c r="D2473" i="5"/>
  <c r="D338" i="8" s="1"/>
  <c r="Q60" i="5"/>
  <c r="V61" i="5"/>
  <c r="Q166" i="5"/>
  <c r="V167" i="5"/>
  <c r="Q49" i="5"/>
  <c r="V50" i="5"/>
  <c r="G2031" i="5"/>
  <c r="H2346" i="5"/>
  <c r="H288" i="8" s="1"/>
  <c r="G2473" i="5"/>
  <c r="G338" i="8" s="1"/>
  <c r="F2113" i="5"/>
  <c r="F2184" i="5"/>
  <c r="F222" i="8" s="1"/>
  <c r="G1978" i="5"/>
  <c r="E2029" i="5"/>
  <c r="E2473" i="5"/>
  <c r="E338" i="8" s="1"/>
  <c r="H1745" i="5"/>
  <c r="P1744" i="5"/>
  <c r="P24" i="8" s="1"/>
  <c r="P368" i="8" s="1"/>
  <c r="H35" i="14" s="1"/>
  <c r="D2013" i="5"/>
  <c r="Q26" i="5"/>
  <c r="V27" i="5"/>
  <c r="G2184" i="5"/>
  <c r="G222" i="8" s="1"/>
  <c r="H2113" i="5"/>
  <c r="H2184" i="5"/>
  <c r="H222" i="8" s="1"/>
  <c r="N1978" i="5"/>
  <c r="N122" i="8" s="1"/>
  <c r="F1979" i="5"/>
  <c r="P2031" i="5"/>
  <c r="P148" i="8" s="1"/>
  <c r="H2032" i="5"/>
  <c r="D2113" i="5"/>
  <c r="G1956" i="5"/>
  <c r="G111" i="8" s="1"/>
  <c r="Q105" i="5"/>
  <c r="V106" i="5"/>
  <c r="Q136" i="5"/>
  <c r="V137" i="5"/>
  <c r="I1956" i="5"/>
  <c r="I111" i="8" s="1"/>
  <c r="Q159" i="5"/>
  <c r="V160" i="5"/>
  <c r="H2096" i="5"/>
  <c r="H2473" i="5"/>
  <c r="H338" i="8" s="1"/>
  <c r="G2010" i="5"/>
  <c r="D1746" i="5"/>
  <c r="E1776" i="5"/>
  <c r="G1790" i="5"/>
  <c r="H1800" i="5"/>
  <c r="O1745" i="5"/>
  <c r="O25" i="8" s="1"/>
  <c r="G1746" i="5"/>
  <c r="D1800" i="5"/>
  <c r="G1800" i="5"/>
  <c r="H1729" i="5"/>
  <c r="F1800" i="5"/>
  <c r="F1790" i="5"/>
  <c r="H1874" i="5"/>
  <c r="H1790" i="5"/>
  <c r="D1717" i="5"/>
  <c r="D1729" i="5"/>
  <c r="E1790" i="5"/>
  <c r="G1714" i="5"/>
  <c r="P1776" i="5"/>
  <c r="P40" i="8" s="1"/>
  <c r="H1778" i="5"/>
  <c r="F1729" i="5"/>
  <c r="F1776" i="5"/>
  <c r="F1874" i="5"/>
  <c r="N1745" i="5"/>
  <c r="N25" i="8" s="1"/>
  <c r="F1746" i="5"/>
  <c r="G1776" i="5"/>
  <c r="G1874" i="5"/>
  <c r="E1800" i="5"/>
  <c r="E1874" i="5"/>
  <c r="M1745" i="5"/>
  <c r="M25" i="8" s="1"/>
  <c r="E1746" i="5"/>
  <c r="G1729" i="5"/>
  <c r="Q1746" i="5"/>
  <c r="W1956" i="5"/>
  <c r="X1956" i="5" s="1"/>
  <c r="X1957" i="5"/>
  <c r="Q950" i="5"/>
  <c r="Q2185" i="5" s="1"/>
  <c r="K951" i="5"/>
  <c r="C219" i="1" s="1"/>
  <c r="N1209" i="5"/>
  <c r="N1208" i="5" s="1"/>
  <c r="G1215" i="5"/>
  <c r="N1215" i="5" s="1"/>
  <c r="N1214" i="5" s="1"/>
  <c r="N2300" i="5" s="1"/>
  <c r="P2092" i="5"/>
  <c r="P176" i="8" s="1"/>
  <c r="X1891" i="5"/>
  <c r="P1978" i="5"/>
  <c r="P122" i="8" s="1"/>
  <c r="Q353" i="5"/>
  <c r="Q1887" i="5" s="1"/>
  <c r="I1887" i="5" s="1"/>
  <c r="Q2113" i="5"/>
  <c r="Q188" i="8" s="1"/>
  <c r="M2301" i="5"/>
  <c r="M267" i="8" s="1"/>
  <c r="Q1130" i="5"/>
  <c r="M2277" i="5"/>
  <c r="M257" i="8" s="1"/>
  <c r="X2114" i="5"/>
  <c r="W1969" i="5"/>
  <c r="X2429" i="5"/>
  <c r="Q2427" i="5"/>
  <c r="Q320" i="8" s="1"/>
  <c r="J1465" i="5"/>
  <c r="Q533" i="5"/>
  <c r="Q1969" i="5" s="1"/>
  <c r="I1969" i="5" s="1"/>
  <c r="Q1025" i="5"/>
  <c r="X2476" i="5"/>
  <c r="H1209" i="5"/>
  <c r="H1211" i="5" s="1"/>
  <c r="O1211" i="5" s="1"/>
  <c r="O1210" i="5" s="1"/>
  <c r="O2298" i="5" s="1"/>
  <c r="Q1061" i="5"/>
  <c r="Q1060" i="5" s="1"/>
  <c r="Q2235" i="5" s="1"/>
  <c r="I2235" i="5" s="1"/>
  <c r="W2235" i="5"/>
  <c r="N524" i="5"/>
  <c r="N1966" i="5" s="1"/>
  <c r="Q553" i="5"/>
  <c r="Q1979" i="5" s="1"/>
  <c r="O2233" i="5"/>
  <c r="O241" i="8" s="1"/>
  <c r="Q1067" i="5"/>
  <c r="Q2238" i="5" s="1"/>
  <c r="I2238" i="5" s="1"/>
  <c r="L2031" i="5"/>
  <c r="L148" i="8" s="1"/>
  <c r="Q1170" i="5"/>
  <c r="Q2278" i="5" s="1"/>
  <c r="I2278" i="5" s="1"/>
  <c r="Q1043" i="5"/>
  <c r="Q2226" i="5" s="1"/>
  <c r="I2226" i="5" s="1"/>
  <c r="N2301" i="5"/>
  <c r="N267" i="8" s="1"/>
  <c r="Q2475" i="5"/>
  <c r="Q339" i="8" s="1"/>
  <c r="X1802" i="5"/>
  <c r="X2381" i="5"/>
  <c r="W2189" i="5"/>
  <c r="Q1657" i="5"/>
  <c r="Q1656" i="5" s="1"/>
  <c r="Q2497" i="5" s="1"/>
  <c r="I2497" i="5" s="1"/>
  <c r="O2301" i="5"/>
  <c r="O267" i="8" s="1"/>
  <c r="X2045" i="5"/>
  <c r="X2173" i="5"/>
  <c r="W2169" i="5"/>
  <c r="W2214" i="5"/>
  <c r="W2299" i="5"/>
  <c r="W2229" i="5"/>
  <c r="P2291" i="5"/>
  <c r="P265" i="8" s="1"/>
  <c r="W2477" i="5"/>
  <c r="X2477" i="5" s="1"/>
  <c r="O2291" i="5"/>
  <c r="O265" i="8" s="1"/>
  <c r="Q548" i="5"/>
  <c r="Q1977" i="5" s="1"/>
  <c r="I1977" i="5" s="1"/>
  <c r="Q524" i="5"/>
  <c r="Q1966" i="5" s="1"/>
  <c r="I1966" i="5" s="1"/>
  <c r="W2252" i="5"/>
  <c r="W2469" i="5"/>
  <c r="X2469" i="5" s="1"/>
  <c r="W1887" i="5"/>
  <c r="W2244" i="5"/>
  <c r="W1805" i="5"/>
  <c r="X1805" i="5" s="1"/>
  <c r="W1736" i="5"/>
  <c r="W1778" i="5"/>
  <c r="W2019" i="5"/>
  <c r="X2019" i="5" s="1"/>
  <c r="W2113" i="5"/>
  <c r="N1873" i="5"/>
  <c r="N75" i="8" s="1"/>
  <c r="N380" i="8" s="1"/>
  <c r="F60" i="14" s="1"/>
  <c r="N2213" i="5"/>
  <c r="N233" i="8" s="1"/>
  <c r="P2170" i="5"/>
  <c r="P214" i="8" s="1"/>
  <c r="M2166" i="5"/>
  <c r="M212" i="8" s="1"/>
  <c r="N2168" i="5"/>
  <c r="N213" i="8" s="1"/>
  <c r="M2291" i="5"/>
  <c r="M265" i="8" s="1"/>
  <c r="P2166" i="5"/>
  <c r="P212" i="8" s="1"/>
  <c r="M1978" i="5"/>
  <c r="M122" i="8" s="1"/>
  <c r="W1851" i="5"/>
  <c r="X1851" i="5" s="1"/>
  <c r="W2294" i="5"/>
  <c r="W1785" i="5"/>
  <c r="Q1874" i="5"/>
  <c r="Q76" i="8" s="1"/>
  <c r="Q2473" i="5"/>
  <c r="Q338" i="8" s="1"/>
  <c r="W2230" i="5"/>
  <c r="Q2044" i="5"/>
  <c r="Q155" i="8" s="1"/>
  <c r="W1973" i="5"/>
  <c r="X1973" i="5" s="1"/>
  <c r="W1775" i="5"/>
  <c r="W1932" i="5"/>
  <c r="X1932" i="5" s="1"/>
  <c r="N2166" i="5"/>
  <c r="N212" i="8" s="1"/>
  <c r="P2027" i="5"/>
  <c r="P146" i="8" s="1"/>
  <c r="Q2346" i="5"/>
  <c r="P2168" i="5"/>
  <c r="P213" i="8" s="1"/>
  <c r="M1873" i="5"/>
  <c r="M75" i="8" s="1"/>
  <c r="M380" i="8" s="1"/>
  <c r="E60" i="14" s="1"/>
  <c r="M2213" i="5"/>
  <c r="M233" i="8" s="1"/>
  <c r="O2170" i="5"/>
  <c r="O214" i="8" s="1"/>
  <c r="N2170" i="5"/>
  <c r="N214" i="8" s="1"/>
  <c r="P2233" i="5"/>
  <c r="P241" i="8" s="1"/>
  <c r="P2301" i="5"/>
  <c r="P267" i="8" s="1"/>
  <c r="X2245" i="5"/>
  <c r="W2042" i="5"/>
  <c r="X2042" i="5" s="1"/>
  <c r="L2154" i="5"/>
  <c r="L206" i="8" s="1"/>
  <c r="M2346" i="5"/>
  <c r="L2213" i="5"/>
  <c r="L233" i="8" s="1"/>
  <c r="M2168" i="5"/>
  <c r="M213" i="8" s="1"/>
  <c r="O2154" i="5"/>
  <c r="O206" i="8" s="1"/>
  <c r="O2213" i="5"/>
  <c r="O233" i="8" s="1"/>
  <c r="M2170" i="5"/>
  <c r="M214" i="8" s="1"/>
  <c r="O2168" i="5"/>
  <c r="O213" i="8" s="1"/>
  <c r="N2233" i="5"/>
  <c r="N241" i="8" s="1"/>
  <c r="M2233" i="5"/>
  <c r="M241" i="8" s="1"/>
  <c r="Q1800" i="5"/>
  <c r="Q49" i="8" s="1"/>
  <c r="X1999" i="5"/>
  <c r="W2295" i="5"/>
  <c r="X2295" i="5" s="1"/>
  <c r="W1907" i="5"/>
  <c r="X1907" i="5" s="1"/>
  <c r="W2398" i="5"/>
  <c r="W2303" i="5"/>
  <c r="W2305" i="5"/>
  <c r="X2305" i="5" s="1"/>
  <c r="X2064" i="5"/>
  <c r="W1821" i="5"/>
  <c r="X1821" i="5" s="1"/>
  <c r="Q2115" i="5"/>
  <c r="Q189" i="8" s="1"/>
  <c r="P2154" i="5"/>
  <c r="P206" i="8" s="1"/>
  <c r="P2213" i="5"/>
  <c r="P233" i="8" s="1"/>
  <c r="L2168" i="5"/>
  <c r="L213" i="8" s="1"/>
  <c r="N2154" i="5"/>
  <c r="N206" i="8" s="1"/>
  <c r="L2468" i="5"/>
  <c r="D2468" i="5" s="1"/>
  <c r="Q1391" i="5"/>
  <c r="Q1052" i="5"/>
  <c r="Q2230" i="5" s="1"/>
  <c r="I2230" i="5" s="1"/>
  <c r="L2209" i="5"/>
  <c r="D2209" i="5" s="1"/>
  <c r="Q1083" i="5"/>
  <c r="Q2244" i="5" s="1"/>
  <c r="I2244" i="5" s="1"/>
  <c r="N1549" i="5"/>
  <c r="N2450" i="5" s="1"/>
  <c r="F2450" i="5" s="1"/>
  <c r="L2293" i="5"/>
  <c r="Q927" i="5"/>
  <c r="Q2171" i="5" s="1"/>
  <c r="I2171" i="5" s="1"/>
  <c r="Q2169" i="5"/>
  <c r="I2169" i="5" s="1"/>
  <c r="Q2209" i="5"/>
  <c r="I2209" i="5" s="1"/>
  <c r="Q1219" i="5"/>
  <c r="Q2303" i="5" s="1"/>
  <c r="I2303" i="5" s="1"/>
  <c r="Q2293" i="5"/>
  <c r="Q2292" i="5"/>
  <c r="I2292" i="5" s="1"/>
  <c r="W2226" i="5"/>
  <c r="Q1203" i="5"/>
  <c r="Q2294" i="5" s="1"/>
  <c r="I2294" i="5" s="1"/>
  <c r="Q2229" i="5"/>
  <c r="I2229" i="5" s="1"/>
  <c r="W1849" i="5"/>
  <c r="W1892" i="5"/>
  <c r="X1892" i="5" s="1"/>
  <c r="Q1058" i="5"/>
  <c r="Q2234" i="5" s="1"/>
  <c r="Q2299" i="5"/>
  <c r="I2299" i="5" s="1"/>
  <c r="Q2468" i="5"/>
  <c r="I2468" i="5" s="1"/>
  <c r="Q773" i="5"/>
  <c r="Q2090" i="5" s="1"/>
  <c r="I2090" i="5" s="1"/>
  <c r="W2041" i="5"/>
  <c r="X2041" i="5" s="1"/>
  <c r="Q2398" i="5"/>
  <c r="I2398" i="5" s="1"/>
  <c r="O1170" i="5"/>
  <c r="O2278" i="5" s="1"/>
  <c r="G2278" i="5" s="1"/>
  <c r="W2473" i="5"/>
  <c r="W2136" i="5"/>
  <c r="X2136" i="5" s="1"/>
  <c r="W1825" i="5"/>
  <c r="X1825" i="5" s="1"/>
  <c r="Q1016" i="5"/>
  <c r="Q2214" i="5" s="1"/>
  <c r="I2214" i="5" s="1"/>
  <c r="M1729" i="5"/>
  <c r="M17" i="8" s="1"/>
  <c r="Q1075" i="5"/>
  <c r="Q2241" i="5" s="1"/>
  <c r="I2241" i="5" s="1"/>
  <c r="J338" i="5"/>
  <c r="N2475" i="5"/>
  <c r="N339" i="8" s="1"/>
  <c r="M2475" i="5"/>
  <c r="M339" i="8" s="1"/>
  <c r="Q2248" i="5"/>
  <c r="I2248" i="5" s="1"/>
  <c r="P1876" i="5"/>
  <c r="P77" i="8" s="1"/>
  <c r="Q898" i="5"/>
  <c r="Q2155" i="5" s="1"/>
  <c r="I2155" i="5" s="1"/>
  <c r="O2475" i="5"/>
  <c r="O339" i="8" s="1"/>
  <c r="L2248" i="5"/>
  <c r="D2248" i="5" s="1"/>
  <c r="Q1098" i="5"/>
  <c r="Q2252" i="5" s="1"/>
  <c r="P2277" i="5"/>
  <c r="P257" i="8" s="1"/>
  <c r="N2277" i="5"/>
  <c r="N257" i="8" s="1"/>
  <c r="N2291" i="5"/>
  <c r="N265" i="8" s="1"/>
  <c r="Q761" i="5"/>
  <c r="Q2084" i="5" s="1"/>
  <c r="Q920" i="5"/>
  <c r="Q2167" i="5" s="1"/>
  <c r="I2167" i="5" s="1"/>
  <c r="W2155" i="5"/>
  <c r="L2296" i="5"/>
  <c r="L266" i="8" s="1"/>
  <c r="W1788" i="5"/>
  <c r="X1801" i="5"/>
  <c r="W1800" i="5"/>
  <c r="W2347" i="5"/>
  <c r="X2347" i="5" s="1"/>
  <c r="O337" i="5"/>
  <c r="O1877" i="5" s="1"/>
  <c r="G1877" i="5" s="1"/>
  <c r="Q338" i="5"/>
  <c r="Q337" i="5" s="1"/>
  <c r="Q1877" i="5" s="1"/>
  <c r="I1877" i="5" s="1"/>
  <c r="W1730" i="5"/>
  <c r="L2301" i="5"/>
  <c r="L267" i="8" s="1"/>
  <c r="Q15" i="5"/>
  <c r="Q957" i="5"/>
  <c r="Q2189" i="5" s="1"/>
  <c r="I2189" i="5" s="1"/>
  <c r="W2241" i="5"/>
  <c r="W1720" i="5"/>
  <c r="X2514" i="5"/>
  <c r="X1897" i="5"/>
  <c r="M2115" i="5"/>
  <c r="M189" i="8" s="1"/>
  <c r="W2116" i="5"/>
  <c r="X2116" i="5" s="1"/>
  <c r="I513" i="5"/>
  <c r="L2092" i="5"/>
  <c r="L176" i="8" s="1"/>
  <c r="W2234" i="5"/>
  <c r="L2233" i="5"/>
  <c r="L241" i="8" s="1"/>
  <c r="W2171" i="5"/>
  <c r="L2170" i="5"/>
  <c r="L214" i="8" s="1"/>
  <c r="J331" i="5"/>
  <c r="P331" i="5"/>
  <c r="X2304" i="5"/>
  <c r="I845" i="5"/>
  <c r="W2119" i="5"/>
  <c r="X2119" i="5" s="1"/>
  <c r="N1535" i="5"/>
  <c r="N2444" i="5" s="1"/>
  <c r="F2444" i="5" s="1"/>
  <c r="W1817" i="5"/>
  <c r="X1817" i="5" s="1"/>
  <c r="Q37" i="5"/>
  <c r="W2185" i="5"/>
  <c r="L2184" i="5"/>
  <c r="L222" i="8" s="1"/>
  <c r="W2151" i="5"/>
  <c r="X2151" i="5" s="1"/>
  <c r="W2416" i="5"/>
  <c r="X2416" i="5" s="1"/>
  <c r="W1746" i="5"/>
  <c r="L1745" i="5"/>
  <c r="L25" i="8" s="1"/>
  <c r="Q1550" i="5"/>
  <c r="I112" i="5"/>
  <c r="P97" i="5"/>
  <c r="P1758" i="5" s="1"/>
  <c r="H1758" i="5" s="1"/>
  <c r="I1551" i="5"/>
  <c r="O1551" i="5"/>
  <c r="W2427" i="5"/>
  <c r="J1550" i="5"/>
  <c r="W2361" i="5"/>
  <c r="X2361" i="5" s="1"/>
  <c r="Q1530" i="5"/>
  <c r="W1875" i="5"/>
  <c r="X1875" i="5" s="1"/>
  <c r="L1874" i="5"/>
  <c r="L76" i="8" s="1"/>
  <c r="H1519" i="5"/>
  <c r="N1519" i="5"/>
  <c r="P1516" i="5"/>
  <c r="J1516" i="5"/>
  <c r="P1724" i="5"/>
  <c r="H1724" i="5" s="1"/>
  <c r="X2302" i="5"/>
  <c r="L2094" i="5"/>
  <c r="L177" i="8" s="1"/>
  <c r="W2497" i="5"/>
  <c r="W1791" i="5"/>
  <c r="L1790" i="5"/>
  <c r="L45" i="8" s="1"/>
  <c r="L2027" i="5"/>
  <c r="L146" i="8" s="1"/>
  <c r="W2037" i="5"/>
  <c r="X2037" i="5" s="1"/>
  <c r="M1714" i="5"/>
  <c r="L2096" i="5"/>
  <c r="L178" i="8" s="1"/>
  <c r="I1472" i="5"/>
  <c r="L1776" i="5"/>
  <c r="L40" i="8" s="1"/>
  <c r="W1777" i="5"/>
  <c r="W1717" i="5"/>
  <c r="L1879" i="5"/>
  <c r="L79" i="8" s="1"/>
  <c r="J1092" i="5"/>
  <c r="W2292" i="5"/>
  <c r="W1930" i="5"/>
  <c r="X1930" i="5" s="1"/>
  <c r="L1929" i="5"/>
  <c r="L99" i="8" s="1"/>
  <c r="W1979" i="5"/>
  <c r="L1978" i="5"/>
  <c r="L122" i="8" s="1"/>
  <c r="L2277" i="5"/>
  <c r="L257" i="8" s="1"/>
  <c r="Q278" i="5"/>
  <c r="Q1849" i="5" s="1"/>
  <c r="I1849" i="5" s="1"/>
  <c r="H1460" i="5"/>
  <c r="N1460" i="5"/>
  <c r="X2474" i="5"/>
  <c r="W2238" i="5"/>
  <c r="W1762" i="5"/>
  <c r="M1214" i="5"/>
  <c r="W2044" i="5"/>
  <c r="E1537" i="5"/>
  <c r="L1536" i="5"/>
  <c r="J1536" i="5"/>
  <c r="W1977" i="5"/>
  <c r="W2167" i="5"/>
  <c r="L2166" i="5"/>
  <c r="L212" i="8" s="1"/>
  <c r="Z2167" i="5" l="1"/>
  <c r="Z2169" i="5"/>
  <c r="AA1966" i="5"/>
  <c r="G76" i="8"/>
  <c r="F76" i="8"/>
  <c r="F49" i="8"/>
  <c r="E40" i="8"/>
  <c r="H178" i="8"/>
  <c r="G122" i="8"/>
  <c r="G212" i="8"/>
  <c r="E206" i="8"/>
  <c r="G189" i="8"/>
  <c r="E188" i="8"/>
  <c r="F74" i="8"/>
  <c r="Z1973" i="5"/>
  <c r="Z1849" i="5"/>
  <c r="Z2171" i="5"/>
  <c r="G40" i="8"/>
  <c r="F40" i="8"/>
  <c r="H45" i="8"/>
  <c r="D188" i="8"/>
  <c r="G148" i="8"/>
  <c r="D147" i="8"/>
  <c r="H189" i="8"/>
  <c r="D180" i="8"/>
  <c r="Z1851" i="5"/>
  <c r="Z2241" i="5"/>
  <c r="E76" i="8"/>
  <c r="E45" i="8"/>
  <c r="H76" i="8"/>
  <c r="G49" i="8"/>
  <c r="H49" i="8"/>
  <c r="G138" i="8"/>
  <c r="F188" i="8"/>
  <c r="G176" i="8"/>
  <c r="E77" i="8"/>
  <c r="G74" i="8"/>
  <c r="Z2090" i="5"/>
  <c r="AA2278" i="5"/>
  <c r="E49" i="8"/>
  <c r="F45" i="8"/>
  <c r="D49" i="8"/>
  <c r="G45" i="8"/>
  <c r="H188" i="8"/>
  <c r="D140" i="8"/>
  <c r="E147" i="8"/>
  <c r="G188" i="8"/>
  <c r="E180" i="8"/>
  <c r="D189" i="8"/>
  <c r="F77" i="8"/>
  <c r="F189" i="8"/>
  <c r="D12" i="8"/>
  <c r="R2289" i="5"/>
  <c r="Q620" i="8" s="1"/>
  <c r="J2406" i="5"/>
  <c r="J313" i="8" s="1"/>
  <c r="R449" i="8"/>
  <c r="F17" i="8"/>
  <c r="G17" i="8"/>
  <c r="D17" i="8"/>
  <c r="H17" i="8"/>
  <c r="H25" i="8"/>
  <c r="B105" i="12"/>
  <c r="B27" i="12"/>
  <c r="B73" i="12"/>
  <c r="B127" i="12"/>
  <c r="B137" i="12"/>
  <c r="C163" i="12"/>
  <c r="B25" i="12"/>
  <c r="B123" i="12"/>
  <c r="B125" i="12"/>
  <c r="C69" i="12"/>
  <c r="G2298" i="5"/>
  <c r="O628" i="8"/>
  <c r="Q607" i="8"/>
  <c r="Q676" i="8" s="1"/>
  <c r="I2252" i="5"/>
  <c r="Q627" i="8"/>
  <c r="I2293" i="5"/>
  <c r="I2234" i="5"/>
  <c r="F2300" i="5"/>
  <c r="N570" i="8"/>
  <c r="M1210" i="5"/>
  <c r="M2298" i="5" s="1"/>
  <c r="M628" i="8" s="1"/>
  <c r="D1871" i="5"/>
  <c r="L74" i="8"/>
  <c r="W2378" i="5"/>
  <c r="Q2378" i="5"/>
  <c r="I2378" i="5" s="1"/>
  <c r="X2084" i="5"/>
  <c r="I2084" i="5"/>
  <c r="Q288" i="8"/>
  <c r="M288" i="8"/>
  <c r="X1717" i="5"/>
  <c r="I1717" i="5"/>
  <c r="D1929" i="5"/>
  <c r="L1744" i="5"/>
  <c r="L24" i="8" s="1"/>
  <c r="E2213" i="5"/>
  <c r="E2115" i="5"/>
  <c r="G2475" i="5"/>
  <c r="G339" i="8" s="1"/>
  <c r="E2475" i="5"/>
  <c r="E339" i="8" s="1"/>
  <c r="E1729" i="5"/>
  <c r="F2154" i="5"/>
  <c r="I2115" i="5"/>
  <c r="G2154" i="5"/>
  <c r="D2154" i="5"/>
  <c r="F2166" i="5"/>
  <c r="E2166" i="5"/>
  <c r="H1744" i="5"/>
  <c r="G2027" i="5"/>
  <c r="D2094" i="5"/>
  <c r="G2213" i="5"/>
  <c r="I2475" i="5"/>
  <c r="I339" i="8" s="1"/>
  <c r="I2427" i="5"/>
  <c r="I320" i="8" s="1"/>
  <c r="D2170" i="5"/>
  <c r="D2092" i="5"/>
  <c r="F2475" i="5"/>
  <c r="F339" i="8" s="1"/>
  <c r="D2168" i="5"/>
  <c r="G2168" i="5"/>
  <c r="F2170" i="5"/>
  <c r="H2166" i="5"/>
  <c r="H2170" i="5"/>
  <c r="D1879" i="5"/>
  <c r="H2154" i="5"/>
  <c r="D2166" i="5"/>
  <c r="D1776" i="5"/>
  <c r="H1876" i="5"/>
  <c r="H2213" i="5"/>
  <c r="E2170" i="5"/>
  <c r="D2213" i="5"/>
  <c r="G2170" i="5"/>
  <c r="F2213" i="5"/>
  <c r="D2277" i="5"/>
  <c r="D2096" i="5"/>
  <c r="Q1724" i="5"/>
  <c r="I1724" i="5" s="1"/>
  <c r="V37" i="5"/>
  <c r="D2301" i="5"/>
  <c r="D267" i="8" s="1"/>
  <c r="D2296" i="5"/>
  <c r="D266" i="8" s="1"/>
  <c r="F2291" i="5"/>
  <c r="F265" i="8" s="1"/>
  <c r="H2301" i="5"/>
  <c r="H267" i="8" s="1"/>
  <c r="H2168" i="5"/>
  <c r="E1978" i="5"/>
  <c r="D2031" i="5"/>
  <c r="Q1978" i="5"/>
  <c r="Q122" i="8" s="1"/>
  <c r="I1979" i="5"/>
  <c r="Q1762" i="5"/>
  <c r="I1762" i="5" s="1"/>
  <c r="V105" i="5"/>
  <c r="F1978" i="5"/>
  <c r="Q1720" i="5"/>
  <c r="V26" i="5"/>
  <c r="Q1778" i="5"/>
  <c r="I1778" i="5" s="1"/>
  <c r="V141" i="5"/>
  <c r="D2027" i="5"/>
  <c r="F2277" i="5"/>
  <c r="L2291" i="5"/>
  <c r="L265" i="8" s="1"/>
  <c r="D2293" i="5"/>
  <c r="E2233" i="5"/>
  <c r="F2233" i="5"/>
  <c r="E2346" i="5"/>
  <c r="E288" i="8" s="1"/>
  <c r="H2233" i="5"/>
  <c r="E2291" i="5"/>
  <c r="E265" i="8" s="1"/>
  <c r="G2291" i="5"/>
  <c r="G265" i="8" s="1"/>
  <c r="H2291" i="5"/>
  <c r="H265" i="8" s="1"/>
  <c r="G2233" i="5"/>
  <c r="I2113" i="5"/>
  <c r="H2092" i="5"/>
  <c r="Q1788" i="5"/>
  <c r="V159" i="5"/>
  <c r="Q1730" i="5"/>
  <c r="V49" i="5"/>
  <c r="Q1736" i="5"/>
  <c r="I1736" i="5" s="1"/>
  <c r="V60" i="5"/>
  <c r="Q1785" i="5"/>
  <c r="I1785" i="5" s="1"/>
  <c r="V155" i="5"/>
  <c r="D1978" i="5"/>
  <c r="D2184" i="5"/>
  <c r="D222" i="8" s="1"/>
  <c r="H2277" i="5"/>
  <c r="E2168" i="5"/>
  <c r="H2027" i="5"/>
  <c r="I2044" i="5"/>
  <c r="I155" i="8" s="1"/>
  <c r="I2473" i="5"/>
  <c r="I338" i="8" s="1"/>
  <c r="F2168" i="5"/>
  <c r="Q1775" i="5"/>
  <c r="I1775" i="5" s="1"/>
  <c r="V136" i="5"/>
  <c r="H2031" i="5"/>
  <c r="Q1791" i="5"/>
  <c r="V164" i="5"/>
  <c r="D2233" i="5"/>
  <c r="Q1714" i="5"/>
  <c r="I1714" i="5" s="1"/>
  <c r="V15" i="5"/>
  <c r="X1788" i="5"/>
  <c r="I2346" i="5"/>
  <c r="I288" i="8" s="1"/>
  <c r="G2301" i="5"/>
  <c r="G267" i="8" s="1"/>
  <c r="F2301" i="5"/>
  <c r="F267" i="8" s="1"/>
  <c r="F1966" i="5"/>
  <c r="E2277" i="5"/>
  <c r="E2301" i="5"/>
  <c r="E267" i="8" s="1"/>
  <c r="H1978" i="5"/>
  <c r="Q2184" i="5"/>
  <c r="Q222" i="8" s="1"/>
  <c r="I2185" i="5"/>
  <c r="E1745" i="5"/>
  <c r="M1744" i="5"/>
  <c r="M24" i="8" s="1"/>
  <c r="M368" i="8" s="1"/>
  <c r="E35" i="14" s="1"/>
  <c r="F1745" i="5"/>
  <c r="N1744" i="5"/>
  <c r="N24" i="8" s="1"/>
  <c r="N368" i="8" s="1"/>
  <c r="F35" i="14" s="1"/>
  <c r="G1745" i="5"/>
  <c r="O1744" i="5"/>
  <c r="O24" i="8" s="1"/>
  <c r="O368" i="8" s="1"/>
  <c r="G35" i="14" s="1"/>
  <c r="Q1792" i="5"/>
  <c r="V166" i="5"/>
  <c r="Q1777" i="5"/>
  <c r="V139" i="5"/>
  <c r="Q1763" i="5"/>
  <c r="V107" i="5"/>
  <c r="D1745" i="5"/>
  <c r="E1873" i="5"/>
  <c r="D1874" i="5"/>
  <c r="I1800" i="5"/>
  <c r="E1714" i="5"/>
  <c r="D1790" i="5"/>
  <c r="I1874" i="5"/>
  <c r="F1873" i="5"/>
  <c r="Q1745" i="5"/>
  <c r="Q25" i="8" s="1"/>
  <c r="I1746" i="5"/>
  <c r="H1776" i="5"/>
  <c r="X1746" i="5"/>
  <c r="X2185" i="5"/>
  <c r="H1215" i="5"/>
  <c r="O1215" i="5" s="1"/>
  <c r="O1214" i="5" s="1"/>
  <c r="O2300" i="5" s="1"/>
  <c r="I1209" i="5"/>
  <c r="I1211" i="5" s="1"/>
  <c r="P1211" i="5" s="1"/>
  <c r="P1210" i="5" s="1"/>
  <c r="P2298" i="5" s="1"/>
  <c r="X1887" i="5"/>
  <c r="X1800" i="5"/>
  <c r="X2169" i="5"/>
  <c r="X2113" i="5"/>
  <c r="X2238" i="5"/>
  <c r="X2427" i="5"/>
  <c r="X2189" i="5"/>
  <c r="X1969" i="5"/>
  <c r="X2235" i="5"/>
  <c r="O1209" i="5"/>
  <c r="O1208" i="5" s="1"/>
  <c r="O2297" i="5" s="1"/>
  <c r="W2248" i="5"/>
  <c r="X2248" i="5" s="1"/>
  <c r="X2226" i="5"/>
  <c r="Q2277" i="5"/>
  <c r="Q257" i="8" s="1"/>
  <c r="X1979" i="5"/>
  <c r="W1966" i="5"/>
  <c r="X1966" i="5" s="1"/>
  <c r="X2473" i="5"/>
  <c r="X2214" i="5"/>
  <c r="Q2233" i="5"/>
  <c r="Q241" i="8" s="1"/>
  <c r="X1977" i="5"/>
  <c r="X2292" i="5"/>
  <c r="X2234" i="5"/>
  <c r="J1472" i="5"/>
  <c r="X2044" i="5"/>
  <c r="X2398" i="5"/>
  <c r="X2171" i="5"/>
  <c r="X2294" i="5"/>
  <c r="X2244" i="5"/>
  <c r="P1551" i="5"/>
  <c r="Q1551" i="5" s="1"/>
  <c r="Q1549" i="5" s="1"/>
  <c r="Q2450" i="5" s="1"/>
  <c r="I2450" i="5" s="1"/>
  <c r="AA2450" i="5" s="1"/>
  <c r="C219" i="12" s="1"/>
  <c r="J1551" i="5"/>
  <c r="Q2291" i="5"/>
  <c r="Q265" i="8" s="1"/>
  <c r="X2252" i="5"/>
  <c r="W2278" i="5"/>
  <c r="X2278" i="5" s="1"/>
  <c r="X2230" i="5"/>
  <c r="X2303" i="5"/>
  <c r="X2155" i="5"/>
  <c r="X2167" i="5"/>
  <c r="X2299" i="5"/>
  <c r="Q2301" i="5"/>
  <c r="Q267" i="8" s="1"/>
  <c r="W2301" i="5"/>
  <c r="W2346" i="5"/>
  <c r="X2346" i="5" s="1"/>
  <c r="J513" i="5"/>
  <c r="X2241" i="5"/>
  <c r="W1776" i="5"/>
  <c r="W2170" i="5"/>
  <c r="W2168" i="5"/>
  <c r="W2213" i="5"/>
  <c r="W2154" i="5"/>
  <c r="Q2154" i="5"/>
  <c r="Q206" i="8" s="1"/>
  <c r="Q2168" i="5"/>
  <c r="Q213" i="8" s="1"/>
  <c r="W2293" i="5"/>
  <c r="X2293" i="5" s="1"/>
  <c r="P1873" i="5"/>
  <c r="P75" i="8" s="1"/>
  <c r="P380" i="8" s="1"/>
  <c r="H60" i="14" s="1"/>
  <c r="W2475" i="5"/>
  <c r="X2475" i="5" s="1"/>
  <c r="W1729" i="5"/>
  <c r="Q2166" i="5"/>
  <c r="Q212" i="8" s="1"/>
  <c r="Q2213" i="5"/>
  <c r="Q233" i="8" s="1"/>
  <c r="X2229" i="5"/>
  <c r="Q2170" i="5"/>
  <c r="Q214" i="8" s="1"/>
  <c r="M2300" i="5"/>
  <c r="O2277" i="5"/>
  <c r="O257" i="8" s="1"/>
  <c r="W1978" i="5"/>
  <c r="W1790" i="5"/>
  <c r="O1549" i="5"/>
  <c r="O2450" i="5" s="1"/>
  <c r="G2450" i="5" s="1"/>
  <c r="Q1876" i="5"/>
  <c r="Q77" i="8" s="1"/>
  <c r="W2209" i="5"/>
  <c r="X2209" i="5" s="1"/>
  <c r="W2468" i="5"/>
  <c r="X2468" i="5" s="1"/>
  <c r="X1849" i="5"/>
  <c r="W2115" i="5"/>
  <c r="X2115" i="5" s="1"/>
  <c r="O1876" i="5"/>
  <c r="O77" i="8" s="1"/>
  <c r="N2297" i="5"/>
  <c r="W1714" i="5"/>
  <c r="W1877" i="5"/>
  <c r="X1877" i="5" s="1"/>
  <c r="W1758" i="5"/>
  <c r="Q98" i="5"/>
  <c r="V98" i="5" s="1"/>
  <c r="O1460" i="5"/>
  <c r="I1460" i="5"/>
  <c r="P1460" i="5" s="1"/>
  <c r="L1873" i="5"/>
  <c r="L75" i="8" s="1"/>
  <c r="W2184" i="5"/>
  <c r="W2233" i="5"/>
  <c r="Q1536" i="5"/>
  <c r="W1745" i="5"/>
  <c r="W2166" i="5"/>
  <c r="J1537" i="5"/>
  <c r="L1537" i="5"/>
  <c r="P330" i="5"/>
  <c r="P1872" i="5" s="1"/>
  <c r="H1872" i="5" s="1"/>
  <c r="Q331" i="5"/>
  <c r="Q330" i="5" s="1"/>
  <c r="Q1872" i="5" s="1"/>
  <c r="L2091" i="5"/>
  <c r="L2026" i="5"/>
  <c r="L145" i="8" s="1"/>
  <c r="J845" i="5"/>
  <c r="X2497" i="5"/>
  <c r="Q1516" i="5"/>
  <c r="I1519" i="5"/>
  <c r="O1519" i="5"/>
  <c r="J112" i="5"/>
  <c r="W1724" i="5"/>
  <c r="H40" i="8" l="1"/>
  <c r="I76" i="8"/>
  <c r="D79" i="8"/>
  <c r="D45" i="8"/>
  <c r="E75" i="8"/>
  <c r="H122" i="8"/>
  <c r="F213" i="8"/>
  <c r="E213" i="8"/>
  <c r="H176" i="8"/>
  <c r="F241" i="8"/>
  <c r="F257" i="8"/>
  <c r="E122" i="8"/>
  <c r="D178" i="8"/>
  <c r="D233" i="8"/>
  <c r="D40" i="8"/>
  <c r="H214" i="8"/>
  <c r="D213" i="8"/>
  <c r="G146" i="8"/>
  <c r="D206" i="8"/>
  <c r="E233" i="8"/>
  <c r="D74" i="8"/>
  <c r="H148" i="8"/>
  <c r="H257" i="8"/>
  <c r="I188" i="8"/>
  <c r="E241" i="8"/>
  <c r="D146" i="8"/>
  <c r="H213" i="8"/>
  <c r="D257" i="8"/>
  <c r="E214" i="8"/>
  <c r="D212" i="8"/>
  <c r="H212" i="8"/>
  <c r="G206" i="8"/>
  <c r="F75" i="8"/>
  <c r="I49" i="8"/>
  <c r="E257" i="8"/>
  <c r="D241" i="8"/>
  <c r="G241" i="8"/>
  <c r="H241" i="8"/>
  <c r="F122" i="8"/>
  <c r="F233" i="8"/>
  <c r="H233" i="8"/>
  <c r="H206" i="8"/>
  <c r="F214" i="8"/>
  <c r="D176" i="8"/>
  <c r="G233" i="8"/>
  <c r="E212" i="8"/>
  <c r="I189" i="8"/>
  <c r="D99" i="8"/>
  <c r="D76" i="8"/>
  <c r="H146" i="8"/>
  <c r="D122" i="8"/>
  <c r="D148" i="8"/>
  <c r="G214" i="8"/>
  <c r="H77" i="8"/>
  <c r="G213" i="8"/>
  <c r="D214" i="8"/>
  <c r="D177" i="8"/>
  <c r="F212" i="8"/>
  <c r="F206" i="8"/>
  <c r="E189" i="8"/>
  <c r="Z2084" i="5"/>
  <c r="I12" i="8"/>
  <c r="R543" i="8"/>
  <c r="R545" i="8"/>
  <c r="R658" i="8" s="1"/>
  <c r="R595" i="8"/>
  <c r="R559" i="8"/>
  <c r="R630" i="8"/>
  <c r="R687" i="8" s="1"/>
  <c r="R649" i="8"/>
  <c r="R635" i="8"/>
  <c r="R640" i="8"/>
  <c r="R650" i="8"/>
  <c r="R532" i="8"/>
  <c r="R574" i="8"/>
  <c r="R613" i="8"/>
  <c r="R529" i="8"/>
  <c r="R546" i="8"/>
  <c r="R583" i="8"/>
  <c r="R594" i="8"/>
  <c r="R621" i="8"/>
  <c r="R684" i="8" s="1"/>
  <c r="R538" i="8"/>
  <c r="R626" i="8"/>
  <c r="R644" i="8"/>
  <c r="R556" i="8"/>
  <c r="R568" i="8"/>
  <c r="R582" i="8"/>
  <c r="R609" i="8"/>
  <c r="R625" i="8"/>
  <c r="R610" i="8"/>
  <c r="R683" i="8" s="1"/>
  <c r="R542" i="8"/>
  <c r="R557" i="8"/>
  <c r="R592" i="8"/>
  <c r="R597" i="8"/>
  <c r="R527" i="8"/>
  <c r="L627" i="8"/>
  <c r="M567" i="8"/>
  <c r="R553" i="8"/>
  <c r="R580" i="8"/>
  <c r="R611" i="8"/>
  <c r="R585" i="8"/>
  <c r="R646" i="8"/>
  <c r="R616" i="8"/>
  <c r="R528" i="8"/>
  <c r="R535" i="8"/>
  <c r="R530" i="8"/>
  <c r="R656" i="8" s="1"/>
  <c r="R536" i="8"/>
  <c r="R607" i="8"/>
  <c r="R676" i="8" s="1"/>
  <c r="R612" i="8"/>
  <c r="R567" i="8"/>
  <c r="R577" i="8"/>
  <c r="R599" i="8"/>
  <c r="R572" i="8"/>
  <c r="R637" i="8"/>
  <c r="R537" i="8"/>
  <c r="R629" i="8"/>
  <c r="R552" i="8"/>
  <c r="R550" i="8"/>
  <c r="R587" i="8"/>
  <c r="R598" i="8"/>
  <c r="R622" i="8"/>
  <c r="R641" i="8"/>
  <c r="R627" i="8"/>
  <c r="R541" i="8"/>
  <c r="R549" i="8"/>
  <c r="R591" i="8"/>
  <c r="R642" i="8"/>
  <c r="R554" i="8"/>
  <c r="M549" i="8"/>
  <c r="R573" i="8"/>
  <c r="R596" i="8"/>
  <c r="R575" i="8"/>
  <c r="R601" i="8"/>
  <c r="R617" i="8"/>
  <c r="R632" i="8"/>
  <c r="R534" i="8"/>
  <c r="R605" i="8"/>
  <c r="R620" i="8"/>
  <c r="R539" i="8"/>
  <c r="R602" i="8"/>
  <c r="R675" i="8" s="1"/>
  <c r="R647" i="8"/>
  <c r="R569" i="8"/>
  <c r="R584" i="8"/>
  <c r="R548" i="8"/>
  <c r="R589" i="8"/>
  <c r="R636" i="8"/>
  <c r="R547" i="8"/>
  <c r="R628" i="8"/>
  <c r="R563" i="8"/>
  <c r="R555" i="8"/>
  <c r="R603" i="8"/>
  <c r="R576" i="8"/>
  <c r="R671" i="8" s="1"/>
  <c r="R638" i="8"/>
  <c r="R604" i="8"/>
  <c r="R643" i="8"/>
  <c r="R540" i="8"/>
  <c r="R551" i="8"/>
  <c r="R660" i="8" s="1"/>
  <c r="R566" i="8"/>
  <c r="R645" i="8"/>
  <c r="R558" i="8"/>
  <c r="R657" i="8" s="1"/>
  <c r="J2289" i="5"/>
  <c r="J263" i="8" s="1"/>
  <c r="R561" i="8"/>
  <c r="R579" i="8"/>
  <c r="R590" i="8"/>
  <c r="R614" i="8"/>
  <c r="R633" i="8"/>
  <c r="R619" i="8"/>
  <c r="R533" i="8"/>
  <c r="R618" i="8"/>
  <c r="R623" i="8"/>
  <c r="R685" i="8" s="1"/>
  <c r="R570" i="8"/>
  <c r="R608" i="8"/>
  <c r="R678" i="8" s="1"/>
  <c r="R531" i="8"/>
  <c r="R565" i="8"/>
  <c r="R600" i="8"/>
  <c r="R578" i="8"/>
  <c r="R669" i="8" s="1"/>
  <c r="R634" i="8"/>
  <c r="R639" i="8"/>
  <c r="R581" i="8"/>
  <c r="R631" i="8"/>
  <c r="R560" i="8"/>
  <c r="R588" i="8"/>
  <c r="R562" i="8"/>
  <c r="R593" i="8"/>
  <c r="R606" i="8"/>
  <c r="R624" i="8"/>
  <c r="R648" i="8"/>
  <c r="R571" i="8"/>
  <c r="R564" i="8"/>
  <c r="R586" i="8"/>
  <c r="R615" i="8"/>
  <c r="R544" i="8"/>
  <c r="P567" i="8"/>
  <c r="N567" i="8"/>
  <c r="L567" i="8"/>
  <c r="M646" i="8"/>
  <c r="R435" i="8"/>
  <c r="L646" i="8"/>
  <c r="O567" i="8"/>
  <c r="M620" i="8"/>
  <c r="M681" i="8" s="1"/>
  <c r="N620" i="8"/>
  <c r="L582" i="8"/>
  <c r="P549" i="8"/>
  <c r="O606" i="8"/>
  <c r="P538" i="8"/>
  <c r="P622" i="8"/>
  <c r="M538" i="8"/>
  <c r="M622" i="8"/>
  <c r="O620" i="8"/>
  <c r="O681" i="8" s="1"/>
  <c r="P620" i="8"/>
  <c r="N538" i="8"/>
  <c r="N622" i="8"/>
  <c r="N549" i="8"/>
  <c r="M582" i="8"/>
  <c r="N582" i="8"/>
  <c r="P582" i="8"/>
  <c r="P606" i="8"/>
  <c r="N606" i="8"/>
  <c r="M606" i="8"/>
  <c r="O549" i="8"/>
  <c r="L622" i="8"/>
  <c r="O582" i="8"/>
  <c r="M592" i="8"/>
  <c r="L549" i="8"/>
  <c r="L538" i="8"/>
  <c r="O622" i="8"/>
  <c r="O538" i="8"/>
  <c r="L620" i="8"/>
  <c r="L606" i="8"/>
  <c r="L545" i="8"/>
  <c r="L658" i="8" s="1"/>
  <c r="M545" i="8"/>
  <c r="M658" i="8" s="1"/>
  <c r="N627" i="8"/>
  <c r="M627" i="8"/>
  <c r="P607" i="8"/>
  <c r="P676" i="8" s="1"/>
  <c r="O627" i="8"/>
  <c r="Q606" i="8"/>
  <c r="O607" i="8"/>
  <c r="O676" i="8" s="1"/>
  <c r="N607" i="8"/>
  <c r="N676" i="8" s="1"/>
  <c r="P627" i="8"/>
  <c r="Q567" i="8"/>
  <c r="Q549" i="8"/>
  <c r="L570" i="8"/>
  <c r="N628" i="8"/>
  <c r="N681" i="8" s="1"/>
  <c r="L592" i="8"/>
  <c r="M607" i="8"/>
  <c r="M676" i="8" s="1"/>
  <c r="Q538" i="8"/>
  <c r="Q622" i="8"/>
  <c r="Q582" i="8"/>
  <c r="L607" i="8"/>
  <c r="L676" i="8" s="1"/>
  <c r="L628" i="8"/>
  <c r="D25" i="8"/>
  <c r="G25" i="8"/>
  <c r="E25" i="8"/>
  <c r="H24" i="8"/>
  <c r="P482" i="8" s="1"/>
  <c r="F25" i="8"/>
  <c r="Z1746" i="5"/>
  <c r="B15" i="12" s="1"/>
  <c r="E17" i="8"/>
  <c r="B99" i="12"/>
  <c r="H2298" i="5"/>
  <c r="P628" i="8"/>
  <c r="E2300" i="5"/>
  <c r="M570" i="8"/>
  <c r="G2297" i="5"/>
  <c r="O545" i="8"/>
  <c r="O658" i="8" s="1"/>
  <c r="I1720" i="5"/>
  <c r="F2297" i="5"/>
  <c r="N545" i="8"/>
  <c r="N658" i="8" s="1"/>
  <c r="G2300" i="5"/>
  <c r="O570" i="8"/>
  <c r="Q1211" i="5"/>
  <c r="Q1210" i="5" s="1"/>
  <c r="Q2298" i="5" s="1"/>
  <c r="E2298" i="5"/>
  <c r="W2298" i="5"/>
  <c r="J1211" i="5"/>
  <c r="X2378" i="5"/>
  <c r="Q1871" i="5"/>
  <c r="I1872" i="5"/>
  <c r="X1714" i="5"/>
  <c r="L175" i="8"/>
  <c r="L411" i="8" s="1"/>
  <c r="D139" i="14" s="1"/>
  <c r="P1871" i="5"/>
  <c r="P74" i="8" s="1"/>
  <c r="W1872" i="5"/>
  <c r="X1872" i="5" s="1"/>
  <c r="X2184" i="5"/>
  <c r="L401" i="8"/>
  <c r="D115" i="14" s="1"/>
  <c r="L380" i="8"/>
  <c r="D60" i="14" s="1"/>
  <c r="L368" i="8"/>
  <c r="D35" i="14" s="1"/>
  <c r="E1744" i="5"/>
  <c r="D2026" i="5"/>
  <c r="I1876" i="5"/>
  <c r="I2213" i="5"/>
  <c r="I2154" i="5"/>
  <c r="F1744" i="5"/>
  <c r="G1744" i="5"/>
  <c r="I2166" i="5"/>
  <c r="I2170" i="5"/>
  <c r="W2291" i="5"/>
  <c r="X2291" i="5" s="1"/>
  <c r="X1724" i="5"/>
  <c r="L2290" i="5"/>
  <c r="X1978" i="5"/>
  <c r="X1736" i="5"/>
  <c r="X1745" i="5"/>
  <c r="X1720" i="5"/>
  <c r="X1778" i="5"/>
  <c r="X1775" i="5"/>
  <c r="X1762" i="5"/>
  <c r="I1777" i="5"/>
  <c r="Q1776" i="5"/>
  <c r="Q40" i="8" s="1"/>
  <c r="I1791" i="5"/>
  <c r="Q1790" i="5"/>
  <c r="Q45" i="8" s="1"/>
  <c r="D2291" i="5"/>
  <c r="D265" i="8" s="1"/>
  <c r="X1791" i="5"/>
  <c r="I2301" i="5"/>
  <c r="I267" i="8" s="1"/>
  <c r="I1788" i="5"/>
  <c r="I2168" i="5"/>
  <c r="I1763" i="5"/>
  <c r="X1763" i="5"/>
  <c r="I1792" i="5"/>
  <c r="X1792" i="5"/>
  <c r="I2184" i="5"/>
  <c r="I222" i="8" s="1"/>
  <c r="X1785" i="5"/>
  <c r="D2091" i="5"/>
  <c r="W2277" i="5"/>
  <c r="X2277" i="5" s="1"/>
  <c r="G2277" i="5"/>
  <c r="I2291" i="5"/>
  <c r="I265" i="8" s="1"/>
  <c r="I2233" i="5"/>
  <c r="I2277" i="5"/>
  <c r="I1745" i="5"/>
  <c r="Q1744" i="5"/>
  <c r="Q24" i="8" s="1"/>
  <c r="Q368" i="8" s="1"/>
  <c r="I1730" i="5"/>
  <c r="Q1729" i="5"/>
  <c r="Q17" i="8" s="1"/>
  <c r="X1730" i="5"/>
  <c r="X1777" i="5"/>
  <c r="I1978" i="5"/>
  <c r="D1873" i="5"/>
  <c r="D1744" i="5"/>
  <c r="G1876" i="5"/>
  <c r="H1873" i="5"/>
  <c r="Q97" i="5"/>
  <c r="K98" i="5"/>
  <c r="C208" i="1" s="1"/>
  <c r="K100" i="5" s="1"/>
  <c r="I1215" i="5"/>
  <c r="P1215" i="5" s="1"/>
  <c r="J1209" i="5"/>
  <c r="P1209" i="5"/>
  <c r="P1208" i="5" s="1"/>
  <c r="P2297" i="5" s="1"/>
  <c r="X2166" i="5"/>
  <c r="X2233" i="5"/>
  <c r="P1549" i="5"/>
  <c r="P2450" i="5" s="1"/>
  <c r="H2450" i="5" s="1"/>
  <c r="O1873" i="5"/>
  <c r="O75" i="8" s="1"/>
  <c r="O380" i="8" s="1"/>
  <c r="G60" i="14" s="1"/>
  <c r="M2296" i="5"/>
  <c r="M266" i="8" s="1"/>
  <c r="N2296" i="5"/>
  <c r="N266" i="8" s="1"/>
  <c r="Q1460" i="5"/>
  <c r="W1876" i="5"/>
  <c r="X1876" i="5" s="1"/>
  <c r="X2301" i="5"/>
  <c r="O2296" i="5"/>
  <c r="O266" i="8" s="1"/>
  <c r="X2154" i="5"/>
  <c r="X2213" i="5"/>
  <c r="Q1873" i="5"/>
  <c r="Q75" i="8" s="1"/>
  <c r="Q380" i="8" s="1"/>
  <c r="X2168" i="5"/>
  <c r="X2170" i="5"/>
  <c r="W1744" i="5"/>
  <c r="Q1537" i="5"/>
  <c r="Q1535" i="5" s="1"/>
  <c r="Q2444" i="5" s="1"/>
  <c r="I2444" i="5" s="1"/>
  <c r="AA2444" i="5" s="1"/>
  <c r="W1874" i="5"/>
  <c r="X1874" i="5" s="1"/>
  <c r="J1460" i="5"/>
  <c r="P1519" i="5"/>
  <c r="J1519" i="5"/>
  <c r="L1535" i="5"/>
  <c r="L2444" i="5" s="1"/>
  <c r="D2444" i="5" s="1"/>
  <c r="R667" i="8" l="1"/>
  <c r="R681" i="8"/>
  <c r="P681" i="8"/>
  <c r="L681" i="8"/>
  <c r="R674" i="8"/>
  <c r="R682" i="8"/>
  <c r="R661" i="8"/>
  <c r="G77" i="8"/>
  <c r="D145" i="8"/>
  <c r="L494" i="8" s="1"/>
  <c r="D75" i="8"/>
  <c r="I233" i="8"/>
  <c r="Z1872" i="5"/>
  <c r="H75" i="8"/>
  <c r="I122" i="8"/>
  <c r="I241" i="8"/>
  <c r="D175" i="8"/>
  <c r="I77" i="8"/>
  <c r="I60" i="14"/>
  <c r="G257" i="8"/>
  <c r="I206" i="8"/>
  <c r="I35" i="14"/>
  <c r="R673" i="8"/>
  <c r="R672" i="8" s="1"/>
  <c r="R665" i="8"/>
  <c r="R662" i="8"/>
  <c r="R655" i="8"/>
  <c r="R651" i="8"/>
  <c r="R659" i="8"/>
  <c r="R670" i="8"/>
  <c r="R664" i="8"/>
  <c r="R680" i="8"/>
  <c r="R663" i="8"/>
  <c r="R689" i="8"/>
  <c r="R688" i="8"/>
  <c r="R679" i="8"/>
  <c r="R668" i="8"/>
  <c r="R666" i="8" s="1"/>
  <c r="G24" i="8"/>
  <c r="O482" i="8" s="1"/>
  <c r="F24" i="8"/>
  <c r="N482" i="8" s="1"/>
  <c r="D24" i="8"/>
  <c r="L482" i="8" s="1"/>
  <c r="E24" i="8"/>
  <c r="M482" i="8" s="1"/>
  <c r="C213" i="12"/>
  <c r="I25" i="8"/>
  <c r="Z1745" i="5"/>
  <c r="I214" i="8"/>
  <c r="Z2170" i="5"/>
  <c r="I257" i="8"/>
  <c r="AA2277" i="5"/>
  <c r="I213" i="8"/>
  <c r="Z2168" i="5"/>
  <c r="I212" i="8"/>
  <c r="Z2166" i="5"/>
  <c r="B48" i="12"/>
  <c r="H2297" i="5"/>
  <c r="P545" i="8"/>
  <c r="P658" i="8" s="1"/>
  <c r="I2298" i="5"/>
  <c r="Q628" i="8"/>
  <c r="Q681" i="8" s="1"/>
  <c r="X2298" i="5"/>
  <c r="I1871" i="5"/>
  <c r="Q74" i="8"/>
  <c r="W1871" i="5"/>
  <c r="X1871" i="5" s="1"/>
  <c r="H1871" i="5"/>
  <c r="L264" i="8"/>
  <c r="L436" i="8" s="1"/>
  <c r="D208" i="14" s="1"/>
  <c r="X1729" i="5"/>
  <c r="D2290" i="5"/>
  <c r="D264" i="8" s="1"/>
  <c r="I1744" i="5"/>
  <c r="X1790" i="5"/>
  <c r="J1215" i="5"/>
  <c r="X1744" i="5"/>
  <c r="E2296" i="5"/>
  <c r="E266" i="8" s="1"/>
  <c r="I1776" i="5"/>
  <c r="O2290" i="5"/>
  <c r="G2296" i="5"/>
  <c r="G266" i="8" s="1"/>
  <c r="N2290" i="5"/>
  <c r="F2296" i="5"/>
  <c r="F266" i="8" s="1"/>
  <c r="I1790" i="5"/>
  <c r="X1776" i="5"/>
  <c r="Q1758" i="5"/>
  <c r="I1758" i="5" s="1"/>
  <c r="V97" i="5"/>
  <c r="I1729" i="5"/>
  <c r="I1873" i="5"/>
  <c r="G1873" i="5"/>
  <c r="M100" i="5"/>
  <c r="M99" i="5" s="1"/>
  <c r="M1759" i="5" s="1"/>
  <c r="M563" i="8" s="1"/>
  <c r="P100" i="5"/>
  <c r="P99" i="5" s="1"/>
  <c r="P1759" i="5" s="1"/>
  <c r="P563" i="8" s="1"/>
  <c r="O100" i="5"/>
  <c r="O99" i="5" s="1"/>
  <c r="O1759" i="5" s="1"/>
  <c r="O563" i="8" s="1"/>
  <c r="L100" i="5"/>
  <c r="N100" i="5"/>
  <c r="N99" i="5" s="1"/>
  <c r="N1759" i="5" s="1"/>
  <c r="N563" i="8" s="1"/>
  <c r="P1214" i="5"/>
  <c r="P2300" i="5" s="1"/>
  <c r="P570" i="8" s="1"/>
  <c r="Q1215" i="5"/>
  <c r="Q1214" i="5" s="1"/>
  <c r="Q2300" i="5" s="1"/>
  <c r="Q1209" i="5"/>
  <c r="Q1208" i="5" s="1"/>
  <c r="M2290" i="5"/>
  <c r="W1873" i="5"/>
  <c r="X1873" i="5" s="1"/>
  <c r="W2450" i="5"/>
  <c r="X2450" i="5" s="1"/>
  <c r="W2297" i="5"/>
  <c r="Q1519" i="5"/>
  <c r="W2444" i="5"/>
  <c r="X2444" i="5" s="1"/>
  <c r="R686" i="8" l="1"/>
  <c r="Q482" i="8"/>
  <c r="G75" i="8"/>
  <c r="I40" i="8"/>
  <c r="I75" i="8"/>
  <c r="H74" i="8"/>
  <c r="I45" i="8"/>
  <c r="R654" i="8"/>
  <c r="R677" i="8"/>
  <c r="I17" i="8"/>
  <c r="I24" i="8"/>
  <c r="Z1744" i="5"/>
  <c r="I74" i="8"/>
  <c r="Z1871" i="5"/>
  <c r="B122" i="12"/>
  <c r="C162" i="12"/>
  <c r="B14" i="12"/>
  <c r="B124" i="12"/>
  <c r="B126" i="12"/>
  <c r="I2300" i="5"/>
  <c r="Q570" i="8"/>
  <c r="Q2297" i="5"/>
  <c r="U1198" i="5"/>
  <c r="M264" i="8"/>
  <c r="M436" i="8" s="1"/>
  <c r="E208" i="14" s="1"/>
  <c r="N264" i="8"/>
  <c r="N436" i="8" s="1"/>
  <c r="F208" i="14" s="1"/>
  <c r="O264" i="8"/>
  <c r="O436" i="8" s="1"/>
  <c r="G208" i="14" s="1"/>
  <c r="X1758" i="5"/>
  <c r="G2290" i="5"/>
  <c r="G264" i="8" s="1"/>
  <c r="E2290" i="5"/>
  <c r="E264" i="8" s="1"/>
  <c r="P2296" i="5"/>
  <c r="P266" i="8" s="1"/>
  <c r="H2300" i="5"/>
  <c r="F2290" i="5"/>
  <c r="F264" i="8" s="1"/>
  <c r="F1759" i="5"/>
  <c r="E1759" i="5"/>
  <c r="G1759" i="5"/>
  <c r="H1759" i="5"/>
  <c r="W2300" i="5"/>
  <c r="X2300" i="5" s="1"/>
  <c r="L99" i="5"/>
  <c r="L1759" i="5" s="1"/>
  <c r="Q100" i="5"/>
  <c r="D229" i="14" l="1"/>
  <c r="R690" i="8"/>
  <c r="B121" i="12"/>
  <c r="B47" i="12"/>
  <c r="B13" i="12"/>
  <c r="D1759" i="5"/>
  <c r="L563" i="8"/>
  <c r="I2297" i="5"/>
  <c r="Q545" i="8"/>
  <c r="Q658" i="8" s="1"/>
  <c r="X2297" i="5"/>
  <c r="Q2296" i="5"/>
  <c r="Q266" i="8" s="1"/>
  <c r="P2290" i="5"/>
  <c r="Q99" i="5"/>
  <c r="V100" i="5"/>
  <c r="W2296" i="5"/>
  <c r="H2296" i="5"/>
  <c r="H266" i="8" s="1"/>
  <c r="W1759" i="5"/>
  <c r="J1705" i="5"/>
  <c r="Q2290" i="5" l="1"/>
  <c r="I2290" i="5" s="1"/>
  <c r="I264" i="8" s="1"/>
  <c r="I2296" i="5"/>
  <c r="I266" i="8" s="1"/>
  <c r="X2296" i="5"/>
  <c r="P264" i="8"/>
  <c r="P436" i="8" s="1"/>
  <c r="H208" i="14" s="1"/>
  <c r="Q264" i="8"/>
  <c r="Q436" i="8" s="1"/>
  <c r="W2290" i="5"/>
  <c r="H2290" i="5"/>
  <c r="H264" i="8" s="1"/>
  <c r="Q1759" i="5"/>
  <c r="V99" i="5"/>
  <c r="I208" i="14" l="1"/>
  <c r="X2290" i="5"/>
  <c r="I1759" i="5"/>
  <c r="Q563" i="8"/>
  <c r="X1759" i="5"/>
  <c r="K328" i="5" l="1"/>
  <c r="N328" i="5" l="1"/>
  <c r="L328" i="5"/>
  <c r="O328" i="5"/>
  <c r="M328" i="5"/>
  <c r="P328" i="5"/>
  <c r="E1231" i="5"/>
  <c r="Q328" i="5" l="1"/>
  <c r="F1231" i="5"/>
  <c r="F1228" i="5"/>
  <c r="G1228" i="5" s="1"/>
  <c r="H1228" i="5" s="1"/>
  <c r="I1228" i="5" s="1"/>
  <c r="N1227" i="5" l="1"/>
  <c r="N2308" i="5" s="1"/>
  <c r="F2308" i="5" s="1"/>
  <c r="M1227" i="5"/>
  <c r="M2308" i="5" s="1"/>
  <c r="E2308" i="5" s="1"/>
  <c r="J1228" i="5"/>
  <c r="L1230" i="5"/>
  <c r="L2310" i="5" s="1"/>
  <c r="D2310" i="5" s="1"/>
  <c r="G1231" i="5"/>
  <c r="M1230" i="5"/>
  <c r="M2310" i="5" s="1"/>
  <c r="L1227" i="5"/>
  <c r="P1227" i="5"/>
  <c r="P2308" i="5" s="1"/>
  <c r="H2308" i="5" s="1"/>
  <c r="M2309" i="5" l="1"/>
  <c r="M270" i="8" s="1"/>
  <c r="E2310" i="5"/>
  <c r="Q1228" i="5"/>
  <c r="O1227" i="5"/>
  <c r="O2308" i="5" s="1"/>
  <c r="H1231" i="5"/>
  <c r="L2309" i="5"/>
  <c r="L270" i="8" s="1"/>
  <c r="P2307" i="5"/>
  <c r="P269" i="8" s="1"/>
  <c r="N2307" i="5"/>
  <c r="N269" i="8" s="1"/>
  <c r="M2307" i="5"/>
  <c r="M269" i="8" s="1"/>
  <c r="L2308" i="5"/>
  <c r="D2308" i="5" s="1"/>
  <c r="E2307" i="5" l="1"/>
  <c r="E269" i="8" s="1"/>
  <c r="F2307" i="5"/>
  <c r="F269" i="8" s="1"/>
  <c r="H2307" i="5"/>
  <c r="H269" i="8" s="1"/>
  <c r="D2309" i="5"/>
  <c r="D270" i="8" s="1"/>
  <c r="E2309" i="5"/>
  <c r="E270" i="8" s="1"/>
  <c r="O2307" i="5"/>
  <c r="O269" i="8" s="1"/>
  <c r="G2308" i="5"/>
  <c r="Q1227" i="5"/>
  <c r="Q2308" i="5" s="1"/>
  <c r="K1228" i="5"/>
  <c r="C215" i="1" s="1"/>
  <c r="I1231" i="5"/>
  <c r="O1230" i="5"/>
  <c r="O2310" i="5" s="1"/>
  <c r="N1230" i="5"/>
  <c r="N2310" i="5" s="1"/>
  <c r="F2310" i="5" s="1"/>
  <c r="M2306" i="5"/>
  <c r="W2308" i="5"/>
  <c r="L2307" i="5"/>
  <c r="L269" i="8" s="1"/>
  <c r="C142" i="3"/>
  <c r="M268" i="8" l="1"/>
  <c r="M437" i="8" s="1"/>
  <c r="E209" i="14" s="1"/>
  <c r="D2307" i="5"/>
  <c r="D269" i="8" s="1"/>
  <c r="G2307" i="5"/>
  <c r="G269" i="8" s="1"/>
  <c r="C143" i="3"/>
  <c r="G658" i="5"/>
  <c r="F653" i="5"/>
  <c r="O2309" i="5"/>
  <c r="O270" i="8" s="1"/>
  <c r="G2310" i="5"/>
  <c r="Q2307" i="5"/>
  <c r="Q269" i="8" s="1"/>
  <c r="I2308" i="5"/>
  <c r="E2306" i="5"/>
  <c r="E268" i="8" s="1"/>
  <c r="X2308" i="5"/>
  <c r="P1230" i="5"/>
  <c r="P2310" i="5" s="1"/>
  <c r="J1231" i="5"/>
  <c r="N2309" i="5"/>
  <c r="N270" i="8" s="1"/>
  <c r="W2307" i="5"/>
  <c r="L2306" i="5"/>
  <c r="C143" i="1"/>
  <c r="C260" i="1"/>
  <c r="K1384" i="5" s="1"/>
  <c r="L268" i="8" l="1"/>
  <c r="L437" i="8" s="1"/>
  <c r="D209" i="14" s="1"/>
  <c r="I2307" i="5"/>
  <c r="I269" i="8" s="1"/>
  <c r="F2309" i="5"/>
  <c r="F270" i="8" s="1"/>
  <c r="O2306" i="5"/>
  <c r="X2307" i="5"/>
  <c r="F778" i="5"/>
  <c r="G783" i="5"/>
  <c r="D2306" i="5"/>
  <c r="D268" i="8" s="1"/>
  <c r="P2309" i="5"/>
  <c r="P270" i="8" s="1"/>
  <c r="H2310" i="5"/>
  <c r="G2309" i="5"/>
  <c r="G270" i="8" s="1"/>
  <c r="O1384" i="5"/>
  <c r="N1384" i="5"/>
  <c r="M1384" i="5"/>
  <c r="L1384" i="5"/>
  <c r="P1384" i="5"/>
  <c r="F661" i="5"/>
  <c r="M653" i="5"/>
  <c r="M652" i="5" s="1"/>
  <c r="M2028" i="5" s="1"/>
  <c r="G653" i="5"/>
  <c r="J653" i="5" s="1"/>
  <c r="H658" i="5"/>
  <c r="N658" i="5"/>
  <c r="W2310" i="5"/>
  <c r="N2306" i="5"/>
  <c r="Q1231" i="5"/>
  <c r="N268" i="8" l="1"/>
  <c r="N437" i="8" s="1"/>
  <c r="F209" i="14" s="1"/>
  <c r="D230" i="14" s="1"/>
  <c r="O268" i="8"/>
  <c r="O437" i="8" s="1"/>
  <c r="G209" i="14" s="1"/>
  <c r="G2306" i="5"/>
  <c r="G268" i="8" s="1"/>
  <c r="H2309" i="5"/>
  <c r="H270" i="8" s="1"/>
  <c r="F2306" i="5"/>
  <c r="F268" i="8" s="1"/>
  <c r="W2309" i="5"/>
  <c r="M2027" i="5"/>
  <c r="M146" i="8" s="1"/>
  <c r="E2028" i="5"/>
  <c r="G778" i="5"/>
  <c r="J778" i="5" s="1"/>
  <c r="M778" i="5"/>
  <c r="F786" i="5"/>
  <c r="I658" i="5"/>
  <c r="O658" i="5"/>
  <c r="O657" i="5" s="1"/>
  <c r="O2030" i="5" s="1"/>
  <c r="M661" i="5"/>
  <c r="Q1384" i="5"/>
  <c r="N657" i="5"/>
  <c r="N2030" i="5" s="1"/>
  <c r="P2306" i="5"/>
  <c r="G661" i="5"/>
  <c r="N661" i="5" s="1"/>
  <c r="N660" i="5" s="1"/>
  <c r="N2032" i="5" s="1"/>
  <c r="N653" i="5"/>
  <c r="H783" i="5"/>
  <c r="N783" i="5"/>
  <c r="Q1230" i="5"/>
  <c r="Q2310" i="5" s="1"/>
  <c r="K1231" i="5"/>
  <c r="P268" i="8" l="1"/>
  <c r="P437" i="8" s="1"/>
  <c r="H209" i="14" s="1"/>
  <c r="I209" i="14" s="1"/>
  <c r="H2306" i="5"/>
  <c r="H268" i="8" s="1"/>
  <c r="J661" i="5"/>
  <c r="N782" i="5"/>
  <c r="N2095" i="5" s="1"/>
  <c r="Q653" i="5"/>
  <c r="Q652" i="5" s="1"/>
  <c r="Q2028" i="5" s="1"/>
  <c r="N652" i="5"/>
  <c r="N2028" i="5" s="1"/>
  <c r="E2027" i="5"/>
  <c r="W2306" i="5"/>
  <c r="F2032" i="5"/>
  <c r="N2031" i="5"/>
  <c r="N148" i="8" s="1"/>
  <c r="N2029" i="5"/>
  <c r="N147" i="8" s="1"/>
  <c r="F2030" i="5"/>
  <c r="M660" i="5"/>
  <c r="M2032" i="5" s="1"/>
  <c r="Q661" i="5"/>
  <c r="Q660" i="5" s="1"/>
  <c r="Q2032" i="5" s="1"/>
  <c r="M786" i="5"/>
  <c r="I783" i="5"/>
  <c r="P783" i="5" s="1"/>
  <c r="P782" i="5" s="1"/>
  <c r="P2095" i="5" s="1"/>
  <c r="O783" i="5"/>
  <c r="O782" i="5" s="1"/>
  <c r="O2095" i="5" s="1"/>
  <c r="G2030" i="5"/>
  <c r="O2029" i="5"/>
  <c r="O147" i="8" s="1"/>
  <c r="M777" i="5"/>
  <c r="M2093" i="5" s="1"/>
  <c r="Q2309" i="5"/>
  <c r="Q270" i="8" s="1"/>
  <c r="I2310" i="5"/>
  <c r="P658" i="5"/>
  <c r="J658" i="5"/>
  <c r="N778" i="5"/>
  <c r="N777" i="5" s="1"/>
  <c r="N2093" i="5" s="1"/>
  <c r="G786" i="5"/>
  <c r="N786" i="5" s="1"/>
  <c r="N785" i="5" s="1"/>
  <c r="N2097" i="5" s="1"/>
  <c r="X2310" i="5"/>
  <c r="E146" i="8" l="1"/>
  <c r="J783" i="5"/>
  <c r="Q778" i="5"/>
  <c r="Q777" i="5" s="1"/>
  <c r="Q2093" i="5" s="1"/>
  <c r="I2093" i="5" s="1"/>
  <c r="F2097" i="5"/>
  <c r="N2096" i="5"/>
  <c r="N178" i="8" s="1"/>
  <c r="G2095" i="5"/>
  <c r="O2094" i="5"/>
  <c r="O177" i="8" s="1"/>
  <c r="I2032" i="5"/>
  <c r="Q2031" i="5"/>
  <c r="Q148" i="8" s="1"/>
  <c r="F2029" i="5"/>
  <c r="N2027" i="5"/>
  <c r="N146" i="8" s="1"/>
  <c r="F2028" i="5"/>
  <c r="W2028" i="5"/>
  <c r="X2028" i="5" s="1"/>
  <c r="F2093" i="5"/>
  <c r="N2092" i="5"/>
  <c r="N176" i="8" s="1"/>
  <c r="E2093" i="5"/>
  <c r="M2092" i="5"/>
  <c r="M176" i="8" s="1"/>
  <c r="W2093" i="5"/>
  <c r="H2095" i="5"/>
  <c r="P2094" i="5"/>
  <c r="P177" i="8" s="1"/>
  <c r="E2032" i="5"/>
  <c r="M2031" i="5"/>
  <c r="M148" i="8" s="1"/>
  <c r="W2032" i="5"/>
  <c r="X2032" i="5" s="1"/>
  <c r="F2031" i="5"/>
  <c r="I2028" i="5"/>
  <c r="Q2027" i="5"/>
  <c r="Q146" i="8" s="1"/>
  <c r="Q2306" i="5"/>
  <c r="I2309" i="5"/>
  <c r="I270" i="8" s="1"/>
  <c r="G2029" i="5"/>
  <c r="O2026" i="5"/>
  <c r="O145" i="8" s="1"/>
  <c r="O401" i="8" s="1"/>
  <c r="G115" i="14" s="1"/>
  <c r="J786" i="5"/>
  <c r="Q783" i="5"/>
  <c r="Q782" i="5" s="1"/>
  <c r="Q2095" i="5" s="1"/>
  <c r="X2309" i="5"/>
  <c r="P657" i="5"/>
  <c r="P2030" i="5" s="1"/>
  <c r="Q658" i="5"/>
  <c r="Q657" i="5" s="1"/>
  <c r="Q2030" i="5" s="1"/>
  <c r="M785" i="5"/>
  <c r="M2097" i="5" s="1"/>
  <c r="Q786" i="5"/>
  <c r="Q785" i="5" s="1"/>
  <c r="Q2097" i="5" s="1"/>
  <c r="F2095" i="5"/>
  <c r="N2094" i="5"/>
  <c r="N177" i="8" s="1"/>
  <c r="W2095" i="5"/>
  <c r="Z2093" i="5" l="1"/>
  <c r="F147" i="8"/>
  <c r="G147" i="8"/>
  <c r="Z2028" i="5"/>
  <c r="F148" i="8"/>
  <c r="Z2032" i="5"/>
  <c r="B81" i="12"/>
  <c r="B85" i="12"/>
  <c r="B108" i="12"/>
  <c r="Q268" i="8"/>
  <c r="Q437" i="8" s="1"/>
  <c r="N2026" i="5"/>
  <c r="N145" i="8" s="1"/>
  <c r="N401" i="8" s="1"/>
  <c r="F115" i="14" s="1"/>
  <c r="Q2092" i="5"/>
  <c r="Q176" i="8" s="1"/>
  <c r="X2095" i="5"/>
  <c r="X2093" i="5"/>
  <c r="I2097" i="5"/>
  <c r="Q2096" i="5"/>
  <c r="Q178" i="8" s="1"/>
  <c r="E2031" i="5"/>
  <c r="W2031" i="5"/>
  <c r="X2031" i="5" s="1"/>
  <c r="M2026" i="5"/>
  <c r="M145" i="8" s="1"/>
  <c r="F2094" i="5"/>
  <c r="W2094" i="5"/>
  <c r="E2097" i="5"/>
  <c r="M2096" i="5"/>
  <c r="M178" i="8" s="1"/>
  <c r="W2097" i="5"/>
  <c r="X2097" i="5" s="1"/>
  <c r="I2095" i="5"/>
  <c r="Q2094" i="5"/>
  <c r="Q177" i="8" s="1"/>
  <c r="E2092" i="5"/>
  <c r="W2092" i="5"/>
  <c r="G2094" i="5"/>
  <c r="O2091" i="5"/>
  <c r="Q2029" i="5"/>
  <c r="Q147" i="8" s="1"/>
  <c r="I2030" i="5"/>
  <c r="I2027" i="5"/>
  <c r="H2094" i="5"/>
  <c r="P2091" i="5"/>
  <c r="H2030" i="5"/>
  <c r="P2029" i="5"/>
  <c r="P147" i="8" s="1"/>
  <c r="W2030" i="5"/>
  <c r="X2030" i="5" s="1"/>
  <c r="G2026" i="5"/>
  <c r="I2306" i="5"/>
  <c r="I268" i="8" s="1"/>
  <c r="X2306" i="5"/>
  <c r="F2092" i="5"/>
  <c r="N2091" i="5"/>
  <c r="F2027" i="5"/>
  <c r="W2027" i="5"/>
  <c r="X2027" i="5" s="1"/>
  <c r="I2031" i="5"/>
  <c r="F2096" i="5"/>
  <c r="D127" i="3"/>
  <c r="D128" i="3" s="1"/>
  <c r="D124" i="3"/>
  <c r="D125" i="3" s="1"/>
  <c r="K125" i="3" s="1"/>
  <c r="D118" i="3"/>
  <c r="D119" i="3" s="1"/>
  <c r="L119" i="3" s="1"/>
  <c r="D121" i="3"/>
  <c r="D122" i="3" s="1"/>
  <c r="G177" i="8" l="1"/>
  <c r="Z2095" i="5"/>
  <c r="E148" i="8"/>
  <c r="F178" i="8"/>
  <c r="G145" i="8"/>
  <c r="O494" i="8" s="1"/>
  <c r="E176" i="8"/>
  <c r="Z2097" i="5"/>
  <c r="F146" i="8"/>
  <c r="Z2030" i="5"/>
  <c r="F177" i="8"/>
  <c r="F176" i="8"/>
  <c r="H177" i="8"/>
  <c r="I146" i="8"/>
  <c r="Z2027" i="5"/>
  <c r="B112" i="12"/>
  <c r="B110" i="12"/>
  <c r="B83" i="12"/>
  <c r="I148" i="8"/>
  <c r="Z2031" i="5"/>
  <c r="P175" i="8"/>
  <c r="P411" i="8" s="1"/>
  <c r="H139" i="14" s="1"/>
  <c r="O175" i="8"/>
  <c r="O411" i="8" s="1"/>
  <c r="G139" i="14" s="1"/>
  <c r="N175" i="8"/>
  <c r="N411" i="8" s="1"/>
  <c r="F139" i="14" s="1"/>
  <c r="M401" i="8"/>
  <c r="E115" i="14" s="1"/>
  <c r="F2026" i="5"/>
  <c r="I2092" i="5"/>
  <c r="M2091" i="5"/>
  <c r="X2092" i="5"/>
  <c r="H2029" i="5"/>
  <c r="P2026" i="5"/>
  <c r="P145" i="8" s="1"/>
  <c r="P401" i="8" s="1"/>
  <c r="H115" i="14" s="1"/>
  <c r="W2029" i="5"/>
  <c r="X2029" i="5" s="1"/>
  <c r="I2029" i="5"/>
  <c r="I2094" i="5"/>
  <c r="E2026" i="5"/>
  <c r="Q2091" i="5"/>
  <c r="Q2026" i="5"/>
  <c r="Q145" i="8" s="1"/>
  <c r="Q401" i="8" s="1"/>
  <c r="X2094" i="5"/>
  <c r="G2091" i="5"/>
  <c r="E2091" i="5"/>
  <c r="F2091" i="5"/>
  <c r="H2091" i="5"/>
  <c r="E2096" i="5"/>
  <c r="W2096" i="5"/>
  <c r="X2096" i="5" s="1"/>
  <c r="I2096" i="5"/>
  <c r="F125" i="3"/>
  <c r="J125" i="3"/>
  <c r="L125" i="3"/>
  <c r="H125" i="3"/>
  <c r="H244" i="5" s="1"/>
  <c r="O244" i="5" s="1"/>
  <c r="O243" i="5" s="1"/>
  <c r="O1832" i="5" s="1"/>
  <c r="M122" i="3"/>
  <c r="I122" i="3"/>
  <c r="L122" i="3"/>
  <c r="H122" i="3"/>
  <c r="F122" i="3"/>
  <c r="K122" i="3"/>
  <c r="G122" i="3"/>
  <c r="J122" i="3"/>
  <c r="I119" i="3"/>
  <c r="M119" i="3"/>
  <c r="F119" i="3"/>
  <c r="J119" i="3"/>
  <c r="I125" i="3"/>
  <c r="M125" i="3"/>
  <c r="G119" i="3"/>
  <c r="K119" i="3"/>
  <c r="F244" i="5"/>
  <c r="H119" i="3"/>
  <c r="G125" i="3"/>
  <c r="M128" i="3"/>
  <c r="I128" i="3"/>
  <c r="L128" i="3"/>
  <c r="H128" i="3"/>
  <c r="K128" i="3"/>
  <c r="G128" i="3"/>
  <c r="J128" i="3"/>
  <c r="F128" i="3"/>
  <c r="E178" i="8" l="1"/>
  <c r="G175" i="8"/>
  <c r="E145" i="8"/>
  <c r="M494" i="8" s="1"/>
  <c r="F175" i="8"/>
  <c r="I115" i="14"/>
  <c r="D125" i="14"/>
  <c r="E125" i="14" s="1"/>
  <c r="H175" i="8"/>
  <c r="H147" i="8"/>
  <c r="F145" i="8"/>
  <c r="N494" i="8" s="1"/>
  <c r="E175" i="8"/>
  <c r="I176" i="8"/>
  <c r="Z2092" i="5"/>
  <c r="I178" i="8"/>
  <c r="Z2096" i="5"/>
  <c r="I147" i="8"/>
  <c r="Z2029" i="5"/>
  <c r="B84" i="12"/>
  <c r="B80" i="12"/>
  <c r="I177" i="8"/>
  <c r="Z2094" i="5"/>
  <c r="Q175" i="8"/>
  <c r="Q411" i="8" s="1"/>
  <c r="M175" i="8"/>
  <c r="M411" i="8" s="1"/>
  <c r="E139" i="14" s="1"/>
  <c r="W2091" i="5"/>
  <c r="X2091" i="5" s="1"/>
  <c r="W2026" i="5"/>
  <c r="X2026" i="5" s="1"/>
  <c r="I2026" i="5"/>
  <c r="I2091" i="5"/>
  <c r="H2026" i="5"/>
  <c r="G1832" i="5"/>
  <c r="G244" i="5"/>
  <c r="N244" i="5" s="1"/>
  <c r="N243" i="5" s="1"/>
  <c r="N1832" i="5" s="1"/>
  <c r="M244" i="5"/>
  <c r="I244" i="5"/>
  <c r="P244" i="5" s="1"/>
  <c r="P243" i="5" s="1"/>
  <c r="P1832" i="5" s="1"/>
  <c r="H250" i="5"/>
  <c r="O250" i="5" s="1"/>
  <c r="O249" i="5" s="1"/>
  <c r="O1835" i="5" s="1"/>
  <c r="F256" i="5"/>
  <c r="H238" i="5"/>
  <c r="O238" i="5" s="1"/>
  <c r="O237" i="5" s="1"/>
  <c r="O1829" i="5" s="1"/>
  <c r="G250" i="5"/>
  <c r="N250" i="5" s="1"/>
  <c r="N249" i="5" s="1"/>
  <c r="N1835" i="5" s="1"/>
  <c r="H256" i="5"/>
  <c r="O256" i="5" s="1"/>
  <c r="O255" i="5" s="1"/>
  <c r="O1838" i="5" s="1"/>
  <c r="G238" i="5"/>
  <c r="N238" i="5" s="1"/>
  <c r="N237" i="5" s="1"/>
  <c r="N1829" i="5" s="1"/>
  <c r="F238" i="5"/>
  <c r="I250" i="5"/>
  <c r="P250" i="5" s="1"/>
  <c r="P249" i="5" s="1"/>
  <c r="P1835" i="5" s="1"/>
  <c r="G256" i="5"/>
  <c r="N256" i="5" s="1"/>
  <c r="N255" i="5" s="1"/>
  <c r="N1838" i="5" s="1"/>
  <c r="I256" i="5"/>
  <c r="P256" i="5" s="1"/>
  <c r="P255" i="5" s="1"/>
  <c r="P1838" i="5" s="1"/>
  <c r="I238" i="5"/>
  <c r="P238" i="5" s="1"/>
  <c r="P237" i="5" s="1"/>
  <c r="P1829" i="5" s="1"/>
  <c r="F250" i="5"/>
  <c r="H145" i="8" l="1"/>
  <c r="P494" i="8" s="1"/>
  <c r="D151" i="14"/>
  <c r="E151" i="14" s="1"/>
  <c r="I139" i="14"/>
  <c r="B111" i="12"/>
  <c r="B109" i="12"/>
  <c r="B82" i="12"/>
  <c r="B107" i="12"/>
  <c r="I175" i="8"/>
  <c r="Z2091" i="5"/>
  <c r="B106" i="12" s="1"/>
  <c r="I145" i="8"/>
  <c r="Z2026" i="5"/>
  <c r="H1829" i="5"/>
  <c r="G1829" i="5"/>
  <c r="H1838" i="5"/>
  <c r="F1829" i="5"/>
  <c r="F1832" i="5"/>
  <c r="G1838" i="5"/>
  <c r="G1835" i="5"/>
  <c r="F1838" i="5"/>
  <c r="H1835" i="5"/>
  <c r="F1835" i="5"/>
  <c r="H1832" i="5"/>
  <c r="J250" i="5"/>
  <c r="M250" i="5"/>
  <c r="J256" i="5"/>
  <c r="M256" i="5"/>
  <c r="J244" i="5"/>
  <c r="M238" i="5"/>
  <c r="J238" i="5"/>
  <c r="M243" i="5"/>
  <c r="M1832" i="5" s="1"/>
  <c r="E1832" i="5" s="1"/>
  <c r="Q244" i="5"/>
  <c r="Q243" i="5" s="1"/>
  <c r="Q1832" i="5" s="1"/>
  <c r="Q494" i="8" l="1"/>
  <c r="B79" i="12"/>
  <c r="I1832" i="5"/>
  <c r="W1832" i="5"/>
  <c r="X1832" i="5" s="1"/>
  <c r="M249" i="5"/>
  <c r="M1835" i="5" s="1"/>
  <c r="E1835" i="5" s="1"/>
  <c r="Q250" i="5"/>
  <c r="Q249" i="5" s="1"/>
  <c r="Q1835" i="5" s="1"/>
  <c r="M237" i="5"/>
  <c r="M1829" i="5" s="1"/>
  <c r="E1829" i="5" s="1"/>
  <c r="Q238" i="5"/>
  <c r="Q237" i="5" s="1"/>
  <c r="Q1829" i="5" s="1"/>
  <c r="M255" i="5"/>
  <c r="M1838" i="5" s="1"/>
  <c r="E1838" i="5" s="1"/>
  <c r="Q256" i="5"/>
  <c r="Q255" i="5" s="1"/>
  <c r="Q1838" i="5" s="1"/>
  <c r="I1835" i="5" l="1"/>
  <c r="I1838" i="5"/>
  <c r="I1829" i="5"/>
  <c r="W1838" i="5"/>
  <c r="X1838" i="5" s="1"/>
  <c r="W1829" i="5"/>
  <c r="X1829" i="5" s="1"/>
  <c r="W1835" i="5"/>
  <c r="X1835" i="5" s="1"/>
  <c r="O26" i="3" l="1"/>
  <c r="F26" i="3" s="1"/>
  <c r="N113" i="3"/>
  <c r="F114" i="3" s="1"/>
  <c r="G109" i="3"/>
  <c r="F107" i="3"/>
  <c r="G107" i="3" s="1"/>
  <c r="H107" i="3" s="1"/>
  <c r="I107" i="3" s="1"/>
  <c r="J107" i="3" s="1"/>
  <c r="K107" i="3" s="1"/>
  <c r="L107" i="3" s="1"/>
  <c r="M107" i="3" s="1"/>
  <c r="N107" i="3" s="1"/>
  <c r="N108" i="3" s="1"/>
  <c r="E102" i="3"/>
  <c r="E914" i="5" s="1"/>
  <c r="E90" i="3"/>
  <c r="E96" i="3" s="1"/>
  <c r="E98" i="3" s="1"/>
  <c r="E88" i="3"/>
  <c r="F88" i="3" s="1"/>
  <c r="G88" i="3" s="1"/>
  <c r="H88" i="3" s="1"/>
  <c r="I88" i="3" s="1"/>
  <c r="J88" i="3" s="1"/>
  <c r="K88" i="3" s="1"/>
  <c r="L88" i="3" s="1"/>
  <c r="M88" i="3" s="1"/>
  <c r="N88" i="3" s="1"/>
  <c r="E91" i="3" s="1"/>
  <c r="G79" i="3"/>
  <c r="H79" i="3" s="1"/>
  <c r="I79" i="3" s="1"/>
  <c r="J79" i="3" s="1"/>
  <c r="K79" i="3" s="1"/>
  <c r="L79" i="3" s="1"/>
  <c r="M79" i="3" s="1"/>
  <c r="N79" i="3" s="1"/>
  <c r="E63" i="3"/>
  <c r="F63" i="3" s="1"/>
  <c r="G63" i="3" s="1"/>
  <c r="H63" i="3" s="1"/>
  <c r="I63" i="3" s="1"/>
  <c r="J63" i="3" s="1"/>
  <c r="K63" i="3" s="1"/>
  <c r="L63" i="3" s="1"/>
  <c r="M63" i="3" s="1"/>
  <c r="N63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E60" i="3"/>
  <c r="E59" i="3"/>
  <c r="F59" i="3" s="1"/>
  <c r="G59" i="3" s="1"/>
  <c r="H59" i="3" s="1"/>
  <c r="I59" i="3" s="1"/>
  <c r="J59" i="3" s="1"/>
  <c r="K59" i="3" s="1"/>
  <c r="L59" i="3" s="1"/>
  <c r="M59" i="3" s="1"/>
  <c r="N59" i="3" s="1"/>
  <c r="C59" i="3"/>
  <c r="C60" i="3" s="1"/>
  <c r="C61" i="3" s="1"/>
  <c r="C62" i="3" s="1"/>
  <c r="C63" i="3" s="1"/>
  <c r="F58" i="3"/>
  <c r="E58" i="3"/>
  <c r="E52" i="3" s="1"/>
  <c r="E54" i="3" s="1"/>
  <c r="D52" i="3"/>
  <c r="D54" i="3" s="1"/>
  <c r="E49" i="3"/>
  <c r="E69" i="3" s="1"/>
  <c r="E694" i="5" s="1"/>
  <c r="F48" i="3"/>
  <c r="G48" i="3" s="1"/>
  <c r="H48" i="3" s="1"/>
  <c r="I48" i="3" s="1"/>
  <c r="J48" i="3" s="1"/>
  <c r="K48" i="3" s="1"/>
  <c r="L48" i="3" s="1"/>
  <c r="M48" i="3" s="1"/>
  <c r="N48" i="3" s="1"/>
  <c r="F41" i="3"/>
  <c r="G41" i="3" s="1"/>
  <c r="H41" i="3" s="1"/>
  <c r="I41" i="3" s="1"/>
  <c r="J41" i="3" s="1"/>
  <c r="K41" i="3" s="1"/>
  <c r="K45" i="3" s="1"/>
  <c r="F40" i="3"/>
  <c r="G40" i="3" s="1"/>
  <c r="H40" i="3" s="1"/>
  <c r="I40" i="3" s="1"/>
  <c r="J40" i="3" s="1"/>
  <c r="K40" i="3" s="1"/>
  <c r="K47" i="3" s="1"/>
  <c r="H472" i="5" s="1"/>
  <c r="F39" i="3"/>
  <c r="G39" i="3" s="1"/>
  <c r="H39" i="3" s="1"/>
  <c r="I39" i="3" s="1"/>
  <c r="J39" i="3" s="1"/>
  <c r="K39" i="3" s="1"/>
  <c r="K43" i="3" s="1"/>
  <c r="F38" i="3"/>
  <c r="G38" i="3" s="1"/>
  <c r="H38" i="3" s="1"/>
  <c r="I38" i="3" s="1"/>
  <c r="J38" i="3" s="1"/>
  <c r="K38" i="3" s="1"/>
  <c r="I34" i="3"/>
  <c r="J34" i="3" s="1"/>
  <c r="I33" i="3"/>
  <c r="J33" i="3" s="1"/>
  <c r="K32" i="3"/>
  <c r="I32" i="3"/>
  <c r="J32" i="3" s="1"/>
  <c r="K31" i="3"/>
  <c r="I31" i="3"/>
  <c r="J31" i="3" s="1"/>
  <c r="K30" i="3"/>
  <c r="I30" i="3"/>
  <c r="J30" i="3" s="1"/>
  <c r="C30" i="3"/>
  <c r="C31" i="3" s="1"/>
  <c r="C32" i="3" s="1"/>
  <c r="C33" i="3" s="1"/>
  <c r="C34" i="3" s="1"/>
  <c r="K29" i="3"/>
  <c r="I29" i="3"/>
  <c r="J29" i="3" s="1"/>
  <c r="N25" i="3"/>
  <c r="M24" i="3"/>
  <c r="L24" i="3"/>
  <c r="K24" i="3"/>
  <c r="J24" i="3"/>
  <c r="I24" i="3"/>
  <c r="H24" i="3"/>
  <c r="G24" i="3"/>
  <c r="G20" i="3"/>
  <c r="C15" i="3"/>
  <c r="C17" i="3" s="1"/>
  <c r="E17" i="3" s="1"/>
  <c r="E13" i="3"/>
  <c r="E12" i="3"/>
  <c r="F13" i="3" s="1"/>
  <c r="D11" i="3"/>
  <c r="N11" i="3" s="1"/>
  <c r="E9" i="3"/>
  <c r="F9" i="3" s="1"/>
  <c r="G9" i="3" s="1"/>
  <c r="H9" i="3" s="1"/>
  <c r="I9" i="3" s="1"/>
  <c r="J9" i="3" s="1"/>
  <c r="K9" i="3" s="1"/>
  <c r="L9" i="3" s="1"/>
  <c r="M9" i="3" s="1"/>
  <c r="N9" i="3" s="1"/>
  <c r="C234" i="1"/>
  <c r="K601" i="5" s="1"/>
  <c r="C228" i="1"/>
  <c r="K1689" i="5" s="1"/>
  <c r="C209" i="1"/>
  <c r="K112" i="5" s="1"/>
  <c r="C207" i="1"/>
  <c r="C128" i="1"/>
  <c r="K1092" i="5" s="1"/>
  <c r="K1093" i="5"/>
  <c r="C116" i="1"/>
  <c r="K1036" i="5" s="1"/>
  <c r="C115" i="1"/>
  <c r="K1030" i="5" s="1"/>
  <c r="C112" i="1"/>
  <c r="K1014" i="5" s="1"/>
  <c r="C109" i="1"/>
  <c r="K974" i="5" s="1"/>
  <c r="C107" i="1"/>
  <c r="K967" i="5" s="1"/>
  <c r="C102" i="1"/>
  <c r="K940" i="5" s="1"/>
  <c r="C101" i="1"/>
  <c r="K845" i="5" s="1"/>
  <c r="C100" i="1"/>
  <c r="K162" i="5" s="1"/>
  <c r="C99" i="1"/>
  <c r="K1475" i="5" s="1"/>
  <c r="C91" i="1"/>
  <c r="C90" i="1"/>
  <c r="K1440" i="5" s="1"/>
  <c r="C75" i="1"/>
  <c r="K1377" i="5" s="1"/>
  <c r="C74" i="1"/>
  <c r="K1376" i="5" s="1"/>
  <c r="C73" i="1"/>
  <c r="K793" i="5" s="1"/>
  <c r="K991" i="5"/>
  <c r="C58" i="1"/>
  <c r="K907" i="5" s="1"/>
  <c r="C38" i="1"/>
  <c r="K956" i="5" s="1"/>
  <c r="C37" i="1"/>
  <c r="K954" i="5" s="1"/>
  <c r="C30" i="1"/>
  <c r="C18" i="1"/>
  <c r="C17" i="1"/>
  <c r="C16" i="1"/>
  <c r="K134" i="5" s="1"/>
  <c r="C15" i="1"/>
  <c r="K522" i="5" s="1"/>
  <c r="G14" i="1"/>
  <c r="C14" i="1"/>
  <c r="K1443" i="5" s="1"/>
  <c r="C13" i="1"/>
  <c r="C11" i="1"/>
  <c r="C10" i="1"/>
  <c r="K1272" i="5" s="1"/>
  <c r="G9" i="1"/>
  <c r="G10" i="1" s="1"/>
  <c r="G1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C7" i="1"/>
  <c r="K1693" i="5" l="1"/>
  <c r="K1361" i="5"/>
  <c r="K1262" i="5"/>
  <c r="K1256" i="5"/>
  <c r="K1684" i="5"/>
  <c r="K1446" i="5"/>
  <c r="K1277" i="5"/>
  <c r="K1288" i="5"/>
  <c r="K1282" i="5"/>
  <c r="K1363" i="5"/>
  <c r="K1257" i="5"/>
  <c r="K1447" i="5"/>
  <c r="K1284" i="5"/>
  <c r="K1290" i="5"/>
  <c r="K1279" i="5"/>
  <c r="M1440" i="5"/>
  <c r="M1439" i="5" s="1"/>
  <c r="P1440" i="5"/>
  <c r="P1439" i="5" s="1"/>
  <c r="O1440" i="5"/>
  <c r="O1439" i="5" s="1"/>
  <c r="N1440" i="5"/>
  <c r="N1439" i="5" s="1"/>
  <c r="L1440" i="5"/>
  <c r="E26" i="3"/>
  <c r="K1295" i="5"/>
  <c r="K1291" i="5"/>
  <c r="K1285" i="5"/>
  <c r="K1280" i="5"/>
  <c r="M26" i="3"/>
  <c r="K1690" i="5"/>
  <c r="K1362" i="5"/>
  <c r="K1435" i="5"/>
  <c r="K26" i="3"/>
  <c r="L1443" i="5"/>
  <c r="O1443" i="5"/>
  <c r="O1442" i="5" s="1"/>
  <c r="P1443" i="5"/>
  <c r="P1442" i="5" s="1"/>
  <c r="N1443" i="5"/>
  <c r="N1442" i="5" s="1"/>
  <c r="M1443" i="5"/>
  <c r="M1442" i="5" s="1"/>
  <c r="P1272" i="5"/>
  <c r="M1272" i="5"/>
  <c r="N1272" i="5"/>
  <c r="L1272" i="5"/>
  <c r="O1272" i="5"/>
  <c r="K1264" i="5"/>
  <c r="K1273" i="5"/>
  <c r="K1686" i="5"/>
  <c r="K1248" i="5"/>
  <c r="M1689" i="5"/>
  <c r="L1689" i="5"/>
  <c r="N1689" i="5"/>
  <c r="O1689" i="5"/>
  <c r="P1689" i="5"/>
  <c r="I26" i="3"/>
  <c r="C71" i="1"/>
  <c r="K992" i="5" s="1"/>
  <c r="F181" i="5"/>
  <c r="P1376" i="5"/>
  <c r="M1376" i="5"/>
  <c r="L1376" i="5"/>
  <c r="N1376" i="5"/>
  <c r="O1376" i="5"/>
  <c r="O1030" i="5"/>
  <c r="M1030" i="5"/>
  <c r="P1030" i="5"/>
  <c r="N1030" i="5"/>
  <c r="L1030" i="5"/>
  <c r="K47" i="5"/>
  <c r="K46" i="5"/>
  <c r="H20" i="3"/>
  <c r="G202" i="5"/>
  <c r="K325" i="5"/>
  <c r="K1112" i="5"/>
  <c r="K971" i="5"/>
  <c r="K861" i="5"/>
  <c r="K1375" i="5"/>
  <c r="K1330" i="5"/>
  <c r="K1143" i="5"/>
  <c r="K1132" i="5"/>
  <c r="K1139" i="5"/>
  <c r="K1117" i="5"/>
  <c r="K1023" i="5"/>
  <c r="K1480" i="5"/>
  <c r="K1385" i="5"/>
  <c r="K1238" i="5"/>
  <c r="K1000" i="5"/>
  <c r="K869" i="5"/>
  <c r="K523" i="5"/>
  <c r="P134" i="5"/>
  <c r="L134" i="5"/>
  <c r="M134" i="5"/>
  <c r="N134" i="5"/>
  <c r="O134" i="5"/>
  <c r="L954" i="5"/>
  <c r="N954" i="5"/>
  <c r="N953" i="5" s="1"/>
  <c r="N2187" i="5" s="1"/>
  <c r="O954" i="5"/>
  <c r="O953" i="5" s="1"/>
  <c r="O2187" i="5" s="1"/>
  <c r="M954" i="5"/>
  <c r="M953" i="5" s="1"/>
  <c r="M2187" i="5" s="1"/>
  <c r="P954" i="5"/>
  <c r="P953" i="5" s="1"/>
  <c r="P2187" i="5" s="1"/>
  <c r="N991" i="5"/>
  <c r="M991" i="5"/>
  <c r="O991" i="5"/>
  <c r="P991" i="5"/>
  <c r="L991" i="5"/>
  <c r="N1377" i="5"/>
  <c r="O1377" i="5"/>
  <c r="M1377" i="5"/>
  <c r="L1377" i="5"/>
  <c r="P1377" i="5"/>
  <c r="O1475" i="5"/>
  <c r="N1475" i="5"/>
  <c r="M1475" i="5"/>
  <c r="P1475" i="5"/>
  <c r="L1475" i="5"/>
  <c r="O967" i="5"/>
  <c r="O966" i="5" s="1"/>
  <c r="O2194" i="5" s="1"/>
  <c r="G2194" i="5" s="1"/>
  <c r="N967" i="5"/>
  <c r="N966" i="5" s="1"/>
  <c r="N2194" i="5" s="1"/>
  <c r="F2194" i="5" s="1"/>
  <c r="L967" i="5"/>
  <c r="M967" i="5"/>
  <c r="M966" i="5" s="1"/>
  <c r="M2194" i="5" s="1"/>
  <c r="E2194" i="5" s="1"/>
  <c r="P967" i="5"/>
  <c r="P966" i="5" s="1"/>
  <c r="P2194" i="5" s="1"/>
  <c r="H2194" i="5" s="1"/>
  <c r="O1036" i="5"/>
  <c r="O1035" i="5" s="1"/>
  <c r="O2222" i="5" s="1"/>
  <c r="G2222" i="5" s="1"/>
  <c r="M1036" i="5"/>
  <c r="M1035" i="5" s="1"/>
  <c r="M2222" i="5" s="1"/>
  <c r="E2222" i="5" s="1"/>
  <c r="N1036" i="5"/>
  <c r="N1035" i="5" s="1"/>
  <c r="N2222" i="5" s="1"/>
  <c r="F2222" i="5" s="1"/>
  <c r="L1036" i="5"/>
  <c r="P1036" i="5"/>
  <c r="P1035" i="5" s="1"/>
  <c r="P2222" i="5" s="1"/>
  <c r="H2222" i="5" s="1"/>
  <c r="I472" i="5"/>
  <c r="O472" i="5"/>
  <c r="F49" i="3"/>
  <c r="F91" i="3"/>
  <c r="G91" i="3" s="1"/>
  <c r="H91" i="3" s="1"/>
  <c r="I91" i="3" s="1"/>
  <c r="J91" i="3" s="1"/>
  <c r="K91" i="3" s="1"/>
  <c r="L91" i="3" s="1"/>
  <c r="M91" i="3" s="1"/>
  <c r="N91" i="3" s="1"/>
  <c r="E849" i="5"/>
  <c r="L26" i="3"/>
  <c r="H26" i="3"/>
  <c r="K1655" i="5"/>
  <c r="K1577" i="5"/>
  <c r="K1568" i="5"/>
  <c r="K1491" i="5"/>
  <c r="K1469" i="5"/>
  <c r="K1430" i="5"/>
  <c r="K772" i="5"/>
  <c r="K760" i="5"/>
  <c r="K747" i="5"/>
  <c r="K324" i="5"/>
  <c r="K1243" i="5"/>
  <c r="K1122" i="5"/>
  <c r="K1097" i="5"/>
  <c r="K1066" i="5"/>
  <c r="K1049" i="5"/>
  <c r="K873" i="5"/>
  <c r="K806" i="5"/>
  <c r="K698" i="5"/>
  <c r="K692" i="5"/>
  <c r="K676" i="5"/>
  <c r="K637" i="5"/>
  <c r="K615" i="5"/>
  <c r="K577" i="5"/>
  <c r="K547" i="5"/>
  <c r="K532" i="5"/>
  <c r="K502" i="5"/>
  <c r="K486" i="5"/>
  <c r="K470" i="5"/>
  <c r="K430" i="5"/>
  <c r="K382" i="5"/>
  <c r="K266" i="5"/>
  <c r="K260" i="5"/>
  <c r="K213" i="5"/>
  <c r="K191" i="5"/>
  <c r="K174" i="5"/>
  <c r="K147" i="5"/>
  <c r="K135" i="5"/>
  <c r="K74" i="5"/>
  <c r="K67" i="5"/>
  <c r="K11" i="5"/>
  <c r="K1389" i="5"/>
  <c r="K1698" i="5"/>
  <c r="K1666" i="5"/>
  <c r="K1650" i="5"/>
  <c r="K1646" i="5"/>
  <c r="K1582" i="5"/>
  <c r="K1565" i="5"/>
  <c r="K1560" i="5"/>
  <c r="K1417" i="5"/>
  <c r="K1368" i="5"/>
  <c r="K756" i="5"/>
  <c r="K315" i="5"/>
  <c r="K1182" i="5"/>
  <c r="K1131" i="5"/>
  <c r="K1034" i="5"/>
  <c r="K963" i="5"/>
  <c r="K892" i="5"/>
  <c r="K879" i="5"/>
  <c r="K826" i="5"/>
  <c r="K811" i="5"/>
  <c r="K722" i="5"/>
  <c r="K629" i="5"/>
  <c r="K612" i="5"/>
  <c r="K606" i="5"/>
  <c r="K582" i="5"/>
  <c r="K562" i="5"/>
  <c r="K499" i="5"/>
  <c r="K439" i="5"/>
  <c r="K426" i="5"/>
  <c r="K371" i="5"/>
  <c r="K171" i="5"/>
  <c r="K31" i="5"/>
  <c r="K1637" i="5"/>
  <c r="K1633" i="5"/>
  <c r="K1629" i="5"/>
  <c r="K1497" i="5"/>
  <c r="K1456" i="5"/>
  <c r="K1410" i="5"/>
  <c r="K1357" i="5"/>
  <c r="K1345" i="5"/>
  <c r="K1335" i="5"/>
  <c r="K310" i="5"/>
  <c r="K1116" i="5"/>
  <c r="K1106" i="5"/>
  <c r="K1022" i="5"/>
  <c r="K912" i="5"/>
  <c r="K905" i="5"/>
  <c r="K853" i="5"/>
  <c r="K816" i="5"/>
  <c r="K712" i="5"/>
  <c r="K668" i="5"/>
  <c r="K567" i="5"/>
  <c r="K496" i="5"/>
  <c r="K452" i="5"/>
  <c r="K444" i="5"/>
  <c r="K436" i="5"/>
  <c r="K422" i="5"/>
  <c r="K376" i="5"/>
  <c r="K229" i="5"/>
  <c r="K59" i="5"/>
  <c r="K1572" i="5"/>
  <c r="K1494" i="5"/>
  <c r="K1403" i="5"/>
  <c r="K1397" i="5"/>
  <c r="K1352" i="5"/>
  <c r="K1322" i="5"/>
  <c r="K1270" i="5"/>
  <c r="K768" i="5"/>
  <c r="K752" i="5"/>
  <c r="K306" i="5"/>
  <c r="K1237" i="5"/>
  <c r="K1153" i="5"/>
  <c r="K1082" i="5"/>
  <c r="K1074" i="5"/>
  <c r="K1042" i="5"/>
  <c r="K1005" i="5"/>
  <c r="K999" i="5"/>
  <c r="K935" i="5"/>
  <c r="K834" i="5"/>
  <c r="K801" i="5"/>
  <c r="K701" i="5"/>
  <c r="K646" i="5"/>
  <c r="K572" i="5"/>
  <c r="K518" i="5"/>
  <c r="K481" i="5"/>
  <c r="K467" i="5"/>
  <c r="K433" i="5"/>
  <c r="K401" i="5"/>
  <c r="K395" i="5"/>
  <c r="K389" i="5"/>
  <c r="K352" i="5"/>
  <c r="K301" i="5"/>
  <c r="K269" i="5"/>
  <c r="K221" i="5"/>
  <c r="K200" i="5"/>
  <c r="K179" i="5"/>
  <c r="K125" i="5"/>
  <c r="K118" i="5"/>
  <c r="K14" i="5"/>
  <c r="C35" i="1"/>
  <c r="K947" i="5"/>
  <c r="M601" i="5"/>
  <c r="M600" i="5" s="1"/>
  <c r="M2001" i="5" s="1"/>
  <c r="L601" i="5"/>
  <c r="O601" i="5"/>
  <c r="O600" i="5" s="1"/>
  <c r="O2001" i="5" s="1"/>
  <c r="P601" i="5"/>
  <c r="P600" i="5" s="1"/>
  <c r="P2001" i="5" s="1"/>
  <c r="N601" i="5"/>
  <c r="N600" i="5" s="1"/>
  <c r="N2001" i="5" s="1"/>
  <c r="L694" i="5"/>
  <c r="K1450" i="5"/>
  <c r="K1370" i="5"/>
  <c r="K1167" i="5"/>
  <c r="K1150" i="5"/>
  <c r="K983" i="5"/>
  <c r="K965" i="5"/>
  <c r="K616" i="5"/>
  <c r="K475" i="5"/>
  <c r="K149" i="5"/>
  <c r="K76" i="5"/>
  <c r="K1669" i="5"/>
  <c r="K1617" i="5"/>
  <c r="K1374" i="5"/>
  <c r="K1055" i="5"/>
  <c r="K1010" i="5"/>
  <c r="K914" i="5"/>
  <c r="K521" i="5"/>
  <c r="K489" i="5"/>
  <c r="K455" i="5"/>
  <c r="K447" i="5"/>
  <c r="K36" i="5"/>
  <c r="K1641" i="5"/>
  <c r="K1424" i="5"/>
  <c r="K1156" i="5"/>
  <c r="K539" i="5"/>
  <c r="K195" i="5"/>
  <c r="K1422" i="5"/>
  <c r="K702" i="5"/>
  <c r="K491" i="5"/>
  <c r="K406" i="5"/>
  <c r="K292" i="5"/>
  <c r="L292" i="5" s="1"/>
  <c r="L291" i="5" s="1"/>
  <c r="L1855" i="5" s="1"/>
  <c r="L566" i="8" s="1"/>
  <c r="K287" i="5"/>
  <c r="K69" i="5"/>
  <c r="O956" i="5"/>
  <c r="O955" i="5" s="1"/>
  <c r="O2188" i="5" s="1"/>
  <c r="G2188" i="5" s="1"/>
  <c r="L956" i="5"/>
  <c r="P956" i="5"/>
  <c r="P955" i="5" s="1"/>
  <c r="P2188" i="5" s="1"/>
  <c r="H2188" i="5" s="1"/>
  <c r="M956" i="5"/>
  <c r="M955" i="5" s="1"/>
  <c r="M2188" i="5" s="1"/>
  <c r="E2188" i="5" s="1"/>
  <c r="N956" i="5"/>
  <c r="N955" i="5" s="1"/>
  <c r="N2188" i="5" s="1"/>
  <c r="F2188" i="5" s="1"/>
  <c r="O992" i="5"/>
  <c r="M992" i="5"/>
  <c r="L992" i="5"/>
  <c r="P992" i="5"/>
  <c r="N992" i="5"/>
  <c r="K1484" i="5"/>
  <c r="K587" i="5"/>
  <c r="K842" i="5"/>
  <c r="K359" i="5"/>
  <c r="K1662" i="5"/>
  <c r="K1677" i="5"/>
  <c r="K1615" i="5"/>
  <c r="K1472" i="5"/>
  <c r="K21" i="5"/>
  <c r="K1465" i="5"/>
  <c r="N162" i="5"/>
  <c r="N161" i="5" s="1"/>
  <c r="N1789" i="5" s="1"/>
  <c r="L162" i="5"/>
  <c r="M162" i="5"/>
  <c r="M161" i="5" s="1"/>
  <c r="M1789" i="5" s="1"/>
  <c r="P162" i="5"/>
  <c r="P161" i="5" s="1"/>
  <c r="P1789" i="5" s="1"/>
  <c r="O162" i="5"/>
  <c r="O161" i="5" s="1"/>
  <c r="O1789" i="5" s="1"/>
  <c r="L974" i="5"/>
  <c r="O974" i="5"/>
  <c r="O972" i="5" s="1"/>
  <c r="O2197" i="5" s="1"/>
  <c r="G2197" i="5" s="1"/>
  <c r="P974" i="5"/>
  <c r="P972" i="5" s="1"/>
  <c r="P2197" i="5" s="1"/>
  <c r="H2197" i="5" s="1"/>
  <c r="N974" i="5"/>
  <c r="N972" i="5" s="1"/>
  <c r="N2197" i="5" s="1"/>
  <c r="F2197" i="5" s="1"/>
  <c r="M974" i="5"/>
  <c r="M972" i="5" s="1"/>
  <c r="M2197" i="5" s="1"/>
  <c r="E2197" i="5" s="1"/>
  <c r="P1093" i="5"/>
  <c r="N1093" i="5"/>
  <c r="M1093" i="5"/>
  <c r="O1093" i="5"/>
  <c r="L1093" i="5"/>
  <c r="K1252" i="5"/>
  <c r="K393" i="5"/>
  <c r="K362" i="5"/>
  <c r="K43" i="5"/>
  <c r="K1136" i="5"/>
  <c r="K1521" i="5"/>
  <c r="K1250" i="5"/>
  <c r="K595" i="5"/>
  <c r="K1622" i="5"/>
  <c r="K387" i="5"/>
  <c r="K95" i="5"/>
  <c r="J35" i="3"/>
  <c r="G26" i="3"/>
  <c r="O522" i="5"/>
  <c r="M522" i="5"/>
  <c r="P522" i="5"/>
  <c r="L522" i="5"/>
  <c r="N522" i="5"/>
  <c r="K990" i="5"/>
  <c r="K327" i="5"/>
  <c r="O940" i="5"/>
  <c r="O939" i="5" s="1"/>
  <c r="O2178" i="5" s="1"/>
  <c r="O618" i="8" s="1"/>
  <c r="N940" i="5"/>
  <c r="N939" i="5" s="1"/>
  <c r="N2178" i="5" s="1"/>
  <c r="N618" i="8" s="1"/>
  <c r="L940" i="5"/>
  <c r="M940" i="5"/>
  <c r="M939" i="5" s="1"/>
  <c r="M2178" i="5" s="1"/>
  <c r="M618" i="8" s="1"/>
  <c r="P940" i="5"/>
  <c r="P939" i="5" s="1"/>
  <c r="P2178" i="5" s="1"/>
  <c r="P618" i="8" s="1"/>
  <c r="F12" i="3"/>
  <c r="E69" i="5"/>
  <c r="E54" i="5"/>
  <c r="G914" i="5"/>
  <c r="I914" i="5" s="1"/>
  <c r="K1654" i="5"/>
  <c r="K1586" i="5"/>
  <c r="K1507" i="5"/>
  <c r="K1429" i="5"/>
  <c r="K1420" i="5"/>
  <c r="K1381" i="5"/>
  <c r="K1177" i="5"/>
  <c r="K1135" i="5"/>
  <c r="K1121" i="5"/>
  <c r="K1111" i="5"/>
  <c r="K867" i="5"/>
  <c r="K860" i="5"/>
  <c r="K697" i="5"/>
  <c r="K614" i="5"/>
  <c r="K546" i="5"/>
  <c r="K513" i="5"/>
  <c r="K501" i="5"/>
  <c r="K485" i="5"/>
  <c r="K429" i="5"/>
  <c r="K398" i="5"/>
  <c r="K296" i="5"/>
  <c r="K254" i="5"/>
  <c r="K248" i="5"/>
  <c r="K242" i="5"/>
  <c r="K236" i="5"/>
  <c r="K190" i="5"/>
  <c r="K73" i="5"/>
  <c r="K66" i="5"/>
  <c r="K1649" i="5"/>
  <c r="K1645" i="5"/>
  <c r="K1611" i="5"/>
  <c r="K1581" i="5"/>
  <c r="K1564" i="5"/>
  <c r="K1534" i="5"/>
  <c r="K1511" i="5"/>
  <c r="K1416" i="5"/>
  <c r="K319" i="5"/>
  <c r="K1181" i="5"/>
  <c r="K1142" i="5"/>
  <c r="K988" i="5"/>
  <c r="K945" i="5"/>
  <c r="K611" i="5"/>
  <c r="K498" i="5"/>
  <c r="K438" i="5"/>
  <c r="K425" i="5"/>
  <c r="K283" i="5"/>
  <c r="K154" i="5"/>
  <c r="K1598" i="5"/>
  <c r="K1556" i="5"/>
  <c r="K1455" i="5"/>
  <c r="K1409" i="5"/>
  <c r="K1344" i="5"/>
  <c r="K1334" i="5"/>
  <c r="K1325" i="5"/>
  <c r="K1195" i="5"/>
  <c r="K1105" i="5"/>
  <c r="K980" i="5"/>
  <c r="K738" i="5"/>
  <c r="K495" i="5"/>
  <c r="K451" i="5"/>
  <c r="K443" i="5"/>
  <c r="K435" i="5"/>
  <c r="K421" i="5"/>
  <c r="K411" i="5"/>
  <c r="K58" i="5"/>
  <c r="K35" i="5"/>
  <c r="K1541" i="5"/>
  <c r="K1353" i="5"/>
  <c r="K1321" i="5"/>
  <c r="K1313" i="5"/>
  <c r="K1138" i="5"/>
  <c r="K1004" i="5"/>
  <c r="K998" i="5"/>
  <c r="K833" i="5"/>
  <c r="K700" i="5"/>
  <c r="K480" i="5"/>
  <c r="K432" i="5"/>
  <c r="K351" i="5"/>
  <c r="K277" i="5"/>
  <c r="K199" i="5"/>
  <c r="K13" i="5"/>
  <c r="K1575" i="5"/>
  <c r="K1567" i="5"/>
  <c r="K1515" i="5"/>
  <c r="K1489" i="5"/>
  <c r="K1428" i="5"/>
  <c r="K1379" i="5"/>
  <c r="K758" i="5"/>
  <c r="K745" i="5"/>
  <c r="K322" i="5"/>
  <c r="K1241" i="5"/>
  <c r="K1134" i="5"/>
  <c r="K1109" i="5"/>
  <c r="K1064" i="5"/>
  <c r="K1048" i="5"/>
  <c r="K1028" i="5"/>
  <c r="K970" i="5"/>
  <c r="K872" i="5"/>
  <c r="K866" i="5"/>
  <c r="K859" i="5"/>
  <c r="K804" i="5"/>
  <c r="K674" i="5"/>
  <c r="K575" i="5"/>
  <c r="K380" i="5"/>
  <c r="K72" i="5"/>
  <c r="K65" i="5"/>
  <c r="K1563" i="5"/>
  <c r="K1559" i="5"/>
  <c r="K1533" i="5"/>
  <c r="K1415" i="5"/>
  <c r="K1373" i="5"/>
  <c r="K317" i="5"/>
  <c r="K313" i="5"/>
  <c r="K1180" i="5"/>
  <c r="K1129" i="5"/>
  <c r="K1033" i="5"/>
  <c r="K986" i="5"/>
  <c r="K877" i="5"/>
  <c r="K809" i="5"/>
  <c r="K580" i="5"/>
  <c r="K560" i="5"/>
  <c r="K132" i="5"/>
  <c r="K116" i="5"/>
  <c r="K29" i="5"/>
  <c r="K1635" i="5"/>
  <c r="K1631" i="5"/>
  <c r="K1627" i="5"/>
  <c r="K1543" i="5"/>
  <c r="K1454" i="5"/>
  <c r="K1408" i="5"/>
  <c r="K1355" i="5"/>
  <c r="K308" i="5"/>
  <c r="K1193" i="5"/>
  <c r="K1103" i="5"/>
  <c r="K1021" i="5"/>
  <c r="K1002" i="5"/>
  <c r="K978" i="5"/>
  <c r="K903" i="5"/>
  <c r="K852" i="5"/>
  <c r="K814" i="5"/>
  <c r="K711" i="5"/>
  <c r="K565" i="5"/>
  <c r="K374" i="5"/>
  <c r="K145" i="5"/>
  <c r="K57" i="5"/>
  <c r="K1540" i="5"/>
  <c r="K1493" i="5"/>
  <c r="K1395" i="5"/>
  <c r="K1350" i="5"/>
  <c r="K750" i="5"/>
  <c r="K1235" i="5"/>
  <c r="K1152" i="5"/>
  <c r="K1080" i="5"/>
  <c r="K1072" i="5"/>
  <c r="K1041" i="5"/>
  <c r="K996" i="5"/>
  <c r="K933" i="5"/>
  <c r="K832" i="5"/>
  <c r="K799" i="5"/>
  <c r="K570" i="5"/>
  <c r="K1269" i="5"/>
  <c r="K1155" i="5"/>
  <c r="K1483" i="5"/>
  <c r="K1474" i="5"/>
  <c r="K1380" i="5"/>
  <c r="K1304" i="5"/>
  <c r="K1185" i="5"/>
  <c r="K1125" i="5"/>
  <c r="K638" i="5"/>
  <c r="K1668" i="5"/>
  <c r="K1528" i="5"/>
  <c r="K1525" i="5"/>
  <c r="K1499" i="5"/>
  <c r="K1164" i="5"/>
  <c r="K1026" i="5"/>
  <c r="K893" i="5"/>
  <c r="K841" i="5"/>
  <c r="K740" i="5"/>
  <c r="K723" i="5"/>
  <c r="K505" i="5"/>
  <c r="K454" i="5"/>
  <c r="K446" i="5"/>
  <c r="K358" i="5"/>
  <c r="K225" i="5"/>
  <c r="K20" i="5"/>
  <c r="K1661" i="5"/>
  <c r="K1640" i="5"/>
  <c r="K1471" i="5"/>
  <c r="K1308" i="5"/>
  <c r="K1300" i="5"/>
  <c r="K345" i="5"/>
  <c r="L345" i="5" s="1"/>
  <c r="L344" i="5" s="1"/>
  <c r="L1882" i="5" s="1"/>
  <c r="K289" i="5"/>
  <c r="K217" i="5"/>
  <c r="K1673" i="5"/>
  <c r="K1547" i="5"/>
  <c r="K1518" i="5"/>
  <c r="K1486" i="5"/>
  <c r="K1464" i="5"/>
  <c r="K1338" i="5"/>
  <c r="K648" i="5"/>
  <c r="K415" i="5"/>
  <c r="K270" i="5"/>
  <c r="K209" i="5"/>
  <c r="K127" i="5"/>
  <c r="K119" i="5"/>
  <c r="O907" i="5"/>
  <c r="M907" i="5"/>
  <c r="P907" i="5"/>
  <c r="L907" i="5"/>
  <c r="N907" i="5"/>
  <c r="M793" i="5"/>
  <c r="M792" i="5" s="1"/>
  <c r="M2102" i="5" s="1"/>
  <c r="L793" i="5"/>
  <c r="K1459" i="5"/>
  <c r="K836" i="5"/>
  <c r="L845" i="5"/>
  <c r="M845" i="5"/>
  <c r="M844" i="5" s="1"/>
  <c r="M2126" i="5" s="1"/>
  <c r="M577" i="8" s="1"/>
  <c r="M668" i="8" s="1"/>
  <c r="N845" i="5"/>
  <c r="N844" i="5" s="1"/>
  <c r="N2126" i="5" s="1"/>
  <c r="N577" i="8" s="1"/>
  <c r="N668" i="8" s="1"/>
  <c r="O845" i="5"/>
  <c r="O844" i="5" s="1"/>
  <c r="O2126" i="5" s="1"/>
  <c r="O577" i="8" s="1"/>
  <c r="O668" i="8" s="1"/>
  <c r="P845" i="5"/>
  <c r="P844" i="5" s="1"/>
  <c r="P2126" i="5" s="1"/>
  <c r="P577" i="8" s="1"/>
  <c r="P668" i="8" s="1"/>
  <c r="O1014" i="5"/>
  <c r="O1012" i="5" s="1"/>
  <c r="O2212" i="5" s="1"/>
  <c r="O609" i="8" s="1"/>
  <c r="P1014" i="5"/>
  <c r="P1012" i="5" s="1"/>
  <c r="P2212" i="5" s="1"/>
  <c r="P609" i="8" s="1"/>
  <c r="L1014" i="5"/>
  <c r="N1014" i="5"/>
  <c r="N1012" i="5" s="1"/>
  <c r="N2212" i="5" s="1"/>
  <c r="N609" i="8" s="1"/>
  <c r="M1014" i="5"/>
  <c r="M1012" i="5" s="1"/>
  <c r="M2212" i="5" s="1"/>
  <c r="M609" i="8" s="1"/>
  <c r="L1092" i="5"/>
  <c r="M1092" i="5"/>
  <c r="O1092" i="5"/>
  <c r="N1092" i="5"/>
  <c r="P1092" i="5"/>
  <c r="K394" i="5"/>
  <c r="K96" i="5"/>
  <c r="K44" i="5"/>
  <c r="K1190" i="5"/>
  <c r="K596" i="5"/>
  <c r="K104" i="5"/>
  <c r="K1522" i="5"/>
  <c r="K363" i="5"/>
  <c r="K1623" i="5"/>
  <c r="K1595" i="5"/>
  <c r="K388" i="5"/>
  <c r="K35" i="3"/>
  <c r="E50" i="3"/>
  <c r="F90" i="3"/>
  <c r="N26" i="3"/>
  <c r="J26" i="3"/>
  <c r="M112" i="5"/>
  <c r="M111" i="5" s="1"/>
  <c r="M1766" i="5" s="1"/>
  <c r="M564" i="8" s="1"/>
  <c r="L112" i="5"/>
  <c r="O112" i="5"/>
  <c r="O111" i="5" s="1"/>
  <c r="O1766" i="5" s="1"/>
  <c r="O564" i="8" s="1"/>
  <c r="N112" i="5"/>
  <c r="N111" i="5" s="1"/>
  <c r="N1766" i="5" s="1"/>
  <c r="N564" i="8" s="1"/>
  <c r="P112" i="5"/>
  <c r="P111" i="5" s="1"/>
  <c r="P1766" i="5" s="1"/>
  <c r="P564" i="8" s="1"/>
  <c r="F272" i="5"/>
  <c r="F292" i="5"/>
  <c r="F262" i="5"/>
  <c r="C27" i="1"/>
  <c r="C32" i="1" s="1"/>
  <c r="C59" i="1"/>
  <c r="K908" i="5" s="1"/>
  <c r="C9" i="1"/>
  <c r="F17" i="3"/>
  <c r="E70" i="3"/>
  <c r="E741" i="5" s="1"/>
  <c r="F52" i="3"/>
  <c r="F54" i="3" s="1"/>
  <c r="G58" i="3"/>
  <c r="E100" i="3"/>
  <c r="E886" i="5" s="1"/>
  <c r="K44" i="3"/>
  <c r="K46" i="3" s="1"/>
  <c r="G460" i="5" s="1"/>
  <c r="E71" i="3"/>
  <c r="E82" i="3" s="1"/>
  <c r="E83" i="3" s="1"/>
  <c r="F60" i="3"/>
  <c r="G114" i="3"/>
  <c r="H114" i="3" s="1"/>
  <c r="I114" i="3" s="1"/>
  <c r="J114" i="3" s="1"/>
  <c r="K114" i="3" s="1"/>
  <c r="L114" i="3" s="1"/>
  <c r="M114" i="3" s="1"/>
  <c r="N114" i="3" s="1"/>
  <c r="E15" i="3"/>
  <c r="E649" i="5" s="1"/>
  <c r="E93" i="3"/>
  <c r="Q1689" i="5" l="1"/>
  <c r="M1248" i="5"/>
  <c r="M1246" i="5" s="1"/>
  <c r="L1248" i="5"/>
  <c r="P1248" i="5"/>
  <c r="P1246" i="5" s="1"/>
  <c r="N1248" i="5"/>
  <c r="N1246" i="5" s="1"/>
  <c r="O1248" i="5"/>
  <c r="O1246" i="5" s="1"/>
  <c r="O1362" i="5"/>
  <c r="L1362" i="5"/>
  <c r="M1362" i="5"/>
  <c r="P1362" i="5"/>
  <c r="N1362" i="5"/>
  <c r="P1285" i="5"/>
  <c r="O1285" i="5"/>
  <c r="N1285" i="5"/>
  <c r="M1285" i="5"/>
  <c r="L1285" i="5"/>
  <c r="L1439" i="5"/>
  <c r="Q1440" i="5"/>
  <c r="Q1439" i="5" s="1"/>
  <c r="M1447" i="5"/>
  <c r="L1447" i="5"/>
  <c r="P1447" i="5"/>
  <c r="N1447" i="5"/>
  <c r="O1447" i="5"/>
  <c r="M1288" i="5"/>
  <c r="O1288" i="5"/>
  <c r="P1288" i="5"/>
  <c r="N1288" i="5"/>
  <c r="L1288" i="5"/>
  <c r="M1256" i="5"/>
  <c r="O1256" i="5"/>
  <c r="L1256" i="5"/>
  <c r="N1256" i="5"/>
  <c r="P1256" i="5"/>
  <c r="M1686" i="5"/>
  <c r="L1686" i="5"/>
  <c r="N1686" i="5"/>
  <c r="O1686" i="5"/>
  <c r="P1686" i="5"/>
  <c r="Q1272" i="5"/>
  <c r="L1442" i="5"/>
  <c r="Q1443" i="5"/>
  <c r="Q1442" i="5" s="1"/>
  <c r="M1690" i="5"/>
  <c r="L1690" i="5"/>
  <c r="O1690" i="5"/>
  <c r="N1690" i="5"/>
  <c r="P1690" i="5"/>
  <c r="N1291" i="5"/>
  <c r="L1291" i="5"/>
  <c r="P1291" i="5"/>
  <c r="O1291" i="5"/>
  <c r="M1291" i="5"/>
  <c r="O1279" i="5"/>
  <c r="P1279" i="5"/>
  <c r="M1279" i="5"/>
  <c r="L1279" i="5"/>
  <c r="N1279" i="5"/>
  <c r="P1257" i="5"/>
  <c r="L1257" i="5"/>
  <c r="O1257" i="5"/>
  <c r="M1257" i="5"/>
  <c r="M1255" i="5" s="1"/>
  <c r="M2323" i="5" s="1"/>
  <c r="N1257" i="5"/>
  <c r="O1277" i="5"/>
  <c r="L1277" i="5"/>
  <c r="M1277" i="5"/>
  <c r="N1277" i="5"/>
  <c r="P1277" i="5"/>
  <c r="M1262" i="5"/>
  <c r="L1262" i="5"/>
  <c r="P1262" i="5"/>
  <c r="O1262" i="5"/>
  <c r="N1262" i="5"/>
  <c r="M1273" i="5"/>
  <c r="N1273" i="5"/>
  <c r="O1273" i="5"/>
  <c r="O1271" i="5" s="1"/>
  <c r="O2330" i="5" s="1"/>
  <c r="G2330" i="5" s="1"/>
  <c r="L1273" i="5"/>
  <c r="L1271" i="5" s="1"/>
  <c r="L2330" i="5" s="1"/>
  <c r="D2330" i="5" s="1"/>
  <c r="P1273" i="5"/>
  <c r="P1271" i="5" s="1"/>
  <c r="P2330" i="5" s="1"/>
  <c r="H2330" i="5" s="1"/>
  <c r="N1271" i="5"/>
  <c r="N2330" i="5" s="1"/>
  <c r="F2330" i="5" s="1"/>
  <c r="M1295" i="5"/>
  <c r="M1293" i="5" s="1"/>
  <c r="M2337" i="5" s="1"/>
  <c r="N1295" i="5"/>
  <c r="N1293" i="5" s="1"/>
  <c r="N2337" i="5" s="1"/>
  <c r="L1295" i="5"/>
  <c r="O1295" i="5"/>
  <c r="O1293" i="5" s="1"/>
  <c r="O2337" i="5" s="1"/>
  <c r="P1295" i="5"/>
  <c r="P1293" i="5" s="1"/>
  <c r="P2337" i="5" s="1"/>
  <c r="M1290" i="5"/>
  <c r="P1290" i="5"/>
  <c r="O1290" i="5"/>
  <c r="N1290" i="5"/>
  <c r="L1290" i="5"/>
  <c r="M1363" i="5"/>
  <c r="P1363" i="5"/>
  <c r="N1363" i="5"/>
  <c r="L1363" i="5"/>
  <c r="O1363" i="5"/>
  <c r="N1446" i="5"/>
  <c r="P1446" i="5"/>
  <c r="P1445" i="5" s="1"/>
  <c r="M1446" i="5"/>
  <c r="L1446" i="5"/>
  <c r="O1446" i="5"/>
  <c r="P1361" i="5"/>
  <c r="P1359" i="5" s="1"/>
  <c r="P2366" i="5" s="1"/>
  <c r="M1361" i="5"/>
  <c r="N1361" i="5"/>
  <c r="O1361" i="5"/>
  <c r="L1361" i="5"/>
  <c r="M1264" i="5"/>
  <c r="N1264" i="5"/>
  <c r="L1264" i="5"/>
  <c r="P1264" i="5"/>
  <c r="O1264" i="5"/>
  <c r="M1271" i="5"/>
  <c r="M2330" i="5" s="1"/>
  <c r="E2330" i="5" s="1"/>
  <c r="N1435" i="5"/>
  <c r="N1433" i="5" s="1"/>
  <c r="M1435" i="5"/>
  <c r="M1433" i="5" s="1"/>
  <c r="L1435" i="5"/>
  <c r="O1435" i="5"/>
  <c r="O1433" i="5" s="1"/>
  <c r="P1435" i="5"/>
  <c r="P1433" i="5" s="1"/>
  <c r="O1280" i="5"/>
  <c r="L1280" i="5"/>
  <c r="N1280" i="5"/>
  <c r="P1280" i="5"/>
  <c r="M1280" i="5"/>
  <c r="P1284" i="5"/>
  <c r="M1284" i="5"/>
  <c r="L1284" i="5"/>
  <c r="O1284" i="5"/>
  <c r="N1284" i="5"/>
  <c r="N1282" i="5"/>
  <c r="N1281" i="5" s="1"/>
  <c r="N2333" i="5" s="1"/>
  <c r="F2333" i="5" s="1"/>
  <c r="O1282" i="5"/>
  <c r="M1282" i="5"/>
  <c r="P1282" i="5"/>
  <c r="L1282" i="5"/>
  <c r="M1684" i="5"/>
  <c r="O1684" i="5"/>
  <c r="P1684" i="5"/>
  <c r="N1684" i="5"/>
  <c r="N1683" i="5" s="1"/>
  <c r="N2509" i="5" s="1"/>
  <c r="L1684" i="5"/>
  <c r="O1693" i="5"/>
  <c r="O1692" i="5" s="1"/>
  <c r="O2511" i="5" s="1"/>
  <c r="N1693" i="5"/>
  <c r="N1692" i="5" s="1"/>
  <c r="N2511" i="5" s="1"/>
  <c r="L1693" i="5"/>
  <c r="L1692" i="5" s="1"/>
  <c r="L2511" i="5" s="1"/>
  <c r="M1693" i="5"/>
  <c r="M1692" i="5" s="1"/>
  <c r="M2511" i="5" s="1"/>
  <c r="P1693" i="5"/>
  <c r="L1091" i="5"/>
  <c r="L2249" i="5" s="1"/>
  <c r="L617" i="8" s="1"/>
  <c r="N1091" i="5"/>
  <c r="N2249" i="5" s="1"/>
  <c r="N617" i="8" s="1"/>
  <c r="O1091" i="5"/>
  <c r="O2249" i="5" s="1"/>
  <c r="O617" i="8" s="1"/>
  <c r="M1091" i="5"/>
  <c r="M2249" i="5" s="1"/>
  <c r="M617" i="8" s="1"/>
  <c r="P1091" i="5"/>
  <c r="P2249" i="5" s="1"/>
  <c r="P617" i="8" s="1"/>
  <c r="J914" i="5"/>
  <c r="Q1377" i="5"/>
  <c r="Q991" i="5"/>
  <c r="Q1030" i="5"/>
  <c r="Q1093" i="5"/>
  <c r="Q992" i="5"/>
  <c r="O908" i="5"/>
  <c r="O906" i="5" s="1"/>
  <c r="O2159" i="5" s="1"/>
  <c r="G2159" i="5" s="1"/>
  <c r="N908" i="5"/>
  <c r="N906" i="5" s="1"/>
  <c r="N2159" i="5" s="1"/>
  <c r="F2159" i="5" s="1"/>
  <c r="M908" i="5"/>
  <c r="M906" i="5" s="1"/>
  <c r="M2159" i="5" s="1"/>
  <c r="E2159" i="5" s="1"/>
  <c r="L908" i="5"/>
  <c r="P908" i="5"/>
  <c r="P906" i="5" s="1"/>
  <c r="P2159" i="5" s="1"/>
  <c r="H2159" i="5" s="1"/>
  <c r="F102" i="3"/>
  <c r="F93" i="3"/>
  <c r="G90" i="3"/>
  <c r="P96" i="5"/>
  <c r="M96" i="5"/>
  <c r="N96" i="5"/>
  <c r="O96" i="5"/>
  <c r="L96" i="5"/>
  <c r="H2126" i="5"/>
  <c r="P2125" i="5"/>
  <c r="P193" i="8" s="1"/>
  <c r="P270" i="5"/>
  <c r="M270" i="5"/>
  <c r="N270" i="5"/>
  <c r="O270" i="5"/>
  <c r="L270" i="5"/>
  <c r="O1300" i="5"/>
  <c r="O1298" i="5" s="1"/>
  <c r="O2340" i="5" s="1"/>
  <c r="O645" i="8" s="1"/>
  <c r="P1300" i="5"/>
  <c r="P1298" i="5" s="1"/>
  <c r="P2340" i="5" s="1"/>
  <c r="P645" i="8" s="1"/>
  <c r="L1300" i="5"/>
  <c r="N1300" i="5"/>
  <c r="N1298" i="5" s="1"/>
  <c r="N2340" i="5" s="1"/>
  <c r="N645" i="8" s="1"/>
  <c r="M1300" i="5"/>
  <c r="M1298" i="5" s="1"/>
  <c r="M2340" i="5" s="1"/>
  <c r="M645" i="8" s="1"/>
  <c r="M740" i="5"/>
  <c r="O740" i="5"/>
  <c r="L740" i="5"/>
  <c r="N740" i="5"/>
  <c r="P740" i="5"/>
  <c r="P1668" i="5"/>
  <c r="M1668" i="5"/>
  <c r="O1668" i="5"/>
  <c r="L1668" i="5"/>
  <c r="N1668" i="5"/>
  <c r="N832" i="5"/>
  <c r="M832" i="5"/>
  <c r="O832" i="5"/>
  <c r="L832" i="5"/>
  <c r="P832" i="5"/>
  <c r="P1493" i="5"/>
  <c r="M1493" i="5"/>
  <c r="N1493" i="5"/>
  <c r="O1493" i="5"/>
  <c r="L1493" i="5"/>
  <c r="O1021" i="5"/>
  <c r="P1021" i="5"/>
  <c r="L1021" i="5"/>
  <c r="N1021" i="5"/>
  <c r="M1021" i="5"/>
  <c r="P1627" i="5"/>
  <c r="L1627" i="5"/>
  <c r="M1627" i="5"/>
  <c r="O1627" i="5"/>
  <c r="N1627" i="5"/>
  <c r="O1129" i="5"/>
  <c r="P1129" i="5"/>
  <c r="M1129" i="5"/>
  <c r="L1129" i="5"/>
  <c r="N1129" i="5"/>
  <c r="O1563" i="5"/>
  <c r="M1563" i="5"/>
  <c r="P1563" i="5"/>
  <c r="L1563" i="5"/>
  <c r="N1563" i="5"/>
  <c r="O1048" i="5"/>
  <c r="N1048" i="5"/>
  <c r="M1048" i="5"/>
  <c r="P1048" i="5"/>
  <c r="L1048" i="5"/>
  <c r="L1379" i="5"/>
  <c r="M1379" i="5"/>
  <c r="O1379" i="5"/>
  <c r="N1379" i="5"/>
  <c r="P1379" i="5"/>
  <c r="N480" i="5"/>
  <c r="O480" i="5"/>
  <c r="L480" i="5"/>
  <c r="P480" i="5"/>
  <c r="M480" i="5"/>
  <c r="P35" i="5"/>
  <c r="N35" i="5"/>
  <c r="M35" i="5"/>
  <c r="O35" i="5"/>
  <c r="L35" i="5"/>
  <c r="O1325" i="5"/>
  <c r="O1323" i="5" s="1"/>
  <c r="O2350" i="5" s="1"/>
  <c r="M1325" i="5"/>
  <c r="M1323" i="5" s="1"/>
  <c r="M2350" i="5" s="1"/>
  <c r="P1325" i="5"/>
  <c r="P1323" i="5" s="1"/>
  <c r="P2350" i="5" s="1"/>
  <c r="L1325" i="5"/>
  <c r="N1325" i="5"/>
  <c r="N1323" i="5" s="1"/>
  <c r="N2350" i="5" s="1"/>
  <c r="L283" i="5"/>
  <c r="P283" i="5"/>
  <c r="P281" i="5" s="1"/>
  <c r="P1850" i="5" s="1"/>
  <c r="N283" i="5"/>
  <c r="N281" i="5" s="1"/>
  <c r="N1850" i="5" s="1"/>
  <c r="O283" i="5"/>
  <c r="O281" i="5" s="1"/>
  <c r="O1850" i="5" s="1"/>
  <c r="M283" i="5"/>
  <c r="M281" i="5" s="1"/>
  <c r="M1850" i="5" s="1"/>
  <c r="O1181" i="5"/>
  <c r="M1181" i="5"/>
  <c r="P1181" i="5"/>
  <c r="N1181" i="5"/>
  <c r="L1181" i="5"/>
  <c r="L190" i="5"/>
  <c r="N190" i="5"/>
  <c r="M190" i="5"/>
  <c r="O190" i="5"/>
  <c r="P190" i="5"/>
  <c r="O614" i="5"/>
  <c r="N614" i="5"/>
  <c r="L614" i="5"/>
  <c r="P614" i="5"/>
  <c r="M614" i="5"/>
  <c r="P1586" i="5"/>
  <c r="P1584" i="5" s="1"/>
  <c r="P2466" i="5" s="1"/>
  <c r="O1586" i="5"/>
  <c r="O1584" i="5" s="1"/>
  <c r="O2466" i="5" s="1"/>
  <c r="L1586" i="5"/>
  <c r="M1586" i="5"/>
  <c r="M1584" i="5" s="1"/>
  <c r="M2466" i="5" s="1"/>
  <c r="N1586" i="5"/>
  <c r="N1584" i="5" s="1"/>
  <c r="N2466" i="5" s="1"/>
  <c r="L54" i="5"/>
  <c r="E1789" i="5"/>
  <c r="M1787" i="5"/>
  <c r="M44" i="8" s="1"/>
  <c r="P539" i="5"/>
  <c r="P538" i="5" s="1"/>
  <c r="P1972" i="5" s="1"/>
  <c r="P580" i="8" s="1"/>
  <c r="L539" i="5"/>
  <c r="O539" i="5"/>
  <c r="O538" i="5" s="1"/>
  <c r="O1972" i="5" s="1"/>
  <c r="O580" i="8" s="1"/>
  <c r="N539" i="5"/>
  <c r="N538" i="5" s="1"/>
  <c r="N1972" i="5" s="1"/>
  <c r="N580" i="8" s="1"/>
  <c r="M539" i="5"/>
  <c r="M538" i="5" s="1"/>
  <c r="M1972" i="5" s="1"/>
  <c r="M580" i="8" s="1"/>
  <c r="O2318" i="5"/>
  <c r="N2318" i="5"/>
  <c r="P2318" i="5"/>
  <c r="M2318" i="5"/>
  <c r="L1167" i="5"/>
  <c r="N1167" i="5"/>
  <c r="N1166" i="5" s="1"/>
  <c r="N2276" i="5" s="1"/>
  <c r="F2276" i="5" s="1"/>
  <c r="P1167" i="5"/>
  <c r="P1166" i="5" s="1"/>
  <c r="P2276" i="5" s="1"/>
  <c r="H2276" i="5" s="1"/>
  <c r="M1167" i="5"/>
  <c r="M1166" i="5" s="1"/>
  <c r="M2276" i="5" s="1"/>
  <c r="E2276" i="5" s="1"/>
  <c r="O1167" i="5"/>
  <c r="O1166" i="5" s="1"/>
  <c r="O2276" i="5" s="1"/>
  <c r="G2276" i="5" s="1"/>
  <c r="P14" i="5"/>
  <c r="L14" i="5"/>
  <c r="N14" i="5"/>
  <c r="M14" i="5"/>
  <c r="O14" i="5"/>
  <c r="P433" i="5"/>
  <c r="O433" i="5"/>
  <c r="L433" i="5"/>
  <c r="M433" i="5"/>
  <c r="N433" i="5"/>
  <c r="L834" i="5"/>
  <c r="O834" i="5"/>
  <c r="N834" i="5"/>
  <c r="P834" i="5"/>
  <c r="M834" i="5"/>
  <c r="L1270" i="5"/>
  <c r="O1270" i="5"/>
  <c r="N1270" i="5"/>
  <c r="M1270" i="5"/>
  <c r="P1270" i="5"/>
  <c r="P436" i="5"/>
  <c r="N436" i="5"/>
  <c r="M436" i="5"/>
  <c r="L436" i="5"/>
  <c r="O436" i="5"/>
  <c r="P1106" i="5"/>
  <c r="M1106" i="5"/>
  <c r="N1106" i="5"/>
  <c r="O1106" i="5"/>
  <c r="L1106" i="5"/>
  <c r="M31" i="5"/>
  <c r="P31" i="5"/>
  <c r="L31" i="5"/>
  <c r="N31" i="5"/>
  <c r="O31" i="5"/>
  <c r="M811" i="5"/>
  <c r="O811" i="5"/>
  <c r="P811" i="5"/>
  <c r="N811" i="5"/>
  <c r="L811" i="5"/>
  <c r="O1560" i="5"/>
  <c r="N1560" i="5"/>
  <c r="L1560" i="5"/>
  <c r="P1560" i="5"/>
  <c r="M1560" i="5"/>
  <c r="P147" i="5"/>
  <c r="O147" i="5"/>
  <c r="L147" i="5"/>
  <c r="M147" i="5"/>
  <c r="N147" i="5"/>
  <c r="O547" i="5"/>
  <c r="N547" i="5"/>
  <c r="P547" i="5"/>
  <c r="L547" i="5"/>
  <c r="M547" i="5"/>
  <c r="P760" i="5"/>
  <c r="N760" i="5"/>
  <c r="O760" i="5"/>
  <c r="M760" i="5"/>
  <c r="L760" i="5"/>
  <c r="F2187" i="5"/>
  <c r="N2186" i="5"/>
  <c r="N223" i="8" s="1"/>
  <c r="O869" i="5"/>
  <c r="O868" i="5" s="1"/>
  <c r="O2139" i="5" s="1"/>
  <c r="G2139" i="5" s="1"/>
  <c r="L869" i="5"/>
  <c r="P869" i="5"/>
  <c r="P868" i="5" s="1"/>
  <c r="P2139" i="5" s="1"/>
  <c r="H2139" i="5" s="1"/>
  <c r="N869" i="5"/>
  <c r="N868" i="5" s="1"/>
  <c r="N2139" i="5" s="1"/>
  <c r="F2139" i="5" s="1"/>
  <c r="M869" i="5"/>
  <c r="M868" i="5" s="1"/>
  <c r="M2139" i="5" s="1"/>
  <c r="E2139" i="5" s="1"/>
  <c r="N1132" i="5"/>
  <c r="L1132" i="5"/>
  <c r="O1132" i="5"/>
  <c r="M1132" i="5"/>
  <c r="P1132" i="5"/>
  <c r="N202" i="5"/>
  <c r="H460" i="5"/>
  <c r="N460" i="5"/>
  <c r="L741" i="5"/>
  <c r="F741" i="5"/>
  <c r="N1623" i="5"/>
  <c r="P1623" i="5"/>
  <c r="L1623" i="5"/>
  <c r="M1623" i="5"/>
  <c r="O1623" i="5"/>
  <c r="M596" i="5"/>
  <c r="L596" i="5"/>
  <c r="P596" i="5"/>
  <c r="O596" i="5"/>
  <c r="N596" i="5"/>
  <c r="P394" i="5"/>
  <c r="N394" i="5"/>
  <c r="L394" i="5"/>
  <c r="M394" i="5"/>
  <c r="O394" i="5"/>
  <c r="Q1014" i="5"/>
  <c r="Q1012" i="5" s="1"/>
  <c r="Q2212" i="5" s="1"/>
  <c r="Q609" i="8" s="1"/>
  <c r="L1012" i="5"/>
  <c r="L2212" i="5" s="1"/>
  <c r="L609" i="8" s="1"/>
  <c r="G2126" i="5"/>
  <c r="O2125" i="5"/>
  <c r="O193" i="8" s="1"/>
  <c r="P836" i="5"/>
  <c r="P835" i="5" s="1"/>
  <c r="P2123" i="5" s="1"/>
  <c r="H2123" i="5" s="1"/>
  <c r="L836" i="5"/>
  <c r="N836" i="5"/>
  <c r="N835" i="5" s="1"/>
  <c r="N2123" i="5" s="1"/>
  <c r="F2123" i="5" s="1"/>
  <c r="O836" i="5"/>
  <c r="O835" i="5" s="1"/>
  <c r="O2123" i="5" s="1"/>
  <c r="G2123" i="5" s="1"/>
  <c r="M836" i="5"/>
  <c r="M835" i="5" s="1"/>
  <c r="M2123" i="5" s="1"/>
  <c r="E2123" i="5" s="1"/>
  <c r="Q907" i="5"/>
  <c r="O119" i="5"/>
  <c r="N119" i="5"/>
  <c r="M119" i="5"/>
  <c r="L119" i="5"/>
  <c r="P119" i="5"/>
  <c r="O415" i="5"/>
  <c r="O413" i="5" s="1"/>
  <c r="O1914" i="5" s="1"/>
  <c r="N415" i="5"/>
  <c r="N413" i="5" s="1"/>
  <c r="N1914" i="5" s="1"/>
  <c r="M415" i="5"/>
  <c r="M413" i="5" s="1"/>
  <c r="M1914" i="5" s="1"/>
  <c r="P415" i="5"/>
  <c r="P413" i="5" s="1"/>
  <c r="P1914" i="5" s="1"/>
  <c r="L415" i="5"/>
  <c r="P1486" i="5"/>
  <c r="P1485" i="5" s="1"/>
  <c r="P2420" i="5" s="1"/>
  <c r="H2420" i="5" s="1"/>
  <c r="L1486" i="5"/>
  <c r="O1486" i="5"/>
  <c r="O1485" i="5" s="1"/>
  <c r="O2420" i="5" s="1"/>
  <c r="G2420" i="5" s="1"/>
  <c r="N1486" i="5"/>
  <c r="N1485" i="5" s="1"/>
  <c r="N2420" i="5" s="1"/>
  <c r="F2420" i="5" s="1"/>
  <c r="M1486" i="5"/>
  <c r="M1485" i="5" s="1"/>
  <c r="M2420" i="5" s="1"/>
  <c r="E2420" i="5" s="1"/>
  <c r="P217" i="5"/>
  <c r="P216" i="5" s="1"/>
  <c r="P1818" i="5" s="1"/>
  <c r="H1818" i="5" s="1"/>
  <c r="M217" i="5"/>
  <c r="M216" i="5" s="1"/>
  <c r="M1818" i="5" s="1"/>
  <c r="E1818" i="5" s="1"/>
  <c r="N217" i="5"/>
  <c r="N216" i="5" s="1"/>
  <c r="N1818" i="5" s="1"/>
  <c r="F1818" i="5" s="1"/>
  <c r="O217" i="5"/>
  <c r="O216" i="5" s="1"/>
  <c r="O1818" i="5" s="1"/>
  <c r="G1818" i="5" s="1"/>
  <c r="L217" i="5"/>
  <c r="P1308" i="5"/>
  <c r="P1306" i="5" s="1"/>
  <c r="P2342" i="5" s="1"/>
  <c r="P647" i="8" s="1"/>
  <c r="O1308" i="5"/>
  <c r="O1306" i="5" s="1"/>
  <c r="O2342" i="5" s="1"/>
  <c r="O647" i="8" s="1"/>
  <c r="M1308" i="5"/>
  <c r="M1306" i="5" s="1"/>
  <c r="M2342" i="5" s="1"/>
  <c r="M647" i="8" s="1"/>
  <c r="N1308" i="5"/>
  <c r="N1306" i="5" s="1"/>
  <c r="N2342" i="5" s="1"/>
  <c r="N647" i="8" s="1"/>
  <c r="L1308" i="5"/>
  <c r="O20" i="5"/>
  <c r="P20" i="5"/>
  <c r="M20" i="5"/>
  <c r="L20" i="5"/>
  <c r="N20" i="5"/>
  <c r="O454" i="5"/>
  <c r="L454" i="5"/>
  <c r="N454" i="5"/>
  <c r="P454" i="5"/>
  <c r="M454" i="5"/>
  <c r="O841" i="5"/>
  <c r="L841" i="5"/>
  <c r="M841" i="5"/>
  <c r="N841" i="5"/>
  <c r="P841" i="5"/>
  <c r="P1499" i="5"/>
  <c r="P1498" i="5" s="1"/>
  <c r="P2425" i="5" s="1"/>
  <c r="L1499" i="5"/>
  <c r="M1499" i="5"/>
  <c r="M1498" i="5" s="1"/>
  <c r="M2425" i="5" s="1"/>
  <c r="N1499" i="5"/>
  <c r="N1498" i="5" s="1"/>
  <c r="N2425" i="5" s="1"/>
  <c r="O1499" i="5"/>
  <c r="O1498" i="5" s="1"/>
  <c r="O2425" i="5" s="1"/>
  <c r="P638" i="5"/>
  <c r="N638" i="5"/>
  <c r="O638" i="5"/>
  <c r="L638" i="5"/>
  <c r="M638" i="5"/>
  <c r="P1380" i="5"/>
  <c r="M1380" i="5"/>
  <c r="O1380" i="5"/>
  <c r="N1380" i="5"/>
  <c r="L1380" i="5"/>
  <c r="O1269" i="5"/>
  <c r="M1269" i="5"/>
  <c r="P1269" i="5"/>
  <c r="L1269" i="5"/>
  <c r="N1269" i="5"/>
  <c r="N933" i="5"/>
  <c r="M933" i="5"/>
  <c r="P933" i="5"/>
  <c r="L933" i="5"/>
  <c r="O933" i="5"/>
  <c r="O1080" i="5"/>
  <c r="N1080" i="5"/>
  <c r="P1080" i="5"/>
  <c r="L1080" i="5"/>
  <c r="M1080" i="5"/>
  <c r="O1350" i="5"/>
  <c r="P1350" i="5"/>
  <c r="N1350" i="5"/>
  <c r="L1350" i="5"/>
  <c r="M1350" i="5"/>
  <c r="P1540" i="5"/>
  <c r="M1540" i="5"/>
  <c r="N1540" i="5"/>
  <c r="O1540" i="5"/>
  <c r="L1540" i="5"/>
  <c r="P565" i="5"/>
  <c r="N565" i="5"/>
  <c r="M565" i="5"/>
  <c r="L565" i="5"/>
  <c r="O565" i="5"/>
  <c r="M903" i="5"/>
  <c r="N903" i="5"/>
  <c r="P903" i="5"/>
  <c r="L903" i="5"/>
  <c r="O903" i="5"/>
  <c r="O1103" i="5"/>
  <c r="P1103" i="5"/>
  <c r="N1103" i="5"/>
  <c r="M1103" i="5"/>
  <c r="L1103" i="5"/>
  <c r="N1408" i="5"/>
  <c r="O1408" i="5"/>
  <c r="P1408" i="5"/>
  <c r="M1408" i="5"/>
  <c r="L1408" i="5"/>
  <c r="P1631" i="5"/>
  <c r="N1631" i="5"/>
  <c r="L1631" i="5"/>
  <c r="M1631" i="5"/>
  <c r="O1631" i="5"/>
  <c r="O132" i="5"/>
  <c r="N132" i="5"/>
  <c r="M132" i="5"/>
  <c r="P132" i="5"/>
  <c r="L132" i="5"/>
  <c r="L877" i="5"/>
  <c r="P877" i="5"/>
  <c r="N877" i="5"/>
  <c r="O877" i="5"/>
  <c r="M877" i="5"/>
  <c r="P1180" i="5"/>
  <c r="O1180" i="5"/>
  <c r="L1180" i="5"/>
  <c r="M1180" i="5"/>
  <c r="N1180" i="5"/>
  <c r="P1415" i="5"/>
  <c r="O1415" i="5"/>
  <c r="L1415" i="5"/>
  <c r="N1415" i="5"/>
  <c r="M1415" i="5"/>
  <c r="L65" i="5"/>
  <c r="N65" i="5"/>
  <c r="M65" i="5"/>
  <c r="P65" i="5"/>
  <c r="O65" i="5"/>
  <c r="P674" i="5"/>
  <c r="N674" i="5"/>
  <c r="L674" i="5"/>
  <c r="O674" i="5"/>
  <c r="M674" i="5"/>
  <c r="P872" i="5"/>
  <c r="M872" i="5"/>
  <c r="L872" i="5"/>
  <c r="O872" i="5"/>
  <c r="N872" i="5"/>
  <c r="M1064" i="5"/>
  <c r="P1064" i="5"/>
  <c r="N1064" i="5"/>
  <c r="L1064" i="5"/>
  <c r="O1064" i="5"/>
  <c r="O322" i="5"/>
  <c r="N322" i="5"/>
  <c r="M322" i="5"/>
  <c r="L322" i="5"/>
  <c r="P322" i="5"/>
  <c r="P1428" i="5"/>
  <c r="M1428" i="5"/>
  <c r="O1428" i="5"/>
  <c r="N1428" i="5"/>
  <c r="L1428" i="5"/>
  <c r="M1567" i="5"/>
  <c r="O1567" i="5"/>
  <c r="L1567" i="5"/>
  <c r="N1567" i="5"/>
  <c r="P1567" i="5"/>
  <c r="O277" i="5"/>
  <c r="O275" i="5" s="1"/>
  <c r="O1848" i="5" s="1"/>
  <c r="M277" i="5"/>
  <c r="M275" i="5" s="1"/>
  <c r="M1848" i="5" s="1"/>
  <c r="P277" i="5"/>
  <c r="P275" i="5" s="1"/>
  <c r="P1848" i="5" s="1"/>
  <c r="N277" i="5"/>
  <c r="N275" i="5" s="1"/>
  <c r="N1848" i="5" s="1"/>
  <c r="L277" i="5"/>
  <c r="N700" i="5"/>
  <c r="L700" i="5"/>
  <c r="O700" i="5"/>
  <c r="P700" i="5"/>
  <c r="M700" i="5"/>
  <c r="P1138" i="5"/>
  <c r="N1138" i="5"/>
  <c r="M1138" i="5"/>
  <c r="L1138" i="5"/>
  <c r="O1138" i="5"/>
  <c r="P58" i="5"/>
  <c r="O58" i="5"/>
  <c r="M58" i="5"/>
  <c r="L58" i="5"/>
  <c r="N58" i="5"/>
  <c r="O443" i="5"/>
  <c r="P443" i="5"/>
  <c r="L443" i="5"/>
  <c r="N443" i="5"/>
  <c r="M443" i="5"/>
  <c r="O980" i="5"/>
  <c r="N980" i="5"/>
  <c r="P980" i="5"/>
  <c r="L980" i="5"/>
  <c r="M980" i="5"/>
  <c r="O1334" i="5"/>
  <c r="L1334" i="5"/>
  <c r="M1334" i="5"/>
  <c r="N1334" i="5"/>
  <c r="P1334" i="5"/>
  <c r="O1556" i="5"/>
  <c r="O1554" i="5" s="1"/>
  <c r="O2453" i="5" s="1"/>
  <c r="N1556" i="5"/>
  <c r="N1554" i="5" s="1"/>
  <c r="N2453" i="5" s="1"/>
  <c r="L1556" i="5"/>
  <c r="P1556" i="5"/>
  <c r="P1554" i="5" s="1"/>
  <c r="P2453" i="5" s="1"/>
  <c r="M1556" i="5"/>
  <c r="M1554" i="5" s="1"/>
  <c r="M2453" i="5" s="1"/>
  <c r="P425" i="5"/>
  <c r="L425" i="5"/>
  <c r="N425" i="5"/>
  <c r="M425" i="5"/>
  <c r="O425" i="5"/>
  <c r="M945" i="5"/>
  <c r="M943" i="5" s="1"/>
  <c r="M2181" i="5" s="1"/>
  <c r="O945" i="5"/>
  <c r="O943" i="5" s="1"/>
  <c r="O2181" i="5" s="1"/>
  <c r="L945" i="5"/>
  <c r="P945" i="5"/>
  <c r="P943" i="5" s="1"/>
  <c r="P2181" i="5" s="1"/>
  <c r="N945" i="5"/>
  <c r="N943" i="5" s="1"/>
  <c r="N2181" i="5" s="1"/>
  <c r="O319" i="5"/>
  <c r="L319" i="5"/>
  <c r="N319" i="5"/>
  <c r="M319" i="5"/>
  <c r="P319" i="5"/>
  <c r="P1564" i="5"/>
  <c r="N1564" i="5"/>
  <c r="M1564" i="5"/>
  <c r="O1564" i="5"/>
  <c r="L1564" i="5"/>
  <c r="M1649" i="5"/>
  <c r="N1649" i="5"/>
  <c r="P1649" i="5"/>
  <c r="L1649" i="5"/>
  <c r="O1649" i="5"/>
  <c r="O236" i="5"/>
  <c r="O234" i="5" s="1"/>
  <c r="O1828" i="5" s="1"/>
  <c r="L236" i="5"/>
  <c r="N236" i="5"/>
  <c r="N234" i="5" s="1"/>
  <c r="N1828" i="5" s="1"/>
  <c r="P236" i="5"/>
  <c r="P234" i="5" s="1"/>
  <c r="P1828" i="5" s="1"/>
  <c r="M236" i="5"/>
  <c r="M234" i="5" s="1"/>
  <c r="M1828" i="5" s="1"/>
  <c r="O296" i="5"/>
  <c r="P296" i="5"/>
  <c r="N296" i="5"/>
  <c r="M296" i="5"/>
  <c r="L296" i="5"/>
  <c r="P501" i="5"/>
  <c r="O501" i="5"/>
  <c r="L501" i="5"/>
  <c r="M501" i="5"/>
  <c r="N501" i="5"/>
  <c r="O697" i="5"/>
  <c r="P697" i="5"/>
  <c r="N697" i="5"/>
  <c r="L697" i="5"/>
  <c r="M697" i="5"/>
  <c r="O1121" i="5"/>
  <c r="L1121" i="5"/>
  <c r="M1121" i="5"/>
  <c r="N1121" i="5"/>
  <c r="P1121" i="5"/>
  <c r="N1420" i="5"/>
  <c r="N1418" i="5" s="1"/>
  <c r="N2390" i="5" s="1"/>
  <c r="M1420" i="5"/>
  <c r="P1420" i="5"/>
  <c r="P1418" i="5" s="1"/>
  <c r="P2390" i="5" s="1"/>
  <c r="L1420" i="5"/>
  <c r="L1418" i="5" s="1"/>
  <c r="L2390" i="5" s="1"/>
  <c r="O1420" i="5"/>
  <c r="O1418" i="5" s="1"/>
  <c r="O2390" i="5" s="1"/>
  <c r="P1654" i="5"/>
  <c r="N1654" i="5"/>
  <c r="O1654" i="5"/>
  <c r="M1654" i="5"/>
  <c r="L1654" i="5"/>
  <c r="Q940" i="5"/>
  <c r="Q939" i="5" s="1"/>
  <c r="Q2178" i="5" s="1"/>
  <c r="Q618" i="8" s="1"/>
  <c r="L939" i="5"/>
  <c r="L2178" i="5" s="1"/>
  <c r="L618" i="8" s="1"/>
  <c r="N990" i="5"/>
  <c r="N989" i="5" s="1"/>
  <c r="N2204" i="5" s="1"/>
  <c r="F2204" i="5" s="1"/>
  <c r="O990" i="5"/>
  <c r="O989" i="5" s="1"/>
  <c r="O2204" i="5" s="1"/>
  <c r="G2204" i="5" s="1"/>
  <c r="P990" i="5"/>
  <c r="P989" i="5" s="1"/>
  <c r="P2204" i="5" s="1"/>
  <c r="H2204" i="5" s="1"/>
  <c r="L990" i="5"/>
  <c r="M990" i="5"/>
  <c r="M989" i="5" s="1"/>
  <c r="M2204" i="5" s="1"/>
  <c r="E2204" i="5" s="1"/>
  <c r="O95" i="5"/>
  <c r="N95" i="5"/>
  <c r="N94" i="5" s="1"/>
  <c r="N1757" i="5" s="1"/>
  <c r="N562" i="8" s="1"/>
  <c r="M95" i="5"/>
  <c r="P95" i="5"/>
  <c r="L95" i="5"/>
  <c r="O1250" i="5"/>
  <c r="O1249" i="5" s="1"/>
  <c r="O2319" i="5" s="1"/>
  <c r="G2319" i="5" s="1"/>
  <c r="M1250" i="5"/>
  <c r="M1249" i="5" s="1"/>
  <c r="M2319" i="5" s="1"/>
  <c r="E2319" i="5" s="1"/>
  <c r="N1250" i="5"/>
  <c r="N1249" i="5" s="1"/>
  <c r="N2319" i="5" s="1"/>
  <c r="F2319" i="5" s="1"/>
  <c r="P1250" i="5"/>
  <c r="P1249" i="5" s="1"/>
  <c r="P2319" i="5" s="1"/>
  <c r="H2319" i="5" s="1"/>
  <c r="L1250" i="5"/>
  <c r="O362" i="5"/>
  <c r="N362" i="5"/>
  <c r="P362" i="5"/>
  <c r="M362" i="5"/>
  <c r="L362" i="5"/>
  <c r="L972" i="5"/>
  <c r="L2197" i="5" s="1"/>
  <c r="Q974" i="5"/>
  <c r="Q972" i="5" s="1"/>
  <c r="Q2197" i="5" s="1"/>
  <c r="I2197" i="5" s="1"/>
  <c r="Q162" i="5"/>
  <c r="L161" i="5"/>
  <c r="L1789" i="5" s="1"/>
  <c r="O21" i="5"/>
  <c r="N21" i="5"/>
  <c r="M21" i="5"/>
  <c r="P21" i="5"/>
  <c r="L21" i="5"/>
  <c r="O1662" i="5"/>
  <c r="M1662" i="5"/>
  <c r="P1662" i="5"/>
  <c r="N1662" i="5"/>
  <c r="L1662" i="5"/>
  <c r="L1484" i="5"/>
  <c r="O1484" i="5"/>
  <c r="N1484" i="5"/>
  <c r="P1484" i="5"/>
  <c r="M1484" i="5"/>
  <c r="L287" i="5"/>
  <c r="P287" i="5"/>
  <c r="P286" i="5" s="1"/>
  <c r="P1852" i="5" s="1"/>
  <c r="M287" i="5"/>
  <c r="M286" i="5" s="1"/>
  <c r="M1852" i="5" s="1"/>
  <c r="O287" i="5"/>
  <c r="O286" i="5" s="1"/>
  <c r="O1852" i="5" s="1"/>
  <c r="N287" i="5"/>
  <c r="N286" i="5" s="1"/>
  <c r="N1852" i="5" s="1"/>
  <c r="O702" i="5"/>
  <c r="M702" i="5"/>
  <c r="N702" i="5"/>
  <c r="P702" i="5"/>
  <c r="L702" i="5"/>
  <c r="O1156" i="5"/>
  <c r="L1156" i="5"/>
  <c r="N1156" i="5"/>
  <c r="M1156" i="5"/>
  <c r="P1156" i="5"/>
  <c r="P447" i="5"/>
  <c r="N447" i="5"/>
  <c r="L447" i="5"/>
  <c r="O447" i="5"/>
  <c r="M447" i="5"/>
  <c r="M914" i="5"/>
  <c r="M913" i="5" s="1"/>
  <c r="M2162" i="5" s="1"/>
  <c r="P914" i="5"/>
  <c r="P913" i="5" s="1"/>
  <c r="P2162" i="5" s="1"/>
  <c r="L914" i="5"/>
  <c r="N914" i="5"/>
  <c r="N913" i="5" s="1"/>
  <c r="N2162" i="5" s="1"/>
  <c r="O914" i="5"/>
  <c r="O913" i="5" s="1"/>
  <c r="O2162" i="5" s="1"/>
  <c r="O1374" i="5"/>
  <c r="P1374" i="5"/>
  <c r="N1374" i="5"/>
  <c r="L1374" i="5"/>
  <c r="M1374" i="5"/>
  <c r="P76" i="5"/>
  <c r="P75" i="5" s="1"/>
  <c r="P1743" i="5" s="1"/>
  <c r="H1743" i="5" s="1"/>
  <c r="M76" i="5"/>
  <c r="M75" i="5" s="1"/>
  <c r="M1743" i="5" s="1"/>
  <c r="E1743" i="5" s="1"/>
  <c r="L76" i="5"/>
  <c r="O76" i="5"/>
  <c r="O75" i="5" s="1"/>
  <c r="O1743" i="5" s="1"/>
  <c r="G1743" i="5" s="1"/>
  <c r="N76" i="5"/>
  <c r="N75" i="5" s="1"/>
  <c r="N1743" i="5" s="1"/>
  <c r="F1743" i="5" s="1"/>
  <c r="O965" i="5"/>
  <c r="O964" i="5" s="1"/>
  <c r="O2193" i="5" s="1"/>
  <c r="G2193" i="5" s="1"/>
  <c r="P965" i="5"/>
  <c r="P964" i="5" s="1"/>
  <c r="P2193" i="5" s="1"/>
  <c r="H2193" i="5" s="1"/>
  <c r="N965" i="5"/>
  <c r="N964" i="5" s="1"/>
  <c r="N2193" i="5" s="1"/>
  <c r="F2193" i="5" s="1"/>
  <c r="L965" i="5"/>
  <c r="M965" i="5"/>
  <c r="M964" i="5" s="1"/>
  <c r="M2193" i="5" s="1"/>
  <c r="E2193" i="5" s="1"/>
  <c r="P1370" i="5"/>
  <c r="P1369" i="5" s="1"/>
  <c r="P2370" i="5" s="1"/>
  <c r="H2370" i="5" s="1"/>
  <c r="O1370" i="5"/>
  <c r="O1369" i="5" s="1"/>
  <c r="O2370" i="5" s="1"/>
  <c r="G2370" i="5" s="1"/>
  <c r="M1370" i="5"/>
  <c r="M1369" i="5" s="1"/>
  <c r="M2370" i="5" s="1"/>
  <c r="E2370" i="5" s="1"/>
  <c r="N1370" i="5"/>
  <c r="N1369" i="5" s="1"/>
  <c r="N2370" i="5" s="1"/>
  <c r="F2370" i="5" s="1"/>
  <c r="L1370" i="5"/>
  <c r="F2001" i="5"/>
  <c r="N2000" i="5"/>
  <c r="N134" i="8" s="1"/>
  <c r="E2001" i="5"/>
  <c r="M2000" i="5"/>
  <c r="M134" i="8" s="1"/>
  <c r="O118" i="5"/>
  <c r="N118" i="5"/>
  <c r="M118" i="5"/>
  <c r="P118" i="5"/>
  <c r="L118" i="5"/>
  <c r="O221" i="5"/>
  <c r="O219" i="5" s="1"/>
  <c r="O1820" i="5" s="1"/>
  <c r="P221" i="5"/>
  <c r="P219" i="5" s="1"/>
  <c r="P1820" i="5" s="1"/>
  <c r="L221" i="5"/>
  <c r="N221" i="5"/>
  <c r="N219" i="5" s="1"/>
  <c r="N1820" i="5" s="1"/>
  <c r="M221" i="5"/>
  <c r="M219" i="5" s="1"/>
  <c r="M1820" i="5" s="1"/>
  <c r="P389" i="5"/>
  <c r="L389" i="5"/>
  <c r="M389" i="5"/>
  <c r="O389" i="5"/>
  <c r="N389" i="5"/>
  <c r="O467" i="5"/>
  <c r="O465" i="5" s="1"/>
  <c r="O1935" i="5" s="1"/>
  <c r="P467" i="5"/>
  <c r="P465" i="5" s="1"/>
  <c r="P1935" i="5" s="1"/>
  <c r="L467" i="5"/>
  <c r="N467" i="5"/>
  <c r="N465" i="5" s="1"/>
  <c r="N1935" i="5" s="1"/>
  <c r="M467" i="5"/>
  <c r="M465" i="5" s="1"/>
  <c r="M1935" i="5" s="1"/>
  <c r="P646" i="5"/>
  <c r="P644" i="5" s="1"/>
  <c r="P2024" i="5" s="1"/>
  <c r="L646" i="5"/>
  <c r="O646" i="5"/>
  <c r="O644" i="5" s="1"/>
  <c r="O2024" i="5" s="1"/>
  <c r="N646" i="5"/>
  <c r="N644" i="5" s="1"/>
  <c r="N2024" i="5" s="1"/>
  <c r="M646" i="5"/>
  <c r="M644" i="5" s="1"/>
  <c r="M2024" i="5" s="1"/>
  <c r="P935" i="5"/>
  <c r="L935" i="5"/>
  <c r="O935" i="5"/>
  <c r="N935" i="5"/>
  <c r="M935" i="5"/>
  <c r="P1074" i="5"/>
  <c r="O1074" i="5"/>
  <c r="M1074" i="5"/>
  <c r="N1074" i="5"/>
  <c r="L1074" i="5"/>
  <c r="O306" i="5"/>
  <c r="N306" i="5"/>
  <c r="P306" i="5"/>
  <c r="L306" i="5"/>
  <c r="M306" i="5"/>
  <c r="O1322" i="5"/>
  <c r="P1322" i="5"/>
  <c r="L1322" i="5"/>
  <c r="N1322" i="5"/>
  <c r="M1322" i="5"/>
  <c r="M1403" i="5"/>
  <c r="M1401" i="5" s="1"/>
  <c r="M2383" i="5" s="1"/>
  <c r="N1403" i="5"/>
  <c r="N1401" i="5" s="1"/>
  <c r="N2383" i="5" s="1"/>
  <c r="L1403" i="5"/>
  <c r="P1403" i="5"/>
  <c r="P1401" i="5" s="1"/>
  <c r="P2383" i="5" s="1"/>
  <c r="O1403" i="5"/>
  <c r="O1401" i="5" s="1"/>
  <c r="O2383" i="5" s="1"/>
  <c r="O229" i="5"/>
  <c r="O227" i="5" s="1"/>
  <c r="O1824" i="5" s="1"/>
  <c r="M229" i="5"/>
  <c r="M227" i="5" s="1"/>
  <c r="M1824" i="5" s="1"/>
  <c r="N229" i="5"/>
  <c r="N227" i="5" s="1"/>
  <c r="N1824" i="5" s="1"/>
  <c r="P229" i="5"/>
  <c r="P227" i="5" s="1"/>
  <c r="P1824" i="5" s="1"/>
  <c r="L229" i="5"/>
  <c r="L444" i="5"/>
  <c r="M444" i="5"/>
  <c r="O444" i="5"/>
  <c r="P444" i="5"/>
  <c r="N444" i="5"/>
  <c r="N668" i="5"/>
  <c r="N666" i="5" s="1"/>
  <c r="N2036" i="5" s="1"/>
  <c r="L668" i="5"/>
  <c r="P668" i="5"/>
  <c r="P666" i="5" s="1"/>
  <c r="P2036" i="5" s="1"/>
  <c r="M668" i="5"/>
  <c r="M666" i="5" s="1"/>
  <c r="M2036" i="5" s="1"/>
  <c r="O668" i="5"/>
  <c r="O666" i="5" s="1"/>
  <c r="O2036" i="5" s="1"/>
  <c r="O905" i="5"/>
  <c r="P905" i="5"/>
  <c r="L905" i="5"/>
  <c r="N905" i="5"/>
  <c r="M905" i="5"/>
  <c r="P1116" i="5"/>
  <c r="N1116" i="5"/>
  <c r="O1116" i="5"/>
  <c r="L1116" i="5"/>
  <c r="M1116" i="5"/>
  <c r="O1357" i="5"/>
  <c r="L1357" i="5"/>
  <c r="N1357" i="5"/>
  <c r="M1357" i="5"/>
  <c r="P1357" i="5"/>
  <c r="P1629" i="5"/>
  <c r="L1629" i="5"/>
  <c r="M1629" i="5"/>
  <c r="O1629" i="5"/>
  <c r="N1629" i="5"/>
  <c r="M171" i="5"/>
  <c r="M169" i="5" s="1"/>
  <c r="M1794" i="5" s="1"/>
  <c r="P171" i="5"/>
  <c r="P169" i="5" s="1"/>
  <c r="P1794" i="5" s="1"/>
  <c r="L171" i="5"/>
  <c r="O171" i="5"/>
  <c r="O169" i="5" s="1"/>
  <c r="O1794" i="5" s="1"/>
  <c r="N171" i="5"/>
  <c r="N169" i="5" s="1"/>
  <c r="N1794" i="5" s="1"/>
  <c r="O499" i="5"/>
  <c r="L499" i="5"/>
  <c r="N499" i="5"/>
  <c r="M499" i="5"/>
  <c r="P499" i="5"/>
  <c r="O612" i="5"/>
  <c r="M612" i="5"/>
  <c r="L612" i="5"/>
  <c r="N612" i="5"/>
  <c r="P612" i="5"/>
  <c r="O826" i="5"/>
  <c r="O824" i="5" s="1"/>
  <c r="O2118" i="5" s="1"/>
  <c r="O576" i="8" s="1"/>
  <c r="O671" i="8" s="1"/>
  <c r="L826" i="5"/>
  <c r="P826" i="5"/>
  <c r="P824" i="5" s="1"/>
  <c r="P2118" i="5" s="1"/>
  <c r="N826" i="5"/>
  <c r="N824" i="5" s="1"/>
  <c r="N2118" i="5" s="1"/>
  <c r="N576" i="8" s="1"/>
  <c r="N671" i="8" s="1"/>
  <c r="M826" i="5"/>
  <c r="M824" i="5" s="1"/>
  <c r="M2118" i="5" s="1"/>
  <c r="O1034" i="5"/>
  <c r="P1034" i="5"/>
  <c r="L1034" i="5"/>
  <c r="N1034" i="5"/>
  <c r="M1034" i="5"/>
  <c r="L756" i="5"/>
  <c r="N756" i="5"/>
  <c r="N754" i="5" s="1"/>
  <c r="N2082" i="5" s="1"/>
  <c r="O756" i="5"/>
  <c r="O754" i="5" s="1"/>
  <c r="O2082" i="5" s="1"/>
  <c r="M756" i="5"/>
  <c r="M754" i="5" s="1"/>
  <c r="M2082" i="5" s="1"/>
  <c r="P756" i="5"/>
  <c r="P754" i="5" s="1"/>
  <c r="P2082" i="5" s="1"/>
  <c r="M1565" i="5"/>
  <c r="P1565" i="5"/>
  <c r="L1565" i="5"/>
  <c r="N1565" i="5"/>
  <c r="O1565" i="5"/>
  <c r="P1666" i="5"/>
  <c r="P1664" i="5" s="1"/>
  <c r="P2500" i="5" s="1"/>
  <c r="O1666" i="5"/>
  <c r="O1664" i="5" s="1"/>
  <c r="O2500" i="5" s="1"/>
  <c r="M1666" i="5"/>
  <c r="M1664" i="5" s="1"/>
  <c r="M2500" i="5" s="1"/>
  <c r="N1666" i="5"/>
  <c r="N1664" i="5" s="1"/>
  <c r="N2500" i="5" s="1"/>
  <c r="L1666" i="5"/>
  <c r="O67" i="5"/>
  <c r="N67" i="5"/>
  <c r="L67" i="5"/>
  <c r="P67" i="5"/>
  <c r="M67" i="5"/>
  <c r="O174" i="5"/>
  <c r="O172" i="5" s="1"/>
  <c r="O1795" i="5" s="1"/>
  <c r="G1795" i="5" s="1"/>
  <c r="P174" i="5"/>
  <c r="P172" i="5" s="1"/>
  <c r="P1795" i="5" s="1"/>
  <c r="H1795" i="5" s="1"/>
  <c r="L174" i="5"/>
  <c r="N174" i="5"/>
  <c r="N172" i="5" s="1"/>
  <c r="N1795" i="5" s="1"/>
  <c r="F1795" i="5" s="1"/>
  <c r="M174" i="5"/>
  <c r="M172" i="5" s="1"/>
  <c r="M1795" i="5" s="1"/>
  <c r="E1795" i="5" s="1"/>
  <c r="O266" i="5"/>
  <c r="O264" i="5" s="1"/>
  <c r="O1843" i="5" s="1"/>
  <c r="G1843" i="5" s="1"/>
  <c r="M266" i="5"/>
  <c r="M264" i="5" s="1"/>
  <c r="M1843" i="5" s="1"/>
  <c r="E1843" i="5" s="1"/>
  <c r="P266" i="5"/>
  <c r="P264" i="5" s="1"/>
  <c r="P1843" i="5" s="1"/>
  <c r="H1843" i="5" s="1"/>
  <c r="L266" i="5"/>
  <c r="N266" i="5"/>
  <c r="N264" i="5" s="1"/>
  <c r="N1843" i="5" s="1"/>
  <c r="F1843" i="5" s="1"/>
  <c r="O486" i="5"/>
  <c r="L486" i="5"/>
  <c r="N486" i="5"/>
  <c r="M486" i="5"/>
  <c r="P486" i="5"/>
  <c r="O577" i="5"/>
  <c r="L577" i="5"/>
  <c r="M577" i="5"/>
  <c r="N577" i="5"/>
  <c r="P577" i="5"/>
  <c r="O692" i="5"/>
  <c r="O690" i="5" s="1"/>
  <c r="O2050" i="5" s="1"/>
  <c r="M692" i="5"/>
  <c r="M690" i="5" s="1"/>
  <c r="M2050" i="5" s="1"/>
  <c r="N692" i="5"/>
  <c r="N690" i="5" s="1"/>
  <c r="N2050" i="5" s="1"/>
  <c r="P692" i="5"/>
  <c r="P690" i="5" s="1"/>
  <c r="P2050" i="5" s="1"/>
  <c r="L692" i="5"/>
  <c r="P1049" i="5"/>
  <c r="O1049" i="5"/>
  <c r="M1049" i="5"/>
  <c r="N1049" i="5"/>
  <c r="L1049" i="5"/>
  <c r="P1243" i="5"/>
  <c r="M1243" i="5"/>
  <c r="N1243" i="5"/>
  <c r="O1243" i="5"/>
  <c r="L1243" i="5"/>
  <c r="O772" i="5"/>
  <c r="O770" i="5" s="1"/>
  <c r="O2089" i="5" s="1"/>
  <c r="M772" i="5"/>
  <c r="M770" i="5" s="1"/>
  <c r="M2089" i="5" s="1"/>
  <c r="N772" i="5"/>
  <c r="N770" i="5" s="1"/>
  <c r="N2089" i="5" s="1"/>
  <c r="P772" i="5"/>
  <c r="P770" i="5" s="1"/>
  <c r="P2089" i="5" s="1"/>
  <c r="L772" i="5"/>
  <c r="M1491" i="5"/>
  <c r="N1491" i="5"/>
  <c r="P1491" i="5"/>
  <c r="L1491" i="5"/>
  <c r="O1491" i="5"/>
  <c r="F50" i="3"/>
  <c r="G49" i="3"/>
  <c r="F69" i="3"/>
  <c r="F694" i="5" s="1"/>
  <c r="L1035" i="5"/>
  <c r="L2222" i="5" s="1"/>
  <c r="Q1036" i="5"/>
  <c r="Q1035" i="5" s="1"/>
  <c r="Q2222" i="5" s="1"/>
  <c r="I2222" i="5" s="1"/>
  <c r="H2187" i="5"/>
  <c r="P2186" i="5"/>
  <c r="P223" i="8" s="1"/>
  <c r="Q954" i="5"/>
  <c r="Q953" i="5" s="1"/>
  <c r="Q2187" i="5" s="1"/>
  <c r="L953" i="5"/>
  <c r="L2187" i="5" s="1"/>
  <c r="Q134" i="5"/>
  <c r="V134" i="5" s="1"/>
  <c r="O1000" i="5"/>
  <c r="M1000" i="5"/>
  <c r="P1000" i="5"/>
  <c r="L1000" i="5"/>
  <c r="N1000" i="5"/>
  <c r="N1023" i="5"/>
  <c r="O1023" i="5"/>
  <c r="M1023" i="5"/>
  <c r="P1023" i="5"/>
  <c r="L1023" i="5"/>
  <c r="O1143" i="5"/>
  <c r="L1143" i="5"/>
  <c r="M1143" i="5"/>
  <c r="N1143" i="5"/>
  <c r="P1143" i="5"/>
  <c r="L971" i="5"/>
  <c r="M971" i="5"/>
  <c r="O971" i="5"/>
  <c r="N971" i="5"/>
  <c r="P971" i="5"/>
  <c r="H202" i="5"/>
  <c r="O202" i="5" s="1"/>
  <c r="O201" i="5" s="1"/>
  <c r="O1809" i="5" s="1"/>
  <c r="G1809" i="5" s="1"/>
  <c r="I20" i="3"/>
  <c r="L1595" i="5"/>
  <c r="M1595" i="5"/>
  <c r="M1594" i="5" s="1"/>
  <c r="M2471" i="5" s="1"/>
  <c r="P1595" i="5"/>
  <c r="P1594" i="5" s="1"/>
  <c r="P2471" i="5" s="1"/>
  <c r="N1595" i="5"/>
  <c r="N1594" i="5" s="1"/>
  <c r="N2471" i="5" s="1"/>
  <c r="O1595" i="5"/>
  <c r="O1594" i="5" s="1"/>
  <c r="O2471" i="5" s="1"/>
  <c r="N2211" i="5"/>
  <c r="N232" i="8" s="1"/>
  <c r="F2212" i="5"/>
  <c r="L844" i="5"/>
  <c r="L2126" i="5" s="1"/>
  <c r="L577" i="8" s="1"/>
  <c r="L668" i="8" s="1"/>
  <c r="Q845" i="5"/>
  <c r="Q844" i="5" s="1"/>
  <c r="Q2126" i="5" s="1"/>
  <c r="Q577" i="8" s="1"/>
  <c r="Q668" i="8" s="1"/>
  <c r="P1673" i="5"/>
  <c r="P1671" i="5" s="1"/>
  <c r="P2503" i="5" s="1"/>
  <c r="N1673" i="5"/>
  <c r="N1671" i="5" s="1"/>
  <c r="N2503" i="5" s="1"/>
  <c r="O1673" i="5"/>
  <c r="O1671" i="5" s="1"/>
  <c r="O2503" i="5" s="1"/>
  <c r="M1673" i="5"/>
  <c r="M1671" i="5" s="1"/>
  <c r="M2503" i="5" s="1"/>
  <c r="L1673" i="5"/>
  <c r="L446" i="5"/>
  <c r="P446" i="5"/>
  <c r="P445" i="5" s="1"/>
  <c r="P1925" i="5" s="1"/>
  <c r="H1925" i="5" s="1"/>
  <c r="M446" i="5"/>
  <c r="N446" i="5"/>
  <c r="O446" i="5"/>
  <c r="O445" i="5" s="1"/>
  <c r="O1925" i="5" s="1"/>
  <c r="G1925" i="5" s="1"/>
  <c r="O1304" i="5"/>
  <c r="O1302" i="5" s="1"/>
  <c r="O2341" i="5" s="1"/>
  <c r="O648" i="8" s="1"/>
  <c r="L1304" i="5"/>
  <c r="M1304" i="5"/>
  <c r="M1302" i="5" s="1"/>
  <c r="M2341" i="5" s="1"/>
  <c r="M648" i="8" s="1"/>
  <c r="P1304" i="5"/>
  <c r="P1302" i="5" s="1"/>
  <c r="P2341" i="5" s="1"/>
  <c r="P648" i="8" s="1"/>
  <c r="N1304" i="5"/>
  <c r="N1302" i="5" s="1"/>
  <c r="N2341" i="5" s="1"/>
  <c r="N648" i="8" s="1"/>
  <c r="P1072" i="5"/>
  <c r="M1072" i="5"/>
  <c r="M1071" i="5" s="1"/>
  <c r="M2240" i="5" s="1"/>
  <c r="M621" i="8" s="1"/>
  <c r="M684" i="8" s="1"/>
  <c r="N1072" i="5"/>
  <c r="N1071" i="5" s="1"/>
  <c r="N2240" i="5" s="1"/>
  <c r="N621" i="8" s="1"/>
  <c r="N684" i="8" s="1"/>
  <c r="L1072" i="5"/>
  <c r="O1072" i="5"/>
  <c r="O1071" i="5" s="1"/>
  <c r="O2240" i="5" s="1"/>
  <c r="O621" i="8" s="1"/>
  <c r="O684" i="8" s="1"/>
  <c r="M852" i="5"/>
  <c r="N852" i="5"/>
  <c r="L852" i="5"/>
  <c r="O852" i="5"/>
  <c r="P852" i="5"/>
  <c r="P116" i="5"/>
  <c r="M116" i="5"/>
  <c r="N116" i="5"/>
  <c r="O116" i="5"/>
  <c r="L116" i="5"/>
  <c r="O1373" i="5"/>
  <c r="N1373" i="5"/>
  <c r="P1373" i="5"/>
  <c r="L1373" i="5"/>
  <c r="M1373" i="5"/>
  <c r="O866" i="5"/>
  <c r="M866" i="5"/>
  <c r="P866" i="5"/>
  <c r="N866" i="5"/>
  <c r="L866" i="5"/>
  <c r="M1515" i="5"/>
  <c r="M1514" i="5" s="1"/>
  <c r="M2436" i="5" s="1"/>
  <c r="O1515" i="5"/>
  <c r="O1514" i="5" s="1"/>
  <c r="O2436" i="5" s="1"/>
  <c r="P1515" i="5"/>
  <c r="P1514" i="5" s="1"/>
  <c r="P2436" i="5" s="1"/>
  <c r="L1515" i="5"/>
  <c r="N1515" i="5"/>
  <c r="N1514" i="5" s="1"/>
  <c r="N2436" i="5" s="1"/>
  <c r="O1004" i="5"/>
  <c r="P1004" i="5"/>
  <c r="M1004" i="5"/>
  <c r="L1004" i="5"/>
  <c r="N1004" i="5"/>
  <c r="M435" i="5"/>
  <c r="P435" i="5"/>
  <c r="O435" i="5"/>
  <c r="L435" i="5"/>
  <c r="N435" i="5"/>
  <c r="L1455" i="5"/>
  <c r="M1455" i="5"/>
  <c r="O1455" i="5"/>
  <c r="P1455" i="5"/>
  <c r="N1455" i="5"/>
  <c r="M1534" i="5"/>
  <c r="P1534" i="5"/>
  <c r="L1534" i="5"/>
  <c r="O1534" i="5"/>
  <c r="N1534" i="5"/>
  <c r="O485" i="5"/>
  <c r="P485" i="5"/>
  <c r="N485" i="5"/>
  <c r="M485" i="5"/>
  <c r="L485" i="5"/>
  <c r="O1381" i="5"/>
  <c r="L1381" i="5"/>
  <c r="N1381" i="5"/>
  <c r="M1381" i="5"/>
  <c r="P1381" i="5"/>
  <c r="O327" i="5"/>
  <c r="O326" i="5" s="1"/>
  <c r="M327" i="5"/>
  <c r="M326" i="5" s="1"/>
  <c r="N327" i="5"/>
  <c r="N326" i="5" s="1"/>
  <c r="L327" i="5"/>
  <c r="P327" i="5"/>
  <c r="P326" i="5" s="1"/>
  <c r="M43" i="5"/>
  <c r="P43" i="5"/>
  <c r="O43" i="5"/>
  <c r="L43" i="5"/>
  <c r="N43" i="5"/>
  <c r="M1465" i="5"/>
  <c r="L1465" i="5"/>
  <c r="N1465" i="5"/>
  <c r="O1465" i="5"/>
  <c r="P1465" i="5"/>
  <c r="P491" i="5"/>
  <c r="P490" i="5" s="1"/>
  <c r="P1948" i="5" s="1"/>
  <c r="H1948" i="5" s="1"/>
  <c r="N491" i="5"/>
  <c r="N490" i="5" s="1"/>
  <c r="N1948" i="5" s="1"/>
  <c r="F1948" i="5" s="1"/>
  <c r="O491" i="5"/>
  <c r="O490" i="5" s="1"/>
  <c r="O1948" i="5" s="1"/>
  <c r="G1948" i="5" s="1"/>
  <c r="L491" i="5"/>
  <c r="M491" i="5"/>
  <c r="M490" i="5" s="1"/>
  <c r="M1948" i="5" s="1"/>
  <c r="E1948" i="5" s="1"/>
  <c r="O521" i="5"/>
  <c r="N521" i="5"/>
  <c r="L521" i="5"/>
  <c r="P521" i="5"/>
  <c r="M521" i="5"/>
  <c r="P616" i="5"/>
  <c r="O616" i="5"/>
  <c r="N616" i="5"/>
  <c r="M616" i="5"/>
  <c r="L616" i="5"/>
  <c r="P200" i="5"/>
  <c r="O200" i="5"/>
  <c r="L200" i="5"/>
  <c r="N200" i="5"/>
  <c r="M200" i="5"/>
  <c r="M572" i="5"/>
  <c r="O572" i="5"/>
  <c r="N572" i="5"/>
  <c r="P572" i="5"/>
  <c r="L572" i="5"/>
  <c r="P1237" i="5"/>
  <c r="M1237" i="5"/>
  <c r="L1237" i="5"/>
  <c r="O1237" i="5"/>
  <c r="N1237" i="5"/>
  <c r="O59" i="5"/>
  <c r="M59" i="5"/>
  <c r="P59" i="5"/>
  <c r="L59" i="5"/>
  <c r="N59" i="5"/>
  <c r="L853" i="5"/>
  <c r="N853" i="5"/>
  <c r="M853" i="5"/>
  <c r="O853" i="5"/>
  <c r="P853" i="5"/>
  <c r="O1497" i="5"/>
  <c r="O1495" i="5" s="1"/>
  <c r="O2424" i="5" s="1"/>
  <c r="G2424" i="5" s="1"/>
  <c r="P1497" i="5"/>
  <c r="P1495" i="5" s="1"/>
  <c r="P2424" i="5" s="1"/>
  <c r="H2424" i="5" s="1"/>
  <c r="N1497" i="5"/>
  <c r="N1495" i="5" s="1"/>
  <c r="N2424" i="5" s="1"/>
  <c r="F2424" i="5" s="1"/>
  <c r="M1497" i="5"/>
  <c r="M1495" i="5" s="1"/>
  <c r="M2424" i="5" s="1"/>
  <c r="E2424" i="5" s="1"/>
  <c r="L1497" i="5"/>
  <c r="O606" i="5"/>
  <c r="O604" i="5" s="1"/>
  <c r="O2004" i="5" s="1"/>
  <c r="M606" i="5"/>
  <c r="M604" i="5" s="1"/>
  <c r="M2004" i="5" s="1"/>
  <c r="N606" i="5"/>
  <c r="N604" i="5" s="1"/>
  <c r="N2004" i="5" s="1"/>
  <c r="L606" i="5"/>
  <c r="P606" i="5"/>
  <c r="P604" i="5" s="1"/>
  <c r="P2004" i="5" s="1"/>
  <c r="O315" i="5"/>
  <c r="L315" i="5"/>
  <c r="P315" i="5"/>
  <c r="N315" i="5"/>
  <c r="M315" i="5"/>
  <c r="O11" i="5"/>
  <c r="O9" i="5" s="1"/>
  <c r="P11" i="5"/>
  <c r="P9" i="5" s="1"/>
  <c r="M11" i="5"/>
  <c r="M9" i="5" s="1"/>
  <c r="N11" i="5"/>
  <c r="N9" i="5" s="1"/>
  <c r="L11" i="5"/>
  <c r="L470" i="5"/>
  <c r="M470" i="5"/>
  <c r="M469" i="5" s="1"/>
  <c r="M1937" i="5" s="1"/>
  <c r="O470" i="5"/>
  <c r="O469" i="5" s="1"/>
  <c r="O1937" i="5" s="1"/>
  <c r="P470" i="5"/>
  <c r="P469" i="5" s="1"/>
  <c r="P1937" i="5" s="1"/>
  <c r="N470" i="5"/>
  <c r="N469" i="5" s="1"/>
  <c r="N1937" i="5" s="1"/>
  <c r="L873" i="5"/>
  <c r="N873" i="5"/>
  <c r="O873" i="5"/>
  <c r="P873" i="5"/>
  <c r="M873" i="5"/>
  <c r="O1469" i="5"/>
  <c r="O1467" i="5" s="1"/>
  <c r="O2412" i="5" s="1"/>
  <c r="P1469" i="5"/>
  <c r="P1467" i="5" s="1"/>
  <c r="P2412" i="5" s="1"/>
  <c r="M1469" i="5"/>
  <c r="M1467" i="5" s="1"/>
  <c r="M2412" i="5" s="1"/>
  <c r="L1469" i="5"/>
  <c r="N1469" i="5"/>
  <c r="N1467" i="5" s="1"/>
  <c r="N2412" i="5" s="1"/>
  <c r="M1480" i="5"/>
  <c r="M1479" i="5" s="1"/>
  <c r="M2417" i="5" s="1"/>
  <c r="P1480" i="5"/>
  <c r="P1479" i="5" s="1"/>
  <c r="P2417" i="5" s="1"/>
  <c r="O1480" i="5"/>
  <c r="O1479" i="5" s="1"/>
  <c r="O2417" i="5" s="1"/>
  <c r="L1480" i="5"/>
  <c r="N1480" i="5"/>
  <c r="N1479" i="5" s="1"/>
  <c r="N2417" i="5" s="1"/>
  <c r="F96" i="3"/>
  <c r="F98" i="3" s="1"/>
  <c r="F886" i="5"/>
  <c r="E895" i="5"/>
  <c r="L886" i="5"/>
  <c r="O363" i="5"/>
  <c r="N363" i="5"/>
  <c r="M363" i="5"/>
  <c r="P363" i="5"/>
  <c r="L363" i="5"/>
  <c r="N1190" i="5"/>
  <c r="N1188" i="5" s="1"/>
  <c r="N2286" i="5" s="1"/>
  <c r="M1190" i="5"/>
  <c r="M1188" i="5" s="1"/>
  <c r="M2286" i="5" s="1"/>
  <c r="L1190" i="5"/>
  <c r="P1190" i="5"/>
  <c r="P1188" i="5" s="1"/>
  <c r="P2286" i="5" s="1"/>
  <c r="O1190" i="5"/>
  <c r="O1188" i="5" s="1"/>
  <c r="O2286" i="5" s="1"/>
  <c r="Q1092" i="5"/>
  <c r="P2211" i="5"/>
  <c r="P232" i="8" s="1"/>
  <c r="H2212" i="5"/>
  <c r="F2126" i="5"/>
  <c r="N2125" i="5"/>
  <c r="N193" i="8" s="1"/>
  <c r="O1459" i="5"/>
  <c r="O1457" i="5" s="1"/>
  <c r="O2409" i="5" s="1"/>
  <c r="G2409" i="5" s="1"/>
  <c r="L1459" i="5"/>
  <c r="N1459" i="5"/>
  <c r="N1457" i="5" s="1"/>
  <c r="N2409" i="5" s="1"/>
  <c r="F2409" i="5" s="1"/>
  <c r="P1459" i="5"/>
  <c r="P1457" i="5" s="1"/>
  <c r="P2409" i="5" s="1"/>
  <c r="H2409" i="5" s="1"/>
  <c r="M1459" i="5"/>
  <c r="M1457" i="5" s="1"/>
  <c r="M2409" i="5" s="1"/>
  <c r="E2409" i="5" s="1"/>
  <c r="M127" i="5"/>
  <c r="M126" i="5" s="1"/>
  <c r="M1772" i="5" s="1"/>
  <c r="E1772" i="5" s="1"/>
  <c r="P127" i="5"/>
  <c r="P126" i="5" s="1"/>
  <c r="P1772" i="5" s="1"/>
  <c r="H1772" i="5" s="1"/>
  <c r="N127" i="5"/>
  <c r="N126" i="5" s="1"/>
  <c r="N1772" i="5" s="1"/>
  <c r="F1772" i="5" s="1"/>
  <c r="L127" i="5"/>
  <c r="O127" i="5"/>
  <c r="O126" i="5" s="1"/>
  <c r="O1772" i="5" s="1"/>
  <c r="G1772" i="5" s="1"/>
  <c r="M648" i="5"/>
  <c r="M647" i="5" s="1"/>
  <c r="M2025" i="5" s="1"/>
  <c r="E2025" i="5" s="1"/>
  <c r="O648" i="5"/>
  <c r="O647" i="5" s="1"/>
  <c r="O2025" i="5" s="1"/>
  <c r="G2025" i="5" s="1"/>
  <c r="O1518" i="5"/>
  <c r="O1517" i="5" s="1"/>
  <c r="O2437" i="5" s="1"/>
  <c r="G2437" i="5" s="1"/>
  <c r="P1518" i="5"/>
  <c r="P1517" i="5" s="1"/>
  <c r="P2437" i="5" s="1"/>
  <c r="H2437" i="5" s="1"/>
  <c r="N1518" i="5"/>
  <c r="N1517" i="5" s="1"/>
  <c r="N2437" i="5" s="1"/>
  <c r="F2437" i="5" s="1"/>
  <c r="L1518" i="5"/>
  <c r="M1518" i="5"/>
  <c r="M1517" i="5" s="1"/>
  <c r="M2437" i="5" s="1"/>
  <c r="E2437" i="5" s="1"/>
  <c r="O289" i="5"/>
  <c r="O288" i="5" s="1"/>
  <c r="O1853" i="5" s="1"/>
  <c r="G1853" i="5" s="1"/>
  <c r="N289" i="5"/>
  <c r="N288" i="5" s="1"/>
  <c r="N1853" i="5" s="1"/>
  <c r="F1853" i="5" s="1"/>
  <c r="P289" i="5"/>
  <c r="P288" i="5" s="1"/>
  <c r="P1853" i="5" s="1"/>
  <c r="H1853" i="5" s="1"/>
  <c r="L289" i="5"/>
  <c r="M289" i="5"/>
  <c r="M288" i="5" s="1"/>
  <c r="M1853" i="5" s="1"/>
  <c r="E1853" i="5" s="1"/>
  <c r="M1471" i="5"/>
  <c r="N1471" i="5"/>
  <c r="L1471" i="5"/>
  <c r="O1471" i="5"/>
  <c r="P1471" i="5"/>
  <c r="O225" i="5"/>
  <c r="O224" i="5" s="1"/>
  <c r="O1822" i="5" s="1"/>
  <c r="G1822" i="5" s="1"/>
  <c r="N225" i="5"/>
  <c r="N224" i="5" s="1"/>
  <c r="N1822" i="5" s="1"/>
  <c r="F1822" i="5" s="1"/>
  <c r="L225" i="5"/>
  <c r="P225" i="5"/>
  <c r="P224" i="5" s="1"/>
  <c r="P1822" i="5" s="1"/>
  <c r="H1822" i="5" s="1"/>
  <c r="M225" i="5"/>
  <c r="M224" i="5" s="1"/>
  <c r="M1822" i="5" s="1"/>
  <c r="E1822" i="5" s="1"/>
  <c r="O505" i="5"/>
  <c r="O504" i="5" s="1"/>
  <c r="O1955" i="5" s="1"/>
  <c r="O590" i="8" s="1"/>
  <c r="L505" i="5"/>
  <c r="N505" i="5"/>
  <c r="N504" i="5" s="1"/>
  <c r="N1955" i="5" s="1"/>
  <c r="N590" i="8" s="1"/>
  <c r="M505" i="5"/>
  <c r="M504" i="5" s="1"/>
  <c r="M1955" i="5" s="1"/>
  <c r="M590" i="8" s="1"/>
  <c r="P505" i="5"/>
  <c r="P504" i="5" s="1"/>
  <c r="P1955" i="5" s="1"/>
  <c r="P590" i="8" s="1"/>
  <c r="O893" i="5"/>
  <c r="P893" i="5"/>
  <c r="L893" i="5"/>
  <c r="M893" i="5"/>
  <c r="N893" i="5"/>
  <c r="L1525" i="5"/>
  <c r="M1525" i="5"/>
  <c r="M1524" i="5" s="1"/>
  <c r="M2440" i="5" s="1"/>
  <c r="N1525" i="5"/>
  <c r="N1524" i="5" s="1"/>
  <c r="N2440" i="5" s="1"/>
  <c r="O1525" i="5"/>
  <c r="O1524" i="5" s="1"/>
  <c r="O2440" i="5" s="1"/>
  <c r="P1525" i="5"/>
  <c r="P1524" i="5" s="1"/>
  <c r="P2440" i="5" s="1"/>
  <c r="N1125" i="5"/>
  <c r="N1123" i="5" s="1"/>
  <c r="N2262" i="5" s="1"/>
  <c r="F2262" i="5" s="1"/>
  <c r="M1125" i="5"/>
  <c r="M1123" i="5" s="1"/>
  <c r="M2262" i="5" s="1"/>
  <c r="E2262" i="5" s="1"/>
  <c r="L1125" i="5"/>
  <c r="O1125" i="5"/>
  <c r="O1123" i="5" s="1"/>
  <c r="O2262" i="5" s="1"/>
  <c r="G2262" i="5" s="1"/>
  <c r="P1125" i="5"/>
  <c r="P1123" i="5" s="1"/>
  <c r="P2262" i="5" s="1"/>
  <c r="H2262" i="5" s="1"/>
  <c r="O1474" i="5"/>
  <c r="O1473" i="5" s="1"/>
  <c r="O2414" i="5" s="1"/>
  <c r="G2414" i="5" s="1"/>
  <c r="N1474" i="5"/>
  <c r="N1473" i="5" s="1"/>
  <c r="N2414" i="5" s="1"/>
  <c r="F2414" i="5" s="1"/>
  <c r="M1474" i="5"/>
  <c r="M1473" i="5" s="1"/>
  <c r="M2414" i="5" s="1"/>
  <c r="E2414" i="5" s="1"/>
  <c r="P1474" i="5"/>
  <c r="P1473" i="5" s="1"/>
  <c r="P2414" i="5" s="1"/>
  <c r="H2414" i="5" s="1"/>
  <c r="L1474" i="5"/>
  <c r="O570" i="5"/>
  <c r="M570" i="5"/>
  <c r="N570" i="5"/>
  <c r="L570" i="5"/>
  <c r="P570" i="5"/>
  <c r="O996" i="5"/>
  <c r="P996" i="5"/>
  <c r="N996" i="5"/>
  <c r="M996" i="5"/>
  <c r="L996" i="5"/>
  <c r="N1152" i="5"/>
  <c r="P1152" i="5"/>
  <c r="M1152" i="5"/>
  <c r="O1152" i="5"/>
  <c r="L1152" i="5"/>
  <c r="O57" i="5"/>
  <c r="L57" i="5"/>
  <c r="N57" i="5"/>
  <c r="P57" i="5"/>
  <c r="M57" i="5"/>
  <c r="O711" i="5"/>
  <c r="N711" i="5"/>
  <c r="M711" i="5"/>
  <c r="L711" i="5"/>
  <c r="P711" i="5"/>
  <c r="O978" i="5"/>
  <c r="N978" i="5"/>
  <c r="P978" i="5"/>
  <c r="L978" i="5"/>
  <c r="M978" i="5"/>
  <c r="N1193" i="5"/>
  <c r="O1193" i="5"/>
  <c r="M1193" i="5"/>
  <c r="P1193" i="5"/>
  <c r="L1193" i="5"/>
  <c r="P1454" i="5"/>
  <c r="L1454" i="5"/>
  <c r="O1454" i="5"/>
  <c r="N1454" i="5"/>
  <c r="M1454" i="5"/>
  <c r="P1635" i="5"/>
  <c r="O1635" i="5"/>
  <c r="L1635" i="5"/>
  <c r="N1635" i="5"/>
  <c r="M1635" i="5"/>
  <c r="L560" i="5"/>
  <c r="O560" i="5"/>
  <c r="M560" i="5"/>
  <c r="N560" i="5"/>
  <c r="P560" i="5"/>
  <c r="M986" i="5"/>
  <c r="L986" i="5"/>
  <c r="N986" i="5"/>
  <c r="O986" i="5"/>
  <c r="P986" i="5"/>
  <c r="P313" i="5"/>
  <c r="M313" i="5"/>
  <c r="N313" i="5"/>
  <c r="O313" i="5"/>
  <c r="L313" i="5"/>
  <c r="M1533" i="5"/>
  <c r="P1533" i="5"/>
  <c r="O1533" i="5"/>
  <c r="N1533" i="5"/>
  <c r="L1533" i="5"/>
  <c r="O72" i="5"/>
  <c r="P72" i="5"/>
  <c r="L72" i="5"/>
  <c r="N72" i="5"/>
  <c r="M72" i="5"/>
  <c r="P804" i="5"/>
  <c r="O804" i="5"/>
  <c r="N804" i="5"/>
  <c r="M804" i="5"/>
  <c r="L804" i="5"/>
  <c r="O970" i="5"/>
  <c r="N970" i="5"/>
  <c r="P970" i="5"/>
  <c r="M970" i="5"/>
  <c r="L970" i="5"/>
  <c r="O1109" i="5"/>
  <c r="N1109" i="5"/>
  <c r="P1109" i="5"/>
  <c r="M1109" i="5"/>
  <c r="L1109" i="5"/>
  <c r="N745" i="5"/>
  <c r="O745" i="5"/>
  <c r="P745" i="5"/>
  <c r="L745" i="5"/>
  <c r="M745" i="5"/>
  <c r="O1575" i="5"/>
  <c r="M1575" i="5"/>
  <c r="P1575" i="5"/>
  <c r="L1575" i="5"/>
  <c r="N1575" i="5"/>
  <c r="P351" i="5"/>
  <c r="N351" i="5"/>
  <c r="L351" i="5"/>
  <c r="M351" i="5"/>
  <c r="O351" i="5"/>
  <c r="M833" i="5"/>
  <c r="L833" i="5"/>
  <c r="N833" i="5"/>
  <c r="O833" i="5"/>
  <c r="P833" i="5"/>
  <c r="M1313" i="5"/>
  <c r="M1311" i="5" s="1"/>
  <c r="M2344" i="5" s="1"/>
  <c r="M636" i="8" s="1"/>
  <c r="N1313" i="5"/>
  <c r="N1311" i="5" s="1"/>
  <c r="N2344" i="5" s="1"/>
  <c r="N636" i="8" s="1"/>
  <c r="L1313" i="5"/>
  <c r="O1313" i="5"/>
  <c r="O1311" i="5" s="1"/>
  <c r="O2344" i="5" s="1"/>
  <c r="O636" i="8" s="1"/>
  <c r="P1313" i="5"/>
  <c r="P1311" i="5" s="1"/>
  <c r="P2344" i="5" s="1"/>
  <c r="P636" i="8" s="1"/>
  <c r="O2397" i="5"/>
  <c r="P2397" i="5"/>
  <c r="N2397" i="5"/>
  <c r="M2397" i="5"/>
  <c r="O411" i="5"/>
  <c r="O409" i="5" s="1"/>
  <c r="O1912" i="5" s="1"/>
  <c r="N411" i="5"/>
  <c r="N409" i="5" s="1"/>
  <c r="N1912" i="5" s="1"/>
  <c r="M411" i="5"/>
  <c r="M409" i="5" s="1"/>
  <c r="M1912" i="5" s="1"/>
  <c r="P411" i="5"/>
  <c r="P409" i="5" s="1"/>
  <c r="P1912" i="5" s="1"/>
  <c r="L411" i="5"/>
  <c r="P451" i="5"/>
  <c r="M451" i="5"/>
  <c r="N451" i="5"/>
  <c r="L451" i="5"/>
  <c r="O451" i="5"/>
  <c r="O1105" i="5"/>
  <c r="M1105" i="5"/>
  <c r="P1105" i="5"/>
  <c r="N1105" i="5"/>
  <c r="L1105" i="5"/>
  <c r="O1344" i="5"/>
  <c r="M1344" i="5"/>
  <c r="N1344" i="5"/>
  <c r="P1344" i="5"/>
  <c r="L1344" i="5"/>
  <c r="N1598" i="5"/>
  <c r="N1596" i="5" s="1"/>
  <c r="N2472" i="5" s="1"/>
  <c r="F2472" i="5" s="1"/>
  <c r="M1598" i="5"/>
  <c r="M1596" i="5" s="1"/>
  <c r="M2472" i="5" s="1"/>
  <c r="E2472" i="5" s="1"/>
  <c r="O1598" i="5"/>
  <c r="O1596" i="5" s="1"/>
  <c r="O2472" i="5" s="1"/>
  <c r="G2472" i="5" s="1"/>
  <c r="P1598" i="5"/>
  <c r="P1596" i="5" s="1"/>
  <c r="P2472" i="5" s="1"/>
  <c r="H2472" i="5" s="1"/>
  <c r="L1598" i="5"/>
  <c r="P438" i="5"/>
  <c r="N438" i="5"/>
  <c r="O438" i="5"/>
  <c r="M438" i="5"/>
  <c r="L438" i="5"/>
  <c r="O988" i="5"/>
  <c r="M988" i="5"/>
  <c r="P988" i="5"/>
  <c r="L988" i="5"/>
  <c r="N988" i="5"/>
  <c r="L1416" i="5"/>
  <c r="N1416" i="5"/>
  <c r="O1416" i="5"/>
  <c r="P1416" i="5"/>
  <c r="M1416" i="5"/>
  <c r="O1581" i="5"/>
  <c r="N1581" i="5"/>
  <c r="L1581" i="5"/>
  <c r="M1581" i="5"/>
  <c r="P1581" i="5"/>
  <c r="O66" i="5"/>
  <c r="N66" i="5"/>
  <c r="M66" i="5"/>
  <c r="P66" i="5"/>
  <c r="L66" i="5"/>
  <c r="P242" i="5"/>
  <c r="P240" i="5" s="1"/>
  <c r="P1831" i="5" s="1"/>
  <c r="O242" i="5"/>
  <c r="O240" i="5" s="1"/>
  <c r="O1831" i="5" s="1"/>
  <c r="L242" i="5"/>
  <c r="N242" i="5"/>
  <c r="N240" i="5" s="1"/>
  <c r="N1831" i="5" s="1"/>
  <c r="M242" i="5"/>
  <c r="M240" i="5" s="1"/>
  <c r="M1831" i="5" s="1"/>
  <c r="O398" i="5"/>
  <c r="O397" i="5" s="1"/>
  <c r="O1905" i="5" s="1"/>
  <c r="O583" i="8" s="1"/>
  <c r="N398" i="5"/>
  <c r="N397" i="5" s="1"/>
  <c r="N1905" i="5" s="1"/>
  <c r="N583" i="8" s="1"/>
  <c r="M398" i="5"/>
  <c r="M397" i="5" s="1"/>
  <c r="M1905" i="5" s="1"/>
  <c r="M583" i="8" s="1"/>
  <c r="P398" i="5"/>
  <c r="P397" i="5" s="1"/>
  <c r="P1905" i="5" s="1"/>
  <c r="P583" i="8" s="1"/>
  <c r="L398" i="5"/>
  <c r="M513" i="5"/>
  <c r="M512" i="5" s="1"/>
  <c r="M1960" i="5" s="1"/>
  <c r="M591" i="8" s="1"/>
  <c r="L513" i="5"/>
  <c r="N513" i="5"/>
  <c r="N512" i="5" s="1"/>
  <c r="N1960" i="5" s="1"/>
  <c r="N591" i="8" s="1"/>
  <c r="O513" i="5"/>
  <c r="O512" i="5" s="1"/>
  <c r="O1960" i="5" s="1"/>
  <c r="O591" i="8" s="1"/>
  <c r="P513" i="5"/>
  <c r="P512" i="5" s="1"/>
  <c r="P1960" i="5" s="1"/>
  <c r="P591" i="8" s="1"/>
  <c r="P860" i="5"/>
  <c r="O860" i="5"/>
  <c r="L860" i="5"/>
  <c r="N860" i="5"/>
  <c r="M860" i="5"/>
  <c r="P1135" i="5"/>
  <c r="O1135" i="5"/>
  <c r="L1135" i="5"/>
  <c r="M1135" i="5"/>
  <c r="N1135" i="5"/>
  <c r="N1429" i="5"/>
  <c r="L1429" i="5"/>
  <c r="O1429" i="5"/>
  <c r="M1429" i="5"/>
  <c r="P1429" i="5"/>
  <c r="G12" i="3"/>
  <c r="F54" i="5"/>
  <c r="M54" i="5" s="1"/>
  <c r="M53" i="5" s="1"/>
  <c r="M1733" i="5" s="1"/>
  <c r="F69" i="5"/>
  <c r="M69" i="5" s="1"/>
  <c r="M68" i="5" s="1"/>
  <c r="M1740" i="5" s="1"/>
  <c r="E1740" i="5" s="1"/>
  <c r="F2178" i="5"/>
  <c r="N2177" i="5"/>
  <c r="N218" i="8" s="1"/>
  <c r="O387" i="5"/>
  <c r="N387" i="5"/>
  <c r="P387" i="5"/>
  <c r="L387" i="5"/>
  <c r="M387" i="5"/>
  <c r="L1521" i="5"/>
  <c r="N1521" i="5"/>
  <c r="O1521" i="5"/>
  <c r="M1521" i="5"/>
  <c r="P1521" i="5"/>
  <c r="P393" i="5"/>
  <c r="M393" i="5"/>
  <c r="L393" i="5"/>
  <c r="N393" i="5"/>
  <c r="O393" i="5"/>
  <c r="G1789" i="5"/>
  <c r="O1787" i="5"/>
  <c r="O44" i="8" s="1"/>
  <c r="F1789" i="5"/>
  <c r="N1787" i="5"/>
  <c r="N44" i="8" s="1"/>
  <c r="L1472" i="5"/>
  <c r="M1472" i="5"/>
  <c r="N1472" i="5"/>
  <c r="O1472" i="5"/>
  <c r="P1472" i="5"/>
  <c r="O359" i="5"/>
  <c r="L359" i="5"/>
  <c r="N359" i="5"/>
  <c r="M359" i="5"/>
  <c r="P359" i="5"/>
  <c r="L955" i="5"/>
  <c r="L2188" i="5" s="1"/>
  <c r="Q956" i="5"/>
  <c r="Q955" i="5" s="1"/>
  <c r="Q2188" i="5" s="1"/>
  <c r="I2188" i="5" s="1"/>
  <c r="D1855" i="5"/>
  <c r="L1854" i="5"/>
  <c r="L67" i="8" s="1"/>
  <c r="N1422" i="5"/>
  <c r="N1421" i="5" s="1"/>
  <c r="N2391" i="5" s="1"/>
  <c r="F2391" i="5" s="1"/>
  <c r="P1422" i="5"/>
  <c r="P1421" i="5" s="1"/>
  <c r="P2391" i="5" s="1"/>
  <c r="H2391" i="5" s="1"/>
  <c r="O1422" i="5"/>
  <c r="O1421" i="5" s="1"/>
  <c r="O2391" i="5" s="1"/>
  <c r="G2391" i="5" s="1"/>
  <c r="M1422" i="5"/>
  <c r="L1422" i="5"/>
  <c r="L1421" i="5" s="1"/>
  <c r="L2391" i="5" s="1"/>
  <c r="O1424" i="5"/>
  <c r="O1423" i="5" s="1"/>
  <c r="O2392" i="5" s="1"/>
  <c r="G2392" i="5" s="1"/>
  <c r="N1424" i="5"/>
  <c r="N1423" i="5" s="1"/>
  <c r="N2392" i="5" s="1"/>
  <c r="F2392" i="5" s="1"/>
  <c r="M1424" i="5"/>
  <c r="P1424" i="5"/>
  <c r="P1423" i="5" s="1"/>
  <c r="P2392" i="5" s="1"/>
  <c r="H2392" i="5" s="1"/>
  <c r="L1424" i="5"/>
  <c r="L1423" i="5" s="1"/>
  <c r="L2392" i="5" s="1"/>
  <c r="N455" i="5"/>
  <c r="O455" i="5"/>
  <c r="M455" i="5"/>
  <c r="L455" i="5"/>
  <c r="P455" i="5"/>
  <c r="P1010" i="5"/>
  <c r="P1008" i="5" s="1"/>
  <c r="P2210" i="5" s="1"/>
  <c r="H2210" i="5" s="1"/>
  <c r="L1010" i="5"/>
  <c r="O1010" i="5"/>
  <c r="O1008" i="5" s="1"/>
  <c r="O2210" i="5" s="1"/>
  <c r="G2210" i="5" s="1"/>
  <c r="N1010" i="5"/>
  <c r="N1008" i="5" s="1"/>
  <c r="N2210" i="5" s="1"/>
  <c r="F2210" i="5" s="1"/>
  <c r="M1010" i="5"/>
  <c r="M1008" i="5" s="1"/>
  <c r="M2210" i="5" s="1"/>
  <c r="E2210" i="5" s="1"/>
  <c r="M2402" i="5"/>
  <c r="P2402" i="5"/>
  <c r="N2402" i="5"/>
  <c r="O2402" i="5"/>
  <c r="M149" i="5"/>
  <c r="M148" i="5" s="1"/>
  <c r="M1781" i="5" s="1"/>
  <c r="E1781" i="5" s="1"/>
  <c r="O149" i="5"/>
  <c r="O148" i="5" s="1"/>
  <c r="O1781" i="5" s="1"/>
  <c r="G1781" i="5" s="1"/>
  <c r="P149" i="5"/>
  <c r="P148" i="5" s="1"/>
  <c r="P1781" i="5" s="1"/>
  <c r="H1781" i="5" s="1"/>
  <c r="L149" i="5"/>
  <c r="N149" i="5"/>
  <c r="N148" i="5" s="1"/>
  <c r="N1781" i="5" s="1"/>
  <c r="F1781" i="5" s="1"/>
  <c r="P983" i="5"/>
  <c r="P981" i="5" s="1"/>
  <c r="P2201" i="5" s="1"/>
  <c r="H2201" i="5" s="1"/>
  <c r="M983" i="5"/>
  <c r="M981" i="5" s="1"/>
  <c r="M2201" i="5" s="1"/>
  <c r="E2201" i="5" s="1"/>
  <c r="L983" i="5"/>
  <c r="O983" i="5"/>
  <c r="O981" i="5" s="1"/>
  <c r="O2201" i="5" s="1"/>
  <c r="G2201" i="5" s="1"/>
  <c r="N983" i="5"/>
  <c r="N981" i="5" s="1"/>
  <c r="N2201" i="5" s="1"/>
  <c r="F2201" i="5" s="1"/>
  <c r="O1450" i="5"/>
  <c r="L1450" i="5"/>
  <c r="L1448" i="5" s="1"/>
  <c r="P1450" i="5"/>
  <c r="M1450" i="5"/>
  <c r="N1450" i="5"/>
  <c r="P2000" i="5"/>
  <c r="P134" i="8" s="1"/>
  <c r="H2001" i="5"/>
  <c r="M947" i="5"/>
  <c r="M946" i="5" s="1"/>
  <c r="M2182" i="5" s="1"/>
  <c r="E2182" i="5" s="1"/>
  <c r="L947" i="5"/>
  <c r="O947" i="5"/>
  <c r="O946" i="5" s="1"/>
  <c r="O2182" i="5" s="1"/>
  <c r="G2182" i="5" s="1"/>
  <c r="P947" i="5"/>
  <c r="P946" i="5" s="1"/>
  <c r="P2182" i="5" s="1"/>
  <c r="H2182" i="5" s="1"/>
  <c r="N947" i="5"/>
  <c r="N946" i="5" s="1"/>
  <c r="N2182" i="5" s="1"/>
  <c r="F2182" i="5" s="1"/>
  <c r="M125" i="5"/>
  <c r="M123" i="5" s="1"/>
  <c r="M1771" i="5" s="1"/>
  <c r="N125" i="5"/>
  <c r="N123" i="5" s="1"/>
  <c r="N1771" i="5" s="1"/>
  <c r="P125" i="5"/>
  <c r="P123" i="5" s="1"/>
  <c r="P1771" i="5" s="1"/>
  <c r="P555" i="8" s="1"/>
  <c r="L125" i="5"/>
  <c r="O125" i="5"/>
  <c r="O123" i="5" s="1"/>
  <c r="O1771" i="5" s="1"/>
  <c r="P269" i="5"/>
  <c r="L269" i="5"/>
  <c r="M269" i="5"/>
  <c r="O269" i="5"/>
  <c r="N269" i="5"/>
  <c r="M395" i="5"/>
  <c r="P395" i="5"/>
  <c r="L395" i="5"/>
  <c r="N395" i="5"/>
  <c r="O395" i="5"/>
  <c r="M481" i="5"/>
  <c r="L481" i="5"/>
  <c r="O481" i="5"/>
  <c r="N481" i="5"/>
  <c r="P481" i="5"/>
  <c r="P701" i="5"/>
  <c r="N701" i="5"/>
  <c r="O701" i="5"/>
  <c r="M701" i="5"/>
  <c r="L701" i="5"/>
  <c r="O999" i="5"/>
  <c r="P999" i="5"/>
  <c r="L999" i="5"/>
  <c r="N999" i="5"/>
  <c r="M999" i="5"/>
  <c r="M1082" i="5"/>
  <c r="L1082" i="5"/>
  <c r="P1082" i="5"/>
  <c r="O1082" i="5"/>
  <c r="N1082" i="5"/>
  <c r="M752" i="5"/>
  <c r="P752" i="5"/>
  <c r="L752" i="5"/>
  <c r="O752" i="5"/>
  <c r="N752" i="5"/>
  <c r="O1352" i="5"/>
  <c r="M1352" i="5"/>
  <c r="P1352" i="5"/>
  <c r="N1352" i="5"/>
  <c r="L1352" i="5"/>
  <c r="N1494" i="5"/>
  <c r="O1494" i="5"/>
  <c r="M1494" i="5"/>
  <c r="P1494" i="5"/>
  <c r="L1494" i="5"/>
  <c r="O376" i="5"/>
  <c r="M376" i="5"/>
  <c r="P376" i="5"/>
  <c r="L376" i="5"/>
  <c r="N376" i="5"/>
  <c r="O452" i="5"/>
  <c r="M452" i="5"/>
  <c r="P452" i="5"/>
  <c r="N452" i="5"/>
  <c r="L452" i="5"/>
  <c r="P712" i="5"/>
  <c r="O712" i="5"/>
  <c r="N712" i="5"/>
  <c r="M712" i="5"/>
  <c r="L712" i="5"/>
  <c r="O912" i="5"/>
  <c r="O910" i="5" s="1"/>
  <c r="O2161" i="5" s="1"/>
  <c r="M912" i="5"/>
  <c r="M910" i="5" s="1"/>
  <c r="M2161" i="5" s="1"/>
  <c r="N912" i="5"/>
  <c r="N910" i="5" s="1"/>
  <c r="N2161" i="5" s="1"/>
  <c r="L912" i="5"/>
  <c r="P912" i="5"/>
  <c r="P910" i="5" s="1"/>
  <c r="P2161" i="5" s="1"/>
  <c r="P310" i="5"/>
  <c r="M310" i="5"/>
  <c r="L310" i="5"/>
  <c r="O310" i="5"/>
  <c r="N310" i="5"/>
  <c r="P1410" i="5"/>
  <c r="L1410" i="5"/>
  <c r="O1410" i="5"/>
  <c r="M1410" i="5"/>
  <c r="N1410" i="5"/>
  <c r="P1633" i="5"/>
  <c r="M1633" i="5"/>
  <c r="O1633" i="5"/>
  <c r="N1633" i="5"/>
  <c r="L1633" i="5"/>
  <c r="M371" i="5"/>
  <c r="M369" i="5" s="1"/>
  <c r="M1894" i="5" s="1"/>
  <c r="M528" i="8" s="1"/>
  <c r="P371" i="5"/>
  <c r="P369" i="5" s="1"/>
  <c r="P1894" i="5" s="1"/>
  <c r="P528" i="8" s="1"/>
  <c r="L371" i="5"/>
  <c r="O371" i="5"/>
  <c r="O369" i="5" s="1"/>
  <c r="O1894" i="5" s="1"/>
  <c r="O528" i="8" s="1"/>
  <c r="N371" i="5"/>
  <c r="N369" i="5" s="1"/>
  <c r="N1894" i="5" s="1"/>
  <c r="N528" i="8" s="1"/>
  <c r="M562" i="5"/>
  <c r="L562" i="5"/>
  <c r="O562" i="5"/>
  <c r="N562" i="5"/>
  <c r="P562" i="5"/>
  <c r="L629" i="5"/>
  <c r="P629" i="5"/>
  <c r="P627" i="5" s="1"/>
  <c r="P2016" i="5" s="1"/>
  <c r="O629" i="5"/>
  <c r="O627" i="5" s="1"/>
  <c r="O2016" i="5" s="1"/>
  <c r="N629" i="5"/>
  <c r="N627" i="5" s="1"/>
  <c r="N2016" i="5" s="1"/>
  <c r="M629" i="5"/>
  <c r="M627" i="5" s="1"/>
  <c r="M2016" i="5" s="1"/>
  <c r="O879" i="5"/>
  <c r="P879" i="5"/>
  <c r="M879" i="5"/>
  <c r="L879" i="5"/>
  <c r="N879" i="5"/>
  <c r="M1131" i="5"/>
  <c r="L1131" i="5"/>
  <c r="O1131" i="5"/>
  <c r="P1131" i="5"/>
  <c r="N1131" i="5"/>
  <c r="O1368" i="5"/>
  <c r="O1366" i="5" s="1"/>
  <c r="O2369" i="5" s="1"/>
  <c r="L1368" i="5"/>
  <c r="N1368" i="5"/>
  <c r="N1366" i="5" s="1"/>
  <c r="N2369" i="5" s="1"/>
  <c r="P1368" i="5"/>
  <c r="P1366" i="5" s="1"/>
  <c r="P2369" i="5" s="1"/>
  <c r="P623" i="8" s="1"/>
  <c r="P685" i="8" s="1"/>
  <c r="M1368" i="5"/>
  <c r="M1366" i="5" s="1"/>
  <c r="M2369" i="5" s="1"/>
  <c r="M623" i="8" s="1"/>
  <c r="M685" i="8" s="1"/>
  <c r="M1582" i="5"/>
  <c r="P1582" i="5"/>
  <c r="N1582" i="5"/>
  <c r="O1582" i="5"/>
  <c r="L1582" i="5"/>
  <c r="O1698" i="5"/>
  <c r="O1696" i="5" s="1"/>
  <c r="O2513" i="5" s="1"/>
  <c r="L1698" i="5"/>
  <c r="M1698" i="5"/>
  <c r="M1696" i="5" s="1"/>
  <c r="M2513" i="5" s="1"/>
  <c r="N1698" i="5"/>
  <c r="N1696" i="5" s="1"/>
  <c r="N2513" i="5" s="1"/>
  <c r="P1698" i="5"/>
  <c r="P1696" i="5" s="1"/>
  <c r="P2513" i="5" s="1"/>
  <c r="L74" i="5"/>
  <c r="O74" i="5"/>
  <c r="N74" i="5"/>
  <c r="M74" i="5"/>
  <c r="P74" i="5"/>
  <c r="O191" i="5"/>
  <c r="L191" i="5"/>
  <c r="P191" i="5"/>
  <c r="N191" i="5"/>
  <c r="M191" i="5"/>
  <c r="P382" i="5"/>
  <c r="L382" i="5"/>
  <c r="O382" i="5"/>
  <c r="M382" i="5"/>
  <c r="N382" i="5"/>
  <c r="O502" i="5"/>
  <c r="M502" i="5"/>
  <c r="P502" i="5"/>
  <c r="L502" i="5"/>
  <c r="N502" i="5"/>
  <c r="P615" i="5"/>
  <c r="M615" i="5"/>
  <c r="N615" i="5"/>
  <c r="O615" i="5"/>
  <c r="L615" i="5"/>
  <c r="O698" i="5"/>
  <c r="M698" i="5"/>
  <c r="P698" i="5"/>
  <c r="L698" i="5"/>
  <c r="N698" i="5"/>
  <c r="L1066" i="5"/>
  <c r="P1066" i="5"/>
  <c r="M1066" i="5"/>
  <c r="N1066" i="5"/>
  <c r="O1066" i="5"/>
  <c r="O324" i="5"/>
  <c r="P324" i="5"/>
  <c r="M324" i="5"/>
  <c r="N324" i="5"/>
  <c r="L324" i="5"/>
  <c r="O1430" i="5"/>
  <c r="L1430" i="5"/>
  <c r="P1430" i="5"/>
  <c r="M1430" i="5"/>
  <c r="N1430" i="5"/>
  <c r="P1568" i="5"/>
  <c r="N1568" i="5"/>
  <c r="L1568" i="5"/>
  <c r="M1568" i="5"/>
  <c r="O1568" i="5"/>
  <c r="O471" i="5"/>
  <c r="O1938" i="5" s="1"/>
  <c r="Q1475" i="5"/>
  <c r="E2187" i="5"/>
  <c r="M2186" i="5"/>
  <c r="M223" i="8" s="1"/>
  <c r="N1238" i="5"/>
  <c r="M1238" i="5"/>
  <c r="L1238" i="5"/>
  <c r="O1238" i="5"/>
  <c r="P1238" i="5"/>
  <c r="P1117" i="5"/>
  <c r="L1117" i="5"/>
  <c r="O1117" i="5"/>
  <c r="N1117" i="5"/>
  <c r="M1117" i="5"/>
  <c r="O1330" i="5"/>
  <c r="O1328" i="5" s="1"/>
  <c r="O2353" i="5" s="1"/>
  <c r="L1330" i="5"/>
  <c r="N1330" i="5"/>
  <c r="N1328" i="5" s="1"/>
  <c r="N2353" i="5" s="1"/>
  <c r="M1330" i="5"/>
  <c r="M1328" i="5" s="1"/>
  <c r="M2353" i="5" s="1"/>
  <c r="P1330" i="5"/>
  <c r="P1328" i="5" s="1"/>
  <c r="P2353" i="5" s="1"/>
  <c r="O1112" i="5"/>
  <c r="P1112" i="5"/>
  <c r="L1112" i="5"/>
  <c r="N1112" i="5"/>
  <c r="M1112" i="5"/>
  <c r="P46" i="5"/>
  <c r="L46" i="5"/>
  <c r="N46" i="5"/>
  <c r="O46" i="5"/>
  <c r="M46" i="5"/>
  <c r="M181" i="5"/>
  <c r="O104" i="5"/>
  <c r="O102" i="5" s="1"/>
  <c r="O1761" i="5" s="1"/>
  <c r="O561" i="8" s="1"/>
  <c r="N104" i="5"/>
  <c r="N102" i="5" s="1"/>
  <c r="N1761" i="5" s="1"/>
  <c r="N561" i="8" s="1"/>
  <c r="P104" i="5"/>
  <c r="P102" i="5" s="1"/>
  <c r="P1761" i="5" s="1"/>
  <c r="P561" i="8" s="1"/>
  <c r="L104" i="5"/>
  <c r="M104" i="5"/>
  <c r="M102" i="5" s="1"/>
  <c r="M1761" i="5" s="1"/>
  <c r="M561" i="8" s="1"/>
  <c r="O1464" i="5"/>
  <c r="N1464" i="5"/>
  <c r="L1464" i="5"/>
  <c r="M1464" i="5"/>
  <c r="P1464" i="5"/>
  <c r="M1661" i="5"/>
  <c r="P1661" i="5"/>
  <c r="N1661" i="5"/>
  <c r="L1661" i="5"/>
  <c r="O1661" i="5"/>
  <c r="L1164" i="5"/>
  <c r="N1164" i="5"/>
  <c r="N1162" i="5" s="1"/>
  <c r="N2275" i="5" s="1"/>
  <c r="F2275" i="5" s="1"/>
  <c r="O1164" i="5"/>
  <c r="O1162" i="5" s="1"/>
  <c r="O2275" i="5" s="1"/>
  <c r="G2275" i="5" s="1"/>
  <c r="P1164" i="5"/>
  <c r="P1162" i="5" s="1"/>
  <c r="P2275" i="5" s="1"/>
  <c r="H2275" i="5" s="1"/>
  <c r="M1164" i="5"/>
  <c r="M1162" i="5" s="1"/>
  <c r="M2275" i="5" s="1"/>
  <c r="E2275" i="5" s="1"/>
  <c r="O1155" i="5"/>
  <c r="L1155" i="5"/>
  <c r="M1155" i="5"/>
  <c r="P1155" i="5"/>
  <c r="N1155" i="5"/>
  <c r="P750" i="5"/>
  <c r="L750" i="5"/>
  <c r="M750" i="5"/>
  <c r="O750" i="5"/>
  <c r="N750" i="5"/>
  <c r="O374" i="5"/>
  <c r="N374" i="5"/>
  <c r="M374" i="5"/>
  <c r="P374" i="5"/>
  <c r="L374" i="5"/>
  <c r="O1355" i="5"/>
  <c r="L1355" i="5"/>
  <c r="N1355" i="5"/>
  <c r="M1355" i="5"/>
  <c r="P1355" i="5"/>
  <c r="O809" i="5"/>
  <c r="N809" i="5"/>
  <c r="N808" i="5" s="1"/>
  <c r="N2110" i="5" s="1"/>
  <c r="L809" i="5"/>
  <c r="M809" i="5"/>
  <c r="P809" i="5"/>
  <c r="M575" i="5"/>
  <c r="P575" i="5"/>
  <c r="L575" i="5"/>
  <c r="O575" i="5"/>
  <c r="N575" i="5"/>
  <c r="L1241" i="5"/>
  <c r="N1241" i="5"/>
  <c r="M1241" i="5"/>
  <c r="O1241" i="5"/>
  <c r="P1241" i="5"/>
  <c r="M199" i="5"/>
  <c r="O199" i="5"/>
  <c r="L199" i="5"/>
  <c r="P199" i="5"/>
  <c r="N199" i="5"/>
  <c r="O1353" i="5"/>
  <c r="N1353" i="5"/>
  <c r="P1353" i="5"/>
  <c r="L1353" i="5"/>
  <c r="M1353" i="5"/>
  <c r="O738" i="5"/>
  <c r="O736" i="5" s="1"/>
  <c r="O2074" i="5" s="1"/>
  <c r="L738" i="5"/>
  <c r="P738" i="5"/>
  <c r="P736" i="5" s="1"/>
  <c r="P2074" i="5" s="1"/>
  <c r="M738" i="5"/>
  <c r="M736" i="5" s="1"/>
  <c r="M2074" i="5" s="1"/>
  <c r="N738" i="5"/>
  <c r="N736" i="5" s="1"/>
  <c r="N2074" i="5" s="1"/>
  <c r="P611" i="5"/>
  <c r="O611" i="5"/>
  <c r="L611" i="5"/>
  <c r="N611" i="5"/>
  <c r="M611" i="5"/>
  <c r="M1645" i="5"/>
  <c r="L1645" i="5"/>
  <c r="O1645" i="5"/>
  <c r="P1645" i="5"/>
  <c r="N1645" i="5"/>
  <c r="O254" i="5"/>
  <c r="O252" i="5" s="1"/>
  <c r="O1837" i="5" s="1"/>
  <c r="M254" i="5"/>
  <c r="M252" i="5" s="1"/>
  <c r="M1837" i="5" s="1"/>
  <c r="P254" i="5"/>
  <c r="P252" i="5" s="1"/>
  <c r="P1837" i="5" s="1"/>
  <c r="L254" i="5"/>
  <c r="N254" i="5"/>
  <c r="N252" i="5" s="1"/>
  <c r="N1837" i="5" s="1"/>
  <c r="O1111" i="5"/>
  <c r="L1111" i="5"/>
  <c r="M1111" i="5"/>
  <c r="N1111" i="5"/>
  <c r="P1111" i="5"/>
  <c r="E2178" i="5"/>
  <c r="M2177" i="5"/>
  <c r="M218" i="8" s="1"/>
  <c r="O595" i="5"/>
  <c r="L595" i="5"/>
  <c r="N595" i="5"/>
  <c r="M595" i="5"/>
  <c r="P595" i="5"/>
  <c r="N1677" i="5"/>
  <c r="N1676" i="5" s="1"/>
  <c r="N2505" i="5" s="1"/>
  <c r="O1677" i="5"/>
  <c r="O1676" i="5" s="1"/>
  <c r="O2505" i="5" s="1"/>
  <c r="M1677" i="5"/>
  <c r="M1676" i="5" s="1"/>
  <c r="M2505" i="5" s="1"/>
  <c r="P1677" i="5"/>
  <c r="P1676" i="5" s="1"/>
  <c r="P2505" i="5" s="1"/>
  <c r="L1677" i="5"/>
  <c r="O587" i="5"/>
  <c r="O583" i="5" s="1"/>
  <c r="O1992" i="5" s="1"/>
  <c r="G1992" i="5" s="1"/>
  <c r="N587" i="5"/>
  <c r="N583" i="5" s="1"/>
  <c r="N1992" i="5" s="1"/>
  <c r="F1992" i="5" s="1"/>
  <c r="P587" i="5"/>
  <c r="P583" i="5" s="1"/>
  <c r="P1992" i="5" s="1"/>
  <c r="H1992" i="5" s="1"/>
  <c r="M587" i="5"/>
  <c r="M583" i="5" s="1"/>
  <c r="M1992" i="5" s="1"/>
  <c r="E1992" i="5" s="1"/>
  <c r="L587" i="5"/>
  <c r="L69" i="5"/>
  <c r="M36" i="5"/>
  <c r="L36" i="5"/>
  <c r="N36" i="5"/>
  <c r="O36" i="5"/>
  <c r="P36" i="5"/>
  <c r="P1669" i="5"/>
  <c r="O1669" i="5"/>
  <c r="L1669" i="5"/>
  <c r="N1669" i="5"/>
  <c r="M1669" i="5"/>
  <c r="L693" i="5"/>
  <c r="L2051" i="5" s="1"/>
  <c r="Q601" i="5"/>
  <c r="Q600" i="5" s="1"/>
  <c r="Q2001" i="5" s="1"/>
  <c r="L600" i="5"/>
  <c r="L2001" i="5" s="1"/>
  <c r="O352" i="5"/>
  <c r="N352" i="5"/>
  <c r="M352" i="5"/>
  <c r="P352" i="5"/>
  <c r="L352" i="5"/>
  <c r="M1042" i="5"/>
  <c r="L1042" i="5"/>
  <c r="N1042" i="5"/>
  <c r="P1042" i="5"/>
  <c r="O1042" i="5"/>
  <c r="L1397" i="5"/>
  <c r="N1397" i="5"/>
  <c r="O1397" i="5"/>
  <c r="P1397" i="5"/>
  <c r="M1397" i="5"/>
  <c r="O567" i="5"/>
  <c r="M567" i="5"/>
  <c r="L567" i="5"/>
  <c r="N567" i="5"/>
  <c r="P567" i="5"/>
  <c r="O1345" i="5"/>
  <c r="N1345" i="5"/>
  <c r="M1345" i="5"/>
  <c r="P1345" i="5"/>
  <c r="L1345" i="5"/>
  <c r="O439" i="5"/>
  <c r="N439" i="5"/>
  <c r="M439" i="5"/>
  <c r="P439" i="5"/>
  <c r="L439" i="5"/>
  <c r="O963" i="5"/>
  <c r="O962" i="5" s="1"/>
  <c r="O2192" i="5" s="1"/>
  <c r="P963" i="5"/>
  <c r="P962" i="5" s="1"/>
  <c r="P2192" i="5" s="1"/>
  <c r="L963" i="5"/>
  <c r="N963" i="5"/>
  <c r="N962" i="5" s="1"/>
  <c r="N2192" i="5" s="1"/>
  <c r="M963" i="5"/>
  <c r="M962" i="5" s="1"/>
  <c r="M2192" i="5" s="1"/>
  <c r="O1650" i="5"/>
  <c r="M1650" i="5"/>
  <c r="P1650" i="5"/>
  <c r="L1650" i="5"/>
  <c r="N1650" i="5"/>
  <c r="O260" i="5"/>
  <c r="O258" i="5" s="1"/>
  <c r="O1840" i="5" s="1"/>
  <c r="M260" i="5"/>
  <c r="M258" i="5" s="1"/>
  <c r="M1840" i="5" s="1"/>
  <c r="P260" i="5"/>
  <c r="P258" i="5" s="1"/>
  <c r="P1840" i="5" s="1"/>
  <c r="L260" i="5"/>
  <c r="N260" i="5"/>
  <c r="N258" i="5" s="1"/>
  <c r="N1840" i="5" s="1"/>
  <c r="O676" i="5"/>
  <c r="P676" i="5"/>
  <c r="M676" i="5"/>
  <c r="L676" i="5"/>
  <c r="N676" i="5"/>
  <c r="P1122" i="5"/>
  <c r="M1122" i="5"/>
  <c r="N1122" i="5"/>
  <c r="O1122" i="5"/>
  <c r="L1122" i="5"/>
  <c r="N1655" i="5"/>
  <c r="O1655" i="5"/>
  <c r="M1655" i="5"/>
  <c r="P1655" i="5"/>
  <c r="L1655" i="5"/>
  <c r="P861" i="5"/>
  <c r="L861" i="5"/>
  <c r="M861" i="5"/>
  <c r="O861" i="5"/>
  <c r="N861" i="5"/>
  <c r="G649" i="5"/>
  <c r="E648" i="5"/>
  <c r="L649" i="5"/>
  <c r="P388" i="5"/>
  <c r="N388" i="5"/>
  <c r="M388" i="5"/>
  <c r="L388" i="5"/>
  <c r="O388" i="5"/>
  <c r="M1522" i="5"/>
  <c r="N1522" i="5"/>
  <c r="P1522" i="5"/>
  <c r="L1522" i="5"/>
  <c r="O1522" i="5"/>
  <c r="P44" i="5"/>
  <c r="L44" i="5"/>
  <c r="N44" i="5"/>
  <c r="O44" i="5"/>
  <c r="M44" i="5"/>
  <c r="E2212" i="5"/>
  <c r="M2211" i="5"/>
  <c r="M232" i="8" s="1"/>
  <c r="G2212" i="5"/>
  <c r="O2211" i="5"/>
  <c r="O232" i="8" s="1"/>
  <c r="E2126" i="5"/>
  <c r="M2125" i="5"/>
  <c r="M193" i="8" s="1"/>
  <c r="L792" i="5"/>
  <c r="L2102" i="5" s="1"/>
  <c r="E2102" i="5"/>
  <c r="M2101" i="5"/>
  <c r="M181" i="8" s="1"/>
  <c r="M209" i="5"/>
  <c r="M208" i="5" s="1"/>
  <c r="M1814" i="5" s="1"/>
  <c r="P209" i="5"/>
  <c r="P208" i="5" s="1"/>
  <c r="P1814" i="5" s="1"/>
  <c r="L209" i="5"/>
  <c r="N209" i="5"/>
  <c r="N208" i="5" s="1"/>
  <c r="N1814" i="5" s="1"/>
  <c r="O209" i="5"/>
  <c r="O208" i="5" s="1"/>
  <c r="O1814" i="5" s="1"/>
  <c r="P1338" i="5"/>
  <c r="P1337" i="5" s="1"/>
  <c r="P2357" i="5" s="1"/>
  <c r="P642" i="8" s="1"/>
  <c r="M1338" i="5"/>
  <c r="M1337" i="5" s="1"/>
  <c r="M2357" i="5" s="1"/>
  <c r="M642" i="8" s="1"/>
  <c r="O1338" i="5"/>
  <c r="O1337" i="5" s="1"/>
  <c r="O2357" i="5" s="1"/>
  <c r="O642" i="8" s="1"/>
  <c r="N1338" i="5"/>
  <c r="N1337" i="5" s="1"/>
  <c r="N2357" i="5" s="1"/>
  <c r="N642" i="8" s="1"/>
  <c r="L1338" i="5"/>
  <c r="O1547" i="5"/>
  <c r="O1546" i="5" s="1"/>
  <c r="O2449" i="5" s="1"/>
  <c r="P1547" i="5"/>
  <c r="P1546" i="5" s="1"/>
  <c r="P2449" i="5" s="1"/>
  <c r="M1547" i="5"/>
  <c r="M1546" i="5" s="1"/>
  <c r="M2449" i="5" s="1"/>
  <c r="L1547" i="5"/>
  <c r="N1547" i="5"/>
  <c r="N1546" i="5" s="1"/>
  <c r="N2449" i="5" s="1"/>
  <c r="D1882" i="5"/>
  <c r="L1881" i="5"/>
  <c r="L80" i="8" s="1"/>
  <c r="O1640" i="5"/>
  <c r="N1640" i="5"/>
  <c r="L1640" i="5"/>
  <c r="P1640" i="5"/>
  <c r="M1640" i="5"/>
  <c r="P358" i="5"/>
  <c r="N358" i="5"/>
  <c r="O358" i="5"/>
  <c r="M358" i="5"/>
  <c r="L358" i="5"/>
  <c r="P723" i="5"/>
  <c r="M723" i="5"/>
  <c r="N723" i="5"/>
  <c r="L723" i="5"/>
  <c r="O723" i="5"/>
  <c r="M1026" i="5"/>
  <c r="M1024" i="5" s="1"/>
  <c r="M2218" i="5" s="1"/>
  <c r="E2218" i="5" s="1"/>
  <c r="P1026" i="5"/>
  <c r="P1024" i="5" s="1"/>
  <c r="P2218" i="5" s="1"/>
  <c r="H2218" i="5" s="1"/>
  <c r="N1026" i="5"/>
  <c r="N1024" i="5" s="1"/>
  <c r="N2218" i="5" s="1"/>
  <c r="F2218" i="5" s="1"/>
  <c r="O1026" i="5"/>
  <c r="O1024" i="5" s="1"/>
  <c r="O2218" i="5" s="1"/>
  <c r="G2218" i="5" s="1"/>
  <c r="L1026" i="5"/>
  <c r="L1528" i="5"/>
  <c r="M1528" i="5"/>
  <c r="M1527" i="5" s="1"/>
  <c r="M2441" i="5" s="1"/>
  <c r="E2441" i="5" s="1"/>
  <c r="P1528" i="5"/>
  <c r="P1527" i="5" s="1"/>
  <c r="P2441" i="5" s="1"/>
  <c r="H2441" i="5" s="1"/>
  <c r="O1528" i="5"/>
  <c r="O1527" i="5" s="1"/>
  <c r="O2441" i="5" s="1"/>
  <c r="G2441" i="5" s="1"/>
  <c r="N1528" i="5"/>
  <c r="N1527" i="5" s="1"/>
  <c r="N2441" i="5" s="1"/>
  <c r="F2441" i="5" s="1"/>
  <c r="O1185" i="5"/>
  <c r="O1183" i="5" s="1"/>
  <c r="O2284" i="5" s="1"/>
  <c r="G2284" i="5" s="1"/>
  <c r="N1185" i="5"/>
  <c r="N1183" i="5" s="1"/>
  <c r="N2284" i="5" s="1"/>
  <c r="F2284" i="5" s="1"/>
  <c r="M1185" i="5"/>
  <c r="M1183" i="5" s="1"/>
  <c r="M2284" i="5" s="1"/>
  <c r="E2284" i="5" s="1"/>
  <c r="P1185" i="5"/>
  <c r="P1183" i="5" s="1"/>
  <c r="P2284" i="5" s="1"/>
  <c r="H2284" i="5" s="1"/>
  <c r="L1185" i="5"/>
  <c r="M1483" i="5"/>
  <c r="N1483" i="5"/>
  <c r="P1483" i="5"/>
  <c r="O1483" i="5"/>
  <c r="L1483" i="5"/>
  <c r="O799" i="5"/>
  <c r="L799" i="5"/>
  <c r="N799" i="5"/>
  <c r="M799" i="5"/>
  <c r="P799" i="5"/>
  <c r="O1041" i="5"/>
  <c r="L1041" i="5"/>
  <c r="N1041" i="5"/>
  <c r="P1041" i="5"/>
  <c r="M1041" i="5"/>
  <c r="O1235" i="5"/>
  <c r="P1235" i="5"/>
  <c r="N1235" i="5"/>
  <c r="L1235" i="5"/>
  <c r="M1235" i="5"/>
  <c r="O1395" i="5"/>
  <c r="P1395" i="5"/>
  <c r="M1395" i="5"/>
  <c r="L1395" i="5"/>
  <c r="N1395" i="5"/>
  <c r="P145" i="5"/>
  <c r="L145" i="5"/>
  <c r="N145" i="5"/>
  <c r="O145" i="5"/>
  <c r="O144" i="5" s="1"/>
  <c r="O1780" i="5" s="1"/>
  <c r="M145" i="5"/>
  <c r="O814" i="5"/>
  <c r="M814" i="5"/>
  <c r="N814" i="5"/>
  <c r="L814" i="5"/>
  <c r="P814" i="5"/>
  <c r="L1002" i="5"/>
  <c r="O1002" i="5"/>
  <c r="M1002" i="5"/>
  <c r="P1002" i="5"/>
  <c r="N1002" i="5"/>
  <c r="P308" i="5"/>
  <c r="L308" i="5"/>
  <c r="N308" i="5"/>
  <c r="M308" i="5"/>
  <c r="O308" i="5"/>
  <c r="N1543" i="5"/>
  <c r="N1542" i="5" s="1"/>
  <c r="N2447" i="5" s="1"/>
  <c r="F2447" i="5" s="1"/>
  <c r="L1543" i="5"/>
  <c r="P1543" i="5"/>
  <c r="P1542" i="5" s="1"/>
  <c r="P2447" i="5" s="1"/>
  <c r="H2447" i="5" s="1"/>
  <c r="M1543" i="5"/>
  <c r="M1542" i="5" s="1"/>
  <c r="M2447" i="5" s="1"/>
  <c r="E2447" i="5" s="1"/>
  <c r="O1543" i="5"/>
  <c r="O1542" i="5" s="1"/>
  <c r="O2447" i="5" s="1"/>
  <c r="G2447" i="5" s="1"/>
  <c r="O29" i="5"/>
  <c r="M29" i="5"/>
  <c r="M28" i="5" s="1"/>
  <c r="M1721" i="5" s="1"/>
  <c r="P29" i="5"/>
  <c r="L29" i="5"/>
  <c r="N29" i="5"/>
  <c r="O580" i="5"/>
  <c r="L580" i="5"/>
  <c r="M580" i="5"/>
  <c r="N580" i="5"/>
  <c r="P580" i="5"/>
  <c r="O1033" i="5"/>
  <c r="L1033" i="5"/>
  <c r="P1033" i="5"/>
  <c r="M1033" i="5"/>
  <c r="N1033" i="5"/>
  <c r="O317" i="5"/>
  <c r="L317" i="5"/>
  <c r="N317" i="5"/>
  <c r="P317" i="5"/>
  <c r="M317" i="5"/>
  <c r="M1559" i="5"/>
  <c r="N1559" i="5"/>
  <c r="P1559" i="5"/>
  <c r="L1559" i="5"/>
  <c r="O1559" i="5"/>
  <c r="O380" i="5"/>
  <c r="P380" i="5"/>
  <c r="N380" i="5"/>
  <c r="M380" i="5"/>
  <c r="L380" i="5"/>
  <c r="O859" i="5"/>
  <c r="L859" i="5"/>
  <c r="N859" i="5"/>
  <c r="M859" i="5"/>
  <c r="P859" i="5"/>
  <c r="P1028" i="5"/>
  <c r="P1027" i="5" s="1"/>
  <c r="P2219" i="5" s="1"/>
  <c r="H2219" i="5" s="1"/>
  <c r="N1028" i="5"/>
  <c r="N1027" i="5" s="1"/>
  <c r="N2219" i="5" s="1"/>
  <c r="F2219" i="5" s="1"/>
  <c r="L1028" i="5"/>
  <c r="O1028" i="5"/>
  <c r="O1027" i="5" s="1"/>
  <c r="O2219" i="5" s="1"/>
  <c r="G2219" i="5" s="1"/>
  <c r="M1028" i="5"/>
  <c r="M1027" i="5" s="1"/>
  <c r="M2219" i="5" s="1"/>
  <c r="E2219" i="5" s="1"/>
  <c r="P1134" i="5"/>
  <c r="L1134" i="5"/>
  <c r="N1134" i="5"/>
  <c r="M1134" i="5"/>
  <c r="O1134" i="5"/>
  <c r="O758" i="5"/>
  <c r="M758" i="5"/>
  <c r="M757" i="5" s="1"/>
  <c r="M2083" i="5" s="1"/>
  <c r="E2083" i="5" s="1"/>
  <c r="P758" i="5"/>
  <c r="L758" i="5"/>
  <c r="N758" i="5"/>
  <c r="M1489" i="5"/>
  <c r="P1489" i="5"/>
  <c r="L1489" i="5"/>
  <c r="N1489" i="5"/>
  <c r="O1489" i="5"/>
  <c r="O13" i="5"/>
  <c r="L13" i="5"/>
  <c r="P13" i="5"/>
  <c r="M13" i="5"/>
  <c r="N13" i="5"/>
  <c r="N12" i="5" s="1"/>
  <c r="N1713" i="5" s="1"/>
  <c r="F1713" i="5" s="1"/>
  <c r="O432" i="5"/>
  <c r="N432" i="5"/>
  <c r="M432" i="5"/>
  <c r="P432" i="5"/>
  <c r="L432" i="5"/>
  <c r="O998" i="5"/>
  <c r="L998" i="5"/>
  <c r="P998" i="5"/>
  <c r="N998" i="5"/>
  <c r="M998" i="5"/>
  <c r="O1321" i="5"/>
  <c r="N1321" i="5"/>
  <c r="P1321" i="5"/>
  <c r="L1321" i="5"/>
  <c r="M1321" i="5"/>
  <c r="M1541" i="5"/>
  <c r="L1541" i="5"/>
  <c r="P1541" i="5"/>
  <c r="N1541" i="5"/>
  <c r="O1541" i="5"/>
  <c r="P421" i="5"/>
  <c r="N421" i="5"/>
  <c r="L421" i="5"/>
  <c r="M421" i="5"/>
  <c r="O421" i="5"/>
  <c r="P495" i="5"/>
  <c r="N495" i="5"/>
  <c r="M495" i="5"/>
  <c r="O495" i="5"/>
  <c r="L495" i="5"/>
  <c r="O1195" i="5"/>
  <c r="M1195" i="5"/>
  <c r="P1195" i="5"/>
  <c r="L1195" i="5"/>
  <c r="N1195" i="5"/>
  <c r="O1409" i="5"/>
  <c r="P1409" i="5"/>
  <c r="M1409" i="5"/>
  <c r="L1409" i="5"/>
  <c r="N1409" i="5"/>
  <c r="O154" i="5"/>
  <c r="O152" i="5" s="1"/>
  <c r="O1784" i="5" s="1"/>
  <c r="P154" i="5"/>
  <c r="P152" i="5" s="1"/>
  <c r="P1784" i="5" s="1"/>
  <c r="L154" i="5"/>
  <c r="M154" i="5"/>
  <c r="M152" i="5" s="1"/>
  <c r="M1784" i="5" s="1"/>
  <c r="N154" i="5"/>
  <c r="N152" i="5" s="1"/>
  <c r="N1784" i="5" s="1"/>
  <c r="P498" i="5"/>
  <c r="M498" i="5"/>
  <c r="N498" i="5"/>
  <c r="O498" i="5"/>
  <c r="L498" i="5"/>
  <c r="P1142" i="5"/>
  <c r="M1142" i="5"/>
  <c r="O1142" i="5"/>
  <c r="L1142" i="5"/>
  <c r="N1142" i="5"/>
  <c r="P1511" i="5"/>
  <c r="P1509" i="5" s="1"/>
  <c r="P2433" i="5" s="1"/>
  <c r="P644" i="8" s="1"/>
  <c r="L1511" i="5"/>
  <c r="M1511" i="5"/>
  <c r="M1509" i="5" s="1"/>
  <c r="M2433" i="5" s="1"/>
  <c r="M644" i="8" s="1"/>
  <c r="O1511" i="5"/>
  <c r="O1509" i="5" s="1"/>
  <c r="O2433" i="5" s="1"/>
  <c r="O644" i="8" s="1"/>
  <c r="N1511" i="5"/>
  <c r="N1509" i="5" s="1"/>
  <c r="N2433" i="5" s="1"/>
  <c r="N644" i="8" s="1"/>
  <c r="M1611" i="5"/>
  <c r="M1609" i="5" s="1"/>
  <c r="M2479" i="5" s="1"/>
  <c r="M558" i="8" s="1"/>
  <c r="P1611" i="5"/>
  <c r="P1609" i="5" s="1"/>
  <c r="P2479" i="5" s="1"/>
  <c r="P558" i="8" s="1"/>
  <c r="N1611" i="5"/>
  <c r="N1609" i="5" s="1"/>
  <c r="N2479" i="5" s="1"/>
  <c r="N558" i="8" s="1"/>
  <c r="L1611" i="5"/>
  <c r="O1611" i="5"/>
  <c r="O1609" i="5" s="1"/>
  <c r="O2479" i="5" s="1"/>
  <c r="O558" i="8" s="1"/>
  <c r="P73" i="5"/>
  <c r="O73" i="5"/>
  <c r="L73" i="5"/>
  <c r="M73" i="5"/>
  <c r="N73" i="5"/>
  <c r="M248" i="5"/>
  <c r="M246" i="5" s="1"/>
  <c r="M1834" i="5" s="1"/>
  <c r="O248" i="5"/>
  <c r="O246" i="5" s="1"/>
  <c r="O1834" i="5" s="1"/>
  <c r="L248" i="5"/>
  <c r="P248" i="5"/>
  <c r="P246" i="5" s="1"/>
  <c r="P1834" i="5" s="1"/>
  <c r="N248" i="5"/>
  <c r="N246" i="5" s="1"/>
  <c r="N1834" i="5" s="1"/>
  <c r="O429" i="5"/>
  <c r="L429" i="5"/>
  <c r="M429" i="5"/>
  <c r="P429" i="5"/>
  <c r="N429" i="5"/>
  <c r="O546" i="5"/>
  <c r="O544" i="5" s="1"/>
  <c r="O1976" i="5" s="1"/>
  <c r="O585" i="8" s="1"/>
  <c r="M546" i="5"/>
  <c r="M544" i="5" s="1"/>
  <c r="M1976" i="5" s="1"/>
  <c r="M585" i="8" s="1"/>
  <c r="P546" i="5"/>
  <c r="L546" i="5"/>
  <c r="N546" i="5"/>
  <c r="N544" i="5" s="1"/>
  <c r="N1976" i="5" s="1"/>
  <c r="N585" i="8" s="1"/>
  <c r="M867" i="5"/>
  <c r="P867" i="5"/>
  <c r="O867" i="5"/>
  <c r="L867" i="5"/>
  <c r="N867" i="5"/>
  <c r="M1177" i="5"/>
  <c r="M1175" i="5" s="1"/>
  <c r="M2281" i="5" s="1"/>
  <c r="M608" i="8" s="1"/>
  <c r="M678" i="8" s="1"/>
  <c r="L1177" i="5"/>
  <c r="P1177" i="5"/>
  <c r="P1175" i="5" s="1"/>
  <c r="P2281" i="5" s="1"/>
  <c r="P608" i="8" s="1"/>
  <c r="P678" i="8" s="1"/>
  <c r="O1177" i="5"/>
  <c r="O1175" i="5" s="1"/>
  <c r="O2281" i="5" s="1"/>
  <c r="O608" i="8" s="1"/>
  <c r="O678" i="8" s="1"/>
  <c r="N1177" i="5"/>
  <c r="N1175" i="5" s="1"/>
  <c r="N2281" i="5" s="1"/>
  <c r="N608" i="8" s="1"/>
  <c r="N678" i="8" s="1"/>
  <c r="O1507" i="5"/>
  <c r="O1505" i="5" s="1"/>
  <c r="O2431" i="5" s="1"/>
  <c r="O646" i="8" s="1"/>
  <c r="N1507" i="5"/>
  <c r="N1505" i="5" s="1"/>
  <c r="N2431" i="5" s="1"/>
  <c r="N646" i="8" s="1"/>
  <c r="M1507" i="5"/>
  <c r="P1507" i="5"/>
  <c r="P1505" i="5" s="1"/>
  <c r="P2431" i="5" s="1"/>
  <c r="P646" i="8" s="1"/>
  <c r="L1507" i="5"/>
  <c r="H2178" i="5"/>
  <c r="P2177" i="5"/>
  <c r="P218" i="8" s="1"/>
  <c r="G2178" i="5"/>
  <c r="O2177" i="5"/>
  <c r="O218" i="8" s="1"/>
  <c r="Q522" i="5"/>
  <c r="L1622" i="5"/>
  <c r="N1622" i="5"/>
  <c r="P1622" i="5"/>
  <c r="M1622" i="5"/>
  <c r="O1622" i="5"/>
  <c r="L1136" i="5"/>
  <c r="N1136" i="5"/>
  <c r="O1136" i="5"/>
  <c r="M1136" i="5"/>
  <c r="P1136" i="5"/>
  <c r="O1252" i="5"/>
  <c r="O1251" i="5" s="1"/>
  <c r="M1252" i="5"/>
  <c r="M1251" i="5" s="1"/>
  <c r="P1252" i="5"/>
  <c r="P1251" i="5" s="1"/>
  <c r="L1252" i="5"/>
  <c r="N1252" i="5"/>
  <c r="N1251" i="5" s="1"/>
  <c r="H1789" i="5"/>
  <c r="P1787" i="5"/>
  <c r="P44" i="8" s="1"/>
  <c r="O2400" i="5"/>
  <c r="P2400" i="5"/>
  <c r="M2400" i="5"/>
  <c r="N2400" i="5"/>
  <c r="O1615" i="5"/>
  <c r="O1614" i="5" s="1"/>
  <c r="O2481" i="5" s="1"/>
  <c r="L1615" i="5"/>
  <c r="N1615" i="5"/>
  <c r="N1614" i="5" s="1"/>
  <c r="N2481" i="5" s="1"/>
  <c r="M1615" i="5"/>
  <c r="M1614" i="5" s="1"/>
  <c r="M2481" i="5" s="1"/>
  <c r="P1615" i="5"/>
  <c r="P1614" i="5" s="1"/>
  <c r="P2481" i="5" s="1"/>
  <c r="O842" i="5"/>
  <c r="N842" i="5"/>
  <c r="M842" i="5"/>
  <c r="L842" i="5"/>
  <c r="P842" i="5"/>
  <c r="P406" i="5"/>
  <c r="P405" i="5" s="1"/>
  <c r="P1909" i="5" s="1"/>
  <c r="P579" i="8" s="1"/>
  <c r="L406" i="5"/>
  <c r="N406" i="5"/>
  <c r="N405" i="5" s="1"/>
  <c r="N1909" i="5" s="1"/>
  <c r="N579" i="8" s="1"/>
  <c r="M406" i="5"/>
  <c r="M405" i="5" s="1"/>
  <c r="M1909" i="5" s="1"/>
  <c r="M579" i="8" s="1"/>
  <c r="O406" i="5"/>
  <c r="O405" i="5" s="1"/>
  <c r="O1909" i="5" s="1"/>
  <c r="O579" i="8" s="1"/>
  <c r="P195" i="5"/>
  <c r="P194" i="5" s="1"/>
  <c r="P1806" i="5" s="1"/>
  <c r="M195" i="5"/>
  <c r="M194" i="5" s="1"/>
  <c r="M1806" i="5" s="1"/>
  <c r="L195" i="5"/>
  <c r="N195" i="5"/>
  <c r="N194" i="5" s="1"/>
  <c r="N1806" i="5" s="1"/>
  <c r="O195" i="5"/>
  <c r="O194" i="5" s="1"/>
  <c r="O1806" i="5" s="1"/>
  <c r="P1641" i="5"/>
  <c r="L1641" i="5"/>
  <c r="O1641" i="5"/>
  <c r="M1641" i="5"/>
  <c r="N1641" i="5"/>
  <c r="O489" i="5"/>
  <c r="O488" i="5" s="1"/>
  <c r="O1947" i="5" s="1"/>
  <c r="L489" i="5"/>
  <c r="P489" i="5"/>
  <c r="P488" i="5" s="1"/>
  <c r="P1947" i="5" s="1"/>
  <c r="M489" i="5"/>
  <c r="M488" i="5" s="1"/>
  <c r="M1947" i="5" s="1"/>
  <c r="N489" i="5"/>
  <c r="N488" i="5" s="1"/>
  <c r="N1947" i="5" s="1"/>
  <c r="M1055" i="5"/>
  <c r="M1054" i="5" s="1"/>
  <c r="M2231" i="5" s="1"/>
  <c r="E2231" i="5" s="1"/>
  <c r="O1055" i="5"/>
  <c r="O1054" i="5" s="1"/>
  <c r="O2231" i="5" s="1"/>
  <c r="G2231" i="5" s="1"/>
  <c r="P1055" i="5"/>
  <c r="P1054" i="5" s="1"/>
  <c r="P2231" i="5" s="1"/>
  <c r="H2231" i="5" s="1"/>
  <c r="N1055" i="5"/>
  <c r="N1054" i="5" s="1"/>
  <c r="N2231" i="5" s="1"/>
  <c r="F2231" i="5" s="1"/>
  <c r="L1055" i="5"/>
  <c r="P1617" i="5"/>
  <c r="P1616" i="5" s="1"/>
  <c r="P2482" i="5" s="1"/>
  <c r="L1617" i="5"/>
  <c r="O1617" i="5"/>
  <c r="O1616" i="5" s="1"/>
  <c r="O2482" i="5" s="1"/>
  <c r="N1617" i="5"/>
  <c r="N1616" i="5" s="1"/>
  <c r="N2482" i="5" s="1"/>
  <c r="M1617" i="5"/>
  <c r="M1616" i="5" s="1"/>
  <c r="M2482" i="5" s="1"/>
  <c r="M475" i="5"/>
  <c r="M474" i="5" s="1"/>
  <c r="M1940" i="5" s="1"/>
  <c r="M589" i="8" s="1"/>
  <c r="N475" i="5"/>
  <c r="N474" i="5" s="1"/>
  <c r="N1940" i="5" s="1"/>
  <c r="N589" i="8" s="1"/>
  <c r="O475" i="5"/>
  <c r="O474" i="5" s="1"/>
  <c r="O1940" i="5" s="1"/>
  <c r="O589" i="8" s="1"/>
  <c r="L475" i="5"/>
  <c r="P475" i="5"/>
  <c r="P474" i="5" s="1"/>
  <c r="P1940" i="5" s="1"/>
  <c r="P589" i="8" s="1"/>
  <c r="O1150" i="5"/>
  <c r="O1146" i="5" s="1"/>
  <c r="O2270" i="5" s="1"/>
  <c r="L1150" i="5"/>
  <c r="N1150" i="5"/>
  <c r="N1146" i="5" s="1"/>
  <c r="N2270" i="5" s="1"/>
  <c r="M1150" i="5"/>
  <c r="M1146" i="5" s="1"/>
  <c r="M2270" i="5" s="1"/>
  <c r="P1150" i="5"/>
  <c r="P1146" i="5" s="1"/>
  <c r="P2270" i="5" s="1"/>
  <c r="G2001" i="5"/>
  <c r="O2000" i="5"/>
  <c r="O134" i="8" s="1"/>
  <c r="O179" i="5"/>
  <c r="O177" i="5" s="1"/>
  <c r="O1798" i="5" s="1"/>
  <c r="L179" i="5"/>
  <c r="P179" i="5"/>
  <c r="P177" i="5" s="1"/>
  <c r="P1798" i="5" s="1"/>
  <c r="N179" i="5"/>
  <c r="N177" i="5" s="1"/>
  <c r="N1798" i="5" s="1"/>
  <c r="M179" i="5"/>
  <c r="M177" i="5" s="1"/>
  <c r="M1798" i="5" s="1"/>
  <c r="O301" i="5"/>
  <c r="M301" i="5"/>
  <c r="P301" i="5"/>
  <c r="L301" i="5"/>
  <c r="N301" i="5"/>
  <c r="O401" i="5"/>
  <c r="O399" i="5" s="1"/>
  <c r="O1906" i="5" s="1"/>
  <c r="P401" i="5"/>
  <c r="P399" i="5" s="1"/>
  <c r="P1906" i="5" s="1"/>
  <c r="N401" i="5"/>
  <c r="N399" i="5" s="1"/>
  <c r="N1906" i="5" s="1"/>
  <c r="L401" i="5"/>
  <c r="M401" i="5"/>
  <c r="M399" i="5" s="1"/>
  <c r="M1906" i="5" s="1"/>
  <c r="P518" i="5"/>
  <c r="P516" i="5" s="1"/>
  <c r="P1963" i="5" s="1"/>
  <c r="M518" i="5"/>
  <c r="M516" i="5" s="1"/>
  <c r="M1963" i="5" s="1"/>
  <c r="N518" i="5"/>
  <c r="N516" i="5" s="1"/>
  <c r="N1963" i="5" s="1"/>
  <c r="O518" i="5"/>
  <c r="O516" i="5" s="1"/>
  <c r="O1963" i="5" s="1"/>
  <c r="L518" i="5"/>
  <c r="P801" i="5"/>
  <c r="M801" i="5"/>
  <c r="L801" i="5"/>
  <c r="O801" i="5"/>
  <c r="N801" i="5"/>
  <c r="O1005" i="5"/>
  <c r="M1005" i="5"/>
  <c r="N1005" i="5"/>
  <c r="P1005" i="5"/>
  <c r="L1005" i="5"/>
  <c r="O1153" i="5"/>
  <c r="P1153" i="5"/>
  <c r="L1153" i="5"/>
  <c r="N1153" i="5"/>
  <c r="M1153" i="5"/>
  <c r="O768" i="5"/>
  <c r="O766" i="5" s="1"/>
  <c r="O2087" i="5" s="1"/>
  <c r="O532" i="8" s="1"/>
  <c r="N768" i="5"/>
  <c r="N766" i="5" s="1"/>
  <c r="N2087" i="5" s="1"/>
  <c r="N532" i="8" s="1"/>
  <c r="P768" i="5"/>
  <c r="P766" i="5" s="1"/>
  <c r="P2087" i="5" s="1"/>
  <c r="P532" i="8" s="1"/>
  <c r="M768" i="5"/>
  <c r="M766" i="5" s="1"/>
  <c r="M2087" i="5" s="1"/>
  <c r="M532" i="8" s="1"/>
  <c r="L768" i="5"/>
  <c r="O1572" i="5"/>
  <c r="O1570" i="5" s="1"/>
  <c r="O2460" i="5" s="1"/>
  <c r="M1572" i="5"/>
  <c r="M1570" i="5" s="1"/>
  <c r="M2460" i="5" s="1"/>
  <c r="P1572" i="5"/>
  <c r="P1570" i="5" s="1"/>
  <c r="P2460" i="5" s="1"/>
  <c r="L1572" i="5"/>
  <c r="N1572" i="5"/>
  <c r="N1570" i="5" s="1"/>
  <c r="N2460" i="5" s="1"/>
  <c r="O422" i="5"/>
  <c r="L422" i="5"/>
  <c r="M422" i="5"/>
  <c r="P422" i="5"/>
  <c r="N422" i="5"/>
  <c r="O496" i="5"/>
  <c r="M496" i="5"/>
  <c r="P496" i="5"/>
  <c r="L496" i="5"/>
  <c r="N496" i="5"/>
  <c r="L816" i="5"/>
  <c r="O816" i="5"/>
  <c r="N816" i="5"/>
  <c r="M816" i="5"/>
  <c r="P816" i="5"/>
  <c r="O1022" i="5"/>
  <c r="P1022" i="5"/>
  <c r="N1022" i="5"/>
  <c r="M1022" i="5"/>
  <c r="L1022" i="5"/>
  <c r="N1335" i="5"/>
  <c r="M1335" i="5"/>
  <c r="L1335" i="5"/>
  <c r="O1335" i="5"/>
  <c r="P1335" i="5"/>
  <c r="O1456" i="5"/>
  <c r="P1456" i="5"/>
  <c r="M1456" i="5"/>
  <c r="L1456" i="5"/>
  <c r="N1456" i="5"/>
  <c r="L1637" i="5"/>
  <c r="P1637" i="5"/>
  <c r="O1637" i="5"/>
  <c r="M1637" i="5"/>
  <c r="N1637" i="5"/>
  <c r="P426" i="5"/>
  <c r="N426" i="5"/>
  <c r="L426" i="5"/>
  <c r="M426" i="5"/>
  <c r="O426" i="5"/>
  <c r="O582" i="5"/>
  <c r="N582" i="5"/>
  <c r="M582" i="5"/>
  <c r="P582" i="5"/>
  <c r="L582" i="5"/>
  <c r="O722" i="5"/>
  <c r="P722" i="5"/>
  <c r="L722" i="5"/>
  <c r="N722" i="5"/>
  <c r="M722" i="5"/>
  <c r="O892" i="5"/>
  <c r="P892" i="5"/>
  <c r="M892" i="5"/>
  <c r="L892" i="5"/>
  <c r="N892" i="5"/>
  <c r="O1182" i="5"/>
  <c r="M1182" i="5"/>
  <c r="P1182" i="5"/>
  <c r="L1182" i="5"/>
  <c r="N1182" i="5"/>
  <c r="O1417" i="5"/>
  <c r="M1417" i="5"/>
  <c r="L1417" i="5"/>
  <c r="N1417" i="5"/>
  <c r="P1417" i="5"/>
  <c r="O1646" i="5"/>
  <c r="L1646" i="5"/>
  <c r="N1646" i="5"/>
  <c r="M1646" i="5"/>
  <c r="P1646" i="5"/>
  <c r="P1389" i="5"/>
  <c r="P1387" i="5" s="1"/>
  <c r="L1389" i="5"/>
  <c r="N1389" i="5"/>
  <c r="N1387" i="5" s="1"/>
  <c r="O1389" i="5"/>
  <c r="O1387" i="5" s="1"/>
  <c r="M1389" i="5"/>
  <c r="M1387" i="5" s="1"/>
  <c r="O135" i="5"/>
  <c r="L135" i="5"/>
  <c r="M135" i="5"/>
  <c r="P135" i="5"/>
  <c r="N135" i="5"/>
  <c r="O213" i="5"/>
  <c r="O211" i="5" s="1"/>
  <c r="O1816" i="5" s="1"/>
  <c r="M213" i="5"/>
  <c r="M211" i="5" s="1"/>
  <c r="M1816" i="5" s="1"/>
  <c r="L213" i="5"/>
  <c r="N213" i="5"/>
  <c r="N211" i="5" s="1"/>
  <c r="N1816" i="5" s="1"/>
  <c r="P213" i="5"/>
  <c r="P211" i="5" s="1"/>
  <c r="P1816" i="5" s="1"/>
  <c r="O430" i="5"/>
  <c r="P430" i="5"/>
  <c r="L430" i="5"/>
  <c r="N430" i="5"/>
  <c r="M430" i="5"/>
  <c r="O532" i="5"/>
  <c r="O530" i="5" s="1"/>
  <c r="O1968" i="5" s="1"/>
  <c r="O584" i="8" s="1"/>
  <c r="L532" i="5"/>
  <c r="N532" i="5"/>
  <c r="N530" i="5" s="1"/>
  <c r="N1968" i="5" s="1"/>
  <c r="N584" i="8" s="1"/>
  <c r="M532" i="5"/>
  <c r="M530" i="5" s="1"/>
  <c r="M1968" i="5" s="1"/>
  <c r="M584" i="8" s="1"/>
  <c r="P532" i="5"/>
  <c r="P530" i="5" s="1"/>
  <c r="P1968" i="5" s="1"/>
  <c r="P584" i="8" s="1"/>
  <c r="O637" i="5"/>
  <c r="N637" i="5"/>
  <c r="M637" i="5"/>
  <c r="P637" i="5"/>
  <c r="L637" i="5"/>
  <c r="O806" i="5"/>
  <c r="L806" i="5"/>
  <c r="M806" i="5"/>
  <c r="P806" i="5"/>
  <c r="N806" i="5"/>
  <c r="P1097" i="5"/>
  <c r="P1095" i="5" s="1"/>
  <c r="P2251" i="5" s="1"/>
  <c r="P616" i="8" s="1"/>
  <c r="L1097" i="5"/>
  <c r="N1097" i="5"/>
  <c r="N1095" i="5" s="1"/>
  <c r="N2251" i="5" s="1"/>
  <c r="N616" i="8" s="1"/>
  <c r="O1097" i="5"/>
  <c r="O1095" i="5" s="1"/>
  <c r="O2251" i="5" s="1"/>
  <c r="O616" i="8" s="1"/>
  <c r="M1097" i="5"/>
  <c r="M1095" i="5" s="1"/>
  <c r="M2251" i="5" s="1"/>
  <c r="M616" i="8" s="1"/>
  <c r="P747" i="5"/>
  <c r="L747" i="5"/>
  <c r="M747" i="5"/>
  <c r="N747" i="5"/>
  <c r="O747" i="5"/>
  <c r="M1577" i="5"/>
  <c r="P1577" i="5"/>
  <c r="L1577" i="5"/>
  <c r="N1577" i="5"/>
  <c r="O1577" i="5"/>
  <c r="F849" i="5"/>
  <c r="L849" i="5"/>
  <c r="J472" i="5"/>
  <c r="P472" i="5"/>
  <c r="P471" i="5" s="1"/>
  <c r="P1938" i="5" s="1"/>
  <c r="H1938" i="5" s="1"/>
  <c r="L966" i="5"/>
  <c r="L2194" i="5" s="1"/>
  <c r="Q967" i="5"/>
  <c r="Q966" i="5" s="1"/>
  <c r="Q2194" i="5" s="1"/>
  <c r="I2194" i="5" s="1"/>
  <c r="G2187" i="5"/>
  <c r="O2186" i="5"/>
  <c r="O223" i="8" s="1"/>
  <c r="O523" i="5"/>
  <c r="L523" i="5"/>
  <c r="N523" i="5"/>
  <c r="M523" i="5"/>
  <c r="P523" i="5"/>
  <c r="N1385" i="5"/>
  <c r="N1382" i="5" s="1"/>
  <c r="M1385" i="5"/>
  <c r="M1382" i="5" s="1"/>
  <c r="P1385" i="5"/>
  <c r="P1382" i="5" s="1"/>
  <c r="L1385" i="5"/>
  <c r="O1385" i="5"/>
  <c r="O1382" i="5" s="1"/>
  <c r="O1139" i="5"/>
  <c r="P1139" i="5"/>
  <c r="N1139" i="5"/>
  <c r="M1139" i="5"/>
  <c r="L1139" i="5"/>
  <c r="O1375" i="5"/>
  <c r="L1375" i="5"/>
  <c r="M1375" i="5"/>
  <c r="P1375" i="5"/>
  <c r="N1375" i="5"/>
  <c r="O325" i="5"/>
  <c r="L325" i="5"/>
  <c r="M325" i="5"/>
  <c r="N325" i="5"/>
  <c r="P325" i="5"/>
  <c r="O47" i="5"/>
  <c r="P47" i="5"/>
  <c r="L47" i="5"/>
  <c r="M47" i="5"/>
  <c r="N47" i="5"/>
  <c r="Q1376" i="5"/>
  <c r="G13" i="3"/>
  <c r="N1765" i="5"/>
  <c r="N35" i="8" s="1"/>
  <c r="F1766" i="5"/>
  <c r="O1765" i="5"/>
  <c r="O35" i="8" s="1"/>
  <c r="G1766" i="5"/>
  <c r="P1765" i="5"/>
  <c r="P35" i="8" s="1"/>
  <c r="H1766" i="5"/>
  <c r="M1765" i="5"/>
  <c r="M35" i="8" s="1"/>
  <c r="E1766" i="5"/>
  <c r="L111" i="5"/>
  <c r="L1766" i="5" s="1"/>
  <c r="Q112" i="5"/>
  <c r="K91" i="5"/>
  <c r="K88" i="5"/>
  <c r="M262" i="5"/>
  <c r="M292" i="5"/>
  <c r="M272" i="5"/>
  <c r="G292" i="5"/>
  <c r="N292" i="5" s="1"/>
  <c r="N291" i="5" s="1"/>
  <c r="N1855" i="5" s="1"/>
  <c r="N566" i="8" s="1"/>
  <c r="G262" i="5"/>
  <c r="N262" i="5" s="1"/>
  <c r="N261" i="5" s="1"/>
  <c r="N1841" i="5" s="1"/>
  <c r="G272" i="5"/>
  <c r="N272" i="5" s="1"/>
  <c r="N271" i="5" s="1"/>
  <c r="N1845" i="5" s="1"/>
  <c r="G52" i="3"/>
  <c r="G54" i="3" s="1"/>
  <c r="H58" i="3"/>
  <c r="H52" i="3" s="1"/>
  <c r="F70" i="3"/>
  <c r="G17" i="3"/>
  <c r="E16" i="3"/>
  <c r="F15" i="3"/>
  <c r="G15" i="3" s="1"/>
  <c r="G621" i="5" s="1"/>
  <c r="G60" i="3"/>
  <c r="F71" i="3"/>
  <c r="F82" i="3" s="1"/>
  <c r="F83" i="3" s="1"/>
  <c r="C28" i="1"/>
  <c r="C33" i="1" s="1"/>
  <c r="C42" i="1" s="1"/>
  <c r="K1588" i="5" s="1"/>
  <c r="P1281" i="5" l="1"/>
  <c r="P2333" i="5" s="1"/>
  <c r="H2333" i="5" s="1"/>
  <c r="O1683" i="5"/>
  <c r="O2509" i="5" s="1"/>
  <c r="M1281" i="5"/>
  <c r="M2333" i="5" s="1"/>
  <c r="E2333" i="5" s="1"/>
  <c r="Q1291" i="5"/>
  <c r="O1261" i="5"/>
  <c r="O2326" i="5" s="1"/>
  <c r="P1276" i="5"/>
  <c r="P2332" i="5" s="1"/>
  <c r="P1255" i="5"/>
  <c r="P2323" i="5" s="1"/>
  <c r="E2511" i="5"/>
  <c r="M2510" i="5"/>
  <c r="L1683" i="5"/>
  <c r="L2509" i="5" s="1"/>
  <c r="Q1684" i="5"/>
  <c r="M1683" i="5"/>
  <c r="M2509" i="5" s="1"/>
  <c r="O1281" i="5"/>
  <c r="O2333" i="5" s="1"/>
  <c r="G2333" i="5" s="1"/>
  <c r="Q1284" i="5"/>
  <c r="Q1264" i="5"/>
  <c r="O1359" i="5"/>
  <c r="O2366" i="5" s="1"/>
  <c r="O1445" i="5"/>
  <c r="O2336" i="5"/>
  <c r="O283" i="8" s="1"/>
  <c r="G2337" i="5"/>
  <c r="O540" i="8"/>
  <c r="P1261" i="5"/>
  <c r="P2326" i="5" s="1"/>
  <c r="N1276" i="5"/>
  <c r="N2332" i="5" s="1"/>
  <c r="Q1686" i="5"/>
  <c r="O1255" i="5"/>
  <c r="O2323" i="5" s="1"/>
  <c r="P1287" i="5"/>
  <c r="P2335" i="5" s="1"/>
  <c r="N1445" i="5"/>
  <c r="L2510" i="5"/>
  <c r="D2511" i="5"/>
  <c r="F2509" i="5"/>
  <c r="N2507" i="5"/>
  <c r="L1281" i="5"/>
  <c r="L2333" i="5" s="1"/>
  <c r="Q1282" i="5"/>
  <c r="N1359" i="5"/>
  <c r="N2366" i="5" s="1"/>
  <c r="L1445" i="5"/>
  <c r="Q1446" i="5"/>
  <c r="Q1295" i="5"/>
  <c r="Q1293" i="5" s="1"/>
  <c r="Q2337" i="5" s="1"/>
  <c r="L1293" i="5"/>
  <c r="L2337" i="5" s="1"/>
  <c r="Q1262" i="5"/>
  <c r="Q1261" i="5" s="1"/>
  <c r="Q2326" i="5" s="1"/>
  <c r="M1276" i="5"/>
  <c r="M2332" i="5" s="1"/>
  <c r="E2323" i="5"/>
  <c r="M2322" i="5"/>
  <c r="P2322" i="5"/>
  <c r="H2323" i="5"/>
  <c r="O1287" i="5"/>
  <c r="O2335" i="5" s="1"/>
  <c r="L1246" i="5"/>
  <c r="Q1248" i="5"/>
  <c r="Q1246" i="5" s="1"/>
  <c r="N2510" i="5"/>
  <c r="F2511" i="5"/>
  <c r="P1683" i="5"/>
  <c r="P2509" i="5" s="1"/>
  <c r="Q1280" i="5"/>
  <c r="L1433" i="5"/>
  <c r="Q1435" i="5"/>
  <c r="Q1433" i="5" s="1"/>
  <c r="M1359" i="5"/>
  <c r="M2366" i="5" s="1"/>
  <c r="M1445" i="5"/>
  <c r="Q1363" i="5"/>
  <c r="Q1290" i="5"/>
  <c r="N2336" i="5"/>
  <c r="N283" i="8" s="1"/>
  <c r="F2337" i="5"/>
  <c r="N540" i="8"/>
  <c r="Q1273" i="5"/>
  <c r="Q1271" i="5" s="1"/>
  <c r="Q2330" i="5" s="1"/>
  <c r="I2330" i="5" s="1"/>
  <c r="AA2330" i="5" s="1"/>
  <c r="N1261" i="5"/>
  <c r="N2326" i="5" s="1"/>
  <c r="M1261" i="5"/>
  <c r="M2326" i="5" s="1"/>
  <c r="L1276" i="5"/>
  <c r="L2332" i="5" s="1"/>
  <c r="Q1277" i="5"/>
  <c r="Q1276" i="5" s="1"/>
  <c r="Q2332" i="5" s="1"/>
  <c r="Q1279" i="5"/>
  <c r="Q1690" i="5"/>
  <c r="N1255" i="5"/>
  <c r="N2323" i="5" s="1"/>
  <c r="L1287" i="5"/>
  <c r="L2335" i="5" s="1"/>
  <c r="Q1288" i="5"/>
  <c r="M1287" i="5"/>
  <c r="M2335" i="5" s="1"/>
  <c r="Q1447" i="5"/>
  <c r="Q1285" i="5"/>
  <c r="Q1362" i="5"/>
  <c r="Q1693" i="5"/>
  <c r="Q1692" i="5" s="1"/>
  <c r="Q2511" i="5" s="1"/>
  <c r="P1692" i="5"/>
  <c r="P2511" i="5" s="1"/>
  <c r="W2511" i="5" s="1"/>
  <c r="X2511" i="5" s="1"/>
  <c r="G2511" i="5"/>
  <c r="O2510" i="5"/>
  <c r="G2509" i="5"/>
  <c r="O2507" i="5"/>
  <c r="L1359" i="5"/>
  <c r="L2366" i="5" s="1"/>
  <c r="Q1361" i="5"/>
  <c r="H2366" i="5"/>
  <c r="P2365" i="5"/>
  <c r="P2336" i="5"/>
  <c r="P283" i="8" s="1"/>
  <c r="H2337" i="5"/>
  <c r="P540" i="8"/>
  <c r="M2336" i="5"/>
  <c r="M283" i="8" s="1"/>
  <c r="E2337" i="5"/>
  <c r="M540" i="8"/>
  <c r="G2326" i="5"/>
  <c r="O2324" i="5"/>
  <c r="H2332" i="5"/>
  <c r="P2331" i="5"/>
  <c r="O1276" i="5"/>
  <c r="O2332" i="5" s="1"/>
  <c r="Q1257" i="5"/>
  <c r="L1255" i="5"/>
  <c r="L2323" i="5" s="1"/>
  <c r="Q1256" i="5"/>
  <c r="N1287" i="5"/>
  <c r="N2335" i="5" s="1"/>
  <c r="N623" i="8"/>
  <c r="N685" i="8" s="1"/>
  <c r="O555" i="8"/>
  <c r="M555" i="8"/>
  <c r="M576" i="8"/>
  <c r="M671" i="8" s="1"/>
  <c r="O28" i="5"/>
  <c r="O1721" i="5" s="1"/>
  <c r="O623" i="8"/>
  <c r="O685" i="8" s="1"/>
  <c r="P576" i="8"/>
  <c r="P671" i="8" s="1"/>
  <c r="N555" i="8"/>
  <c r="F2482" i="5"/>
  <c r="N557" i="8"/>
  <c r="F1806" i="5"/>
  <c r="N568" i="8"/>
  <c r="E1840" i="5"/>
  <c r="F2161" i="5"/>
  <c r="N578" i="8"/>
  <c r="N669" i="8" s="1"/>
  <c r="F2082" i="5"/>
  <c r="M599" i="8"/>
  <c r="O599" i="8"/>
  <c r="F1852" i="5"/>
  <c r="N569" i="8"/>
  <c r="L624" i="8"/>
  <c r="M543" i="8"/>
  <c r="O543" i="8"/>
  <c r="N615" i="8"/>
  <c r="M615" i="8"/>
  <c r="H1850" i="5"/>
  <c r="P539" i="8"/>
  <c r="E1906" i="5"/>
  <c r="M598" i="8"/>
  <c r="G1906" i="5"/>
  <c r="O598" i="8"/>
  <c r="D1766" i="5"/>
  <c r="L564" i="8"/>
  <c r="G2482" i="5"/>
  <c r="O557" i="8"/>
  <c r="F1840" i="5"/>
  <c r="N550" i="8"/>
  <c r="G1840" i="5"/>
  <c r="E2161" i="5"/>
  <c r="M578" i="8"/>
  <c r="M669" i="8" s="1"/>
  <c r="H2082" i="5"/>
  <c r="N599" i="8"/>
  <c r="G1852" i="5"/>
  <c r="O569" i="8"/>
  <c r="H2390" i="5"/>
  <c r="P624" i="8"/>
  <c r="P543" i="8"/>
  <c r="P615" i="8"/>
  <c r="G2425" i="5"/>
  <c r="O649" i="8"/>
  <c r="H2425" i="5"/>
  <c r="P649" i="8"/>
  <c r="E1850" i="5"/>
  <c r="M539" i="8"/>
  <c r="E1806" i="5"/>
  <c r="M568" i="8"/>
  <c r="H2161" i="5"/>
  <c r="P578" i="8"/>
  <c r="P669" i="8" s="1"/>
  <c r="G2161" i="5"/>
  <c r="O578" i="8"/>
  <c r="O669" i="8" s="1"/>
  <c r="E2082" i="5"/>
  <c r="M625" i="8"/>
  <c r="E1852" i="5"/>
  <c r="M569" i="8"/>
  <c r="N543" i="8"/>
  <c r="F2425" i="5"/>
  <c r="N649" i="8"/>
  <c r="G1850" i="5"/>
  <c r="O539" i="8"/>
  <c r="F1906" i="5"/>
  <c r="N598" i="8"/>
  <c r="H1906" i="5"/>
  <c r="P598" i="8"/>
  <c r="E2482" i="5"/>
  <c r="M557" i="8"/>
  <c r="H2482" i="5"/>
  <c r="P557" i="8"/>
  <c r="G1806" i="5"/>
  <c r="O568" i="8"/>
  <c r="H1806" i="5"/>
  <c r="P568" i="8"/>
  <c r="H1840" i="5"/>
  <c r="G2082" i="5"/>
  <c r="P599" i="8"/>
  <c r="H1852" i="5"/>
  <c r="P569" i="8"/>
  <c r="G2390" i="5"/>
  <c r="O624" i="8"/>
  <c r="F2390" i="5"/>
  <c r="N624" i="8"/>
  <c r="O615" i="8"/>
  <c r="E2425" i="5"/>
  <c r="M649" i="8"/>
  <c r="F1850" i="5"/>
  <c r="N539" i="8"/>
  <c r="N2512" i="5"/>
  <c r="N353" i="8" s="1"/>
  <c r="F2513" i="5"/>
  <c r="O2512" i="5"/>
  <c r="O353" i="8" s="1"/>
  <c r="G2513" i="5"/>
  <c r="M2512" i="5"/>
  <c r="E2513" i="5"/>
  <c r="P2512" i="5"/>
  <c r="P353" i="8" s="1"/>
  <c r="H2513" i="5"/>
  <c r="O2376" i="5"/>
  <c r="G2376" i="5" s="1"/>
  <c r="N2376" i="5"/>
  <c r="F2376" i="5" s="1"/>
  <c r="P757" i="5"/>
  <c r="P2083" i="5" s="1"/>
  <c r="H2083" i="5" s="1"/>
  <c r="M12" i="5"/>
  <c r="M1713" i="5" s="1"/>
  <c r="E1713" i="5" s="1"/>
  <c r="P1558" i="5"/>
  <c r="P2455" i="5" s="1"/>
  <c r="P28" i="5"/>
  <c r="P1721" i="5" s="1"/>
  <c r="M2376" i="5"/>
  <c r="E2376" i="5" s="1"/>
  <c r="P2376" i="5"/>
  <c r="H2376" i="5" s="1"/>
  <c r="M808" i="5"/>
  <c r="M2110" i="5" s="1"/>
  <c r="O2374" i="5"/>
  <c r="G2374" i="5" s="1"/>
  <c r="P2374" i="5"/>
  <c r="H2374" i="5" s="1"/>
  <c r="O635" i="5"/>
  <c r="O2020" i="5" s="1"/>
  <c r="G2020" i="5" s="1"/>
  <c r="M1240" i="5"/>
  <c r="M2315" i="5" s="1"/>
  <c r="E2315" i="5" s="1"/>
  <c r="O574" i="5"/>
  <c r="O1989" i="5" s="1"/>
  <c r="O1154" i="5"/>
  <c r="O2272" i="5" s="1"/>
  <c r="G2272" i="5" s="1"/>
  <c r="N2374" i="5"/>
  <c r="F2374" i="5" s="1"/>
  <c r="M2374" i="5"/>
  <c r="E2374" i="5" s="1"/>
  <c r="M1566" i="5"/>
  <c r="M2458" i="5" s="1"/>
  <c r="N267" i="5"/>
  <c r="N1844" i="5" s="1"/>
  <c r="F1844" i="5" s="1"/>
  <c r="P2085" i="5"/>
  <c r="H2087" i="5"/>
  <c r="P2088" i="5"/>
  <c r="H2089" i="5"/>
  <c r="N2085" i="5"/>
  <c r="F2087" i="5"/>
  <c r="N2088" i="5"/>
  <c r="F2089" i="5"/>
  <c r="O2085" i="5"/>
  <c r="G2087" i="5"/>
  <c r="M2088" i="5"/>
  <c r="E2089" i="5"/>
  <c r="M2085" i="5"/>
  <c r="E2087" i="5"/>
  <c r="O2088" i="5"/>
  <c r="G2089" i="5"/>
  <c r="N2320" i="5"/>
  <c r="F2320" i="5" s="1"/>
  <c r="O2320" i="5"/>
  <c r="G2320" i="5" s="1"/>
  <c r="P2320" i="5"/>
  <c r="H2320" i="5" s="1"/>
  <c r="M2320" i="5"/>
  <c r="E2320" i="5" s="1"/>
  <c r="M2081" i="5"/>
  <c r="M1870" i="5"/>
  <c r="E1870" i="5" s="1"/>
  <c r="P1870" i="5"/>
  <c r="H1870" i="5" s="1"/>
  <c r="O1870" i="5"/>
  <c r="G1870" i="5" s="1"/>
  <c r="N1870" i="5"/>
  <c r="F1870" i="5" s="1"/>
  <c r="N299" i="5"/>
  <c r="O299" i="5"/>
  <c r="N304" i="5"/>
  <c r="O294" i="5"/>
  <c r="O1857" i="5" s="1"/>
  <c r="M304" i="5"/>
  <c r="O304" i="5"/>
  <c r="M294" i="5"/>
  <c r="M1857" i="5" s="1"/>
  <c r="P299" i="5"/>
  <c r="N294" i="5"/>
  <c r="N1857" i="5" s="1"/>
  <c r="M299" i="5"/>
  <c r="P304" i="5"/>
  <c r="P294" i="5"/>
  <c r="P1857" i="5" s="1"/>
  <c r="O357" i="5"/>
  <c r="O1888" i="5" s="1"/>
  <c r="G1888" i="5" s="1"/>
  <c r="N610" i="5"/>
  <c r="N2007" i="5" s="1"/>
  <c r="F2007" i="5" s="1"/>
  <c r="M1319" i="5"/>
  <c r="M2349" i="5" s="1"/>
  <c r="E2349" i="5" s="1"/>
  <c r="O1319" i="5"/>
  <c r="O2349" i="5" s="1"/>
  <c r="G2349" i="5" s="1"/>
  <c r="P316" i="5"/>
  <c r="N1032" i="5"/>
  <c r="N2221" i="5" s="1"/>
  <c r="F2221" i="5" s="1"/>
  <c r="N1660" i="5"/>
  <c r="N2498" i="5" s="1"/>
  <c r="F2498" i="5" s="1"/>
  <c r="P1470" i="5"/>
  <c r="P2413" i="5" s="1"/>
  <c r="H2413" i="5" s="1"/>
  <c r="N197" i="5"/>
  <c r="N1808" i="5" s="1"/>
  <c r="F1808" i="5" s="1"/>
  <c r="O720" i="5"/>
  <c r="O2065" i="5" s="1"/>
  <c r="G2065" i="5" s="1"/>
  <c r="N497" i="5"/>
  <c r="N1952" i="5" s="1"/>
  <c r="F1952" i="5" s="1"/>
  <c r="P1488" i="5"/>
  <c r="P2422" i="5" s="1"/>
  <c r="O316" i="5"/>
  <c r="N1482" i="5"/>
  <c r="N2419" i="5" s="1"/>
  <c r="F2419" i="5" s="1"/>
  <c r="O1470" i="5"/>
  <c r="O2413" i="5" s="1"/>
  <c r="G2413" i="5" s="1"/>
  <c r="P969" i="5"/>
  <c r="P2196" i="5" s="1"/>
  <c r="P2195" i="5" s="1"/>
  <c r="P226" i="8" s="1"/>
  <c r="O969" i="5"/>
  <c r="O2196" i="5" s="1"/>
  <c r="G2196" i="5" s="1"/>
  <c r="P312" i="5"/>
  <c r="P1866" i="5" s="1"/>
  <c r="H1866" i="5" s="1"/>
  <c r="M1448" i="5"/>
  <c r="M2405" i="5" s="1"/>
  <c r="E2405" i="5" s="1"/>
  <c r="P1448" i="5"/>
  <c r="P2405" i="5" s="1"/>
  <c r="H2405" i="5" s="1"/>
  <c r="O1448" i="5"/>
  <c r="O2405" i="5" s="1"/>
  <c r="G2405" i="5" s="1"/>
  <c r="P610" i="5"/>
  <c r="P2007" i="5" s="1"/>
  <c r="H2007" i="5" s="1"/>
  <c r="N1463" i="5"/>
  <c r="N2410" i="5" s="1"/>
  <c r="F2410" i="5" s="1"/>
  <c r="N1448" i="5"/>
  <c r="N2405" i="5" s="1"/>
  <c r="F2405" i="5" s="1"/>
  <c r="P1492" i="5"/>
  <c r="P2423" i="5" s="1"/>
  <c r="H2423" i="5" s="1"/>
  <c r="P1140" i="5"/>
  <c r="P2267" i="5" s="1"/>
  <c r="H2267" i="5" s="1"/>
  <c r="P594" i="5"/>
  <c r="P1998" i="5" s="1"/>
  <c r="O808" i="5"/>
  <c r="O2110" i="5" s="1"/>
  <c r="G2110" i="5" s="1"/>
  <c r="M267" i="5"/>
  <c r="M1844" i="5" s="1"/>
  <c r="E1844" i="5" s="1"/>
  <c r="N969" i="5"/>
  <c r="N2196" i="5" s="1"/>
  <c r="F2196" i="5" s="1"/>
  <c r="P94" i="5"/>
  <c r="P1757" i="5" s="1"/>
  <c r="E2249" i="5"/>
  <c r="M2247" i="5"/>
  <c r="M246" i="8" s="1"/>
  <c r="H2249" i="5"/>
  <c r="P2247" i="5"/>
  <c r="P246" i="8" s="1"/>
  <c r="M1463" i="5"/>
  <c r="M2410" i="5" s="1"/>
  <c r="E2410" i="5" s="1"/>
  <c r="G2249" i="5"/>
  <c r="O2247" i="5"/>
  <c r="O246" i="8" s="1"/>
  <c r="N2247" i="5"/>
  <c r="N246" i="8" s="1"/>
  <c r="F2249" i="5"/>
  <c r="Q1091" i="5"/>
  <c r="Q2249" i="5" s="1"/>
  <c r="Q617" i="8" s="1"/>
  <c r="F2350" i="5"/>
  <c r="G2350" i="5"/>
  <c r="H2350" i="5"/>
  <c r="E2350" i="5"/>
  <c r="H2341" i="5"/>
  <c r="H2342" i="5"/>
  <c r="E2341" i="5"/>
  <c r="F2342" i="5"/>
  <c r="E2342" i="5"/>
  <c r="F2341" i="5"/>
  <c r="G2341" i="5"/>
  <c r="G2342" i="5"/>
  <c r="P890" i="5"/>
  <c r="P2152" i="5" s="1"/>
  <c r="H2152" i="5" s="1"/>
  <c r="O1140" i="5"/>
  <c r="O2267" i="5" s="1"/>
  <c r="G2267" i="5" s="1"/>
  <c r="M357" i="5"/>
  <c r="M1888" i="5" s="1"/>
  <c r="E1888" i="5" s="1"/>
  <c r="N1154" i="5"/>
  <c r="N2272" i="5" s="1"/>
  <c r="F2272" i="5" s="1"/>
  <c r="O865" i="5"/>
  <c r="O2138" i="5" s="1"/>
  <c r="G2138" i="5" s="1"/>
  <c r="N1319" i="5"/>
  <c r="N2349" i="5" s="1"/>
  <c r="F2349" i="5" s="1"/>
  <c r="M316" i="5"/>
  <c r="N1234" i="5"/>
  <c r="N2313" i="5" s="1"/>
  <c r="N2312" i="5" s="1"/>
  <c r="N272" i="8" s="1"/>
  <c r="O610" i="5"/>
  <c r="O2007" i="5" s="1"/>
  <c r="G2007" i="5" s="1"/>
  <c r="P1354" i="5"/>
  <c r="P2364" i="5" s="1"/>
  <c r="H2364" i="5" s="1"/>
  <c r="O1354" i="5"/>
  <c r="O2364" i="5" s="1"/>
  <c r="G2364" i="5" s="1"/>
  <c r="P1660" i="5"/>
  <c r="P2498" i="5" s="1"/>
  <c r="H2498" i="5" s="1"/>
  <c r="O977" i="5"/>
  <c r="O2200" i="5" s="1"/>
  <c r="N635" i="5"/>
  <c r="N2020" i="5" s="1"/>
  <c r="F2020" i="5" s="1"/>
  <c r="N1488" i="5"/>
  <c r="N2422" i="5" s="1"/>
  <c r="O1482" i="5"/>
  <c r="O2419" i="5" s="1"/>
  <c r="O2418" i="5" s="1"/>
  <c r="O317" i="8" s="1"/>
  <c r="O1240" i="5"/>
  <c r="O2315" i="5" s="1"/>
  <c r="G2315" i="5" s="1"/>
  <c r="M574" i="5"/>
  <c r="M1989" i="5" s="1"/>
  <c r="M1988" i="5" s="1"/>
  <c r="M128" i="8" s="1"/>
  <c r="G1765" i="5"/>
  <c r="H1765" i="5"/>
  <c r="F1765" i="5"/>
  <c r="E1765" i="5"/>
  <c r="O1532" i="5"/>
  <c r="O2443" i="5" s="1"/>
  <c r="G2443" i="5" s="1"/>
  <c r="O94" i="5"/>
  <c r="O1757" i="5" s="1"/>
  <c r="M434" i="5"/>
  <c r="M1921" i="5" s="1"/>
  <c r="E1921" i="5" s="1"/>
  <c r="M115" i="5"/>
  <c r="M1768" i="5" s="1"/>
  <c r="M610" i="5"/>
  <c r="M2007" i="5" s="1"/>
  <c r="E2007" i="5" s="1"/>
  <c r="P1240" i="5"/>
  <c r="P2315" i="5" s="1"/>
  <c r="P2314" i="5" s="1"/>
  <c r="P273" i="8" s="1"/>
  <c r="M1154" i="5"/>
  <c r="M2272" i="5" s="1"/>
  <c r="E2272" i="5" s="1"/>
  <c r="N574" i="5"/>
  <c r="N1989" i="5" s="1"/>
  <c r="N1988" i="5" s="1"/>
  <c r="N128" i="8" s="1"/>
  <c r="N312" i="5"/>
  <c r="N1866" i="5" s="1"/>
  <c r="F1866" i="5" s="1"/>
  <c r="M144" i="5"/>
  <c r="M1780" i="5" s="1"/>
  <c r="M1779" i="5" s="1"/>
  <c r="M41" i="8" s="1"/>
  <c r="N977" i="5"/>
  <c r="N2200" i="5" s="1"/>
  <c r="O483" i="5"/>
  <c r="O1945" i="5" s="1"/>
  <c r="P1234" i="5"/>
  <c r="P2313" i="5" s="1"/>
  <c r="H2313" i="5" s="1"/>
  <c r="N858" i="5"/>
  <c r="N2135" i="5" s="1"/>
  <c r="F2135" i="5" s="1"/>
  <c r="M431" i="5"/>
  <c r="M1920" i="5" s="1"/>
  <c r="O434" i="5"/>
  <c r="O1921" i="5" s="1"/>
  <c r="G1921" i="5" s="1"/>
  <c r="O115" i="5"/>
  <c r="O1768" i="5" s="1"/>
  <c r="O1047" i="5"/>
  <c r="O2228" i="5" s="1"/>
  <c r="P544" i="5"/>
  <c r="P1976" i="5" s="1"/>
  <c r="P12" i="5"/>
  <c r="P1713" i="5" s="1"/>
  <c r="H1713" i="5" s="1"/>
  <c r="N757" i="5"/>
  <c r="N2083" i="5" s="1"/>
  <c r="N625" i="8" s="1"/>
  <c r="M312" i="5"/>
  <c r="M1866" i="5" s="1"/>
  <c r="E1866" i="5" s="1"/>
  <c r="P434" i="5"/>
  <c r="P1921" i="5" s="1"/>
  <c r="H1921" i="5" s="1"/>
  <c r="M94" i="5"/>
  <c r="M1757" i="5" s="1"/>
  <c r="M1621" i="5"/>
  <c r="M2485" i="5" s="1"/>
  <c r="P1319" i="5"/>
  <c r="P2349" i="5" s="1"/>
  <c r="O1558" i="5"/>
  <c r="O2455" i="5" s="1"/>
  <c r="O2454" i="5" s="1"/>
  <c r="O331" i="8" s="1"/>
  <c r="M1558" i="5"/>
  <c r="M2455" i="5" s="1"/>
  <c r="M2454" i="5" s="1"/>
  <c r="M331" i="8" s="1"/>
  <c r="P1482" i="5"/>
  <c r="P2419" i="5" s="1"/>
  <c r="H2419" i="5" s="1"/>
  <c r="P500" i="5"/>
  <c r="P1953" i="5" s="1"/>
  <c r="N1532" i="5"/>
  <c r="N2443" i="5" s="1"/>
  <c r="F2443" i="5" s="1"/>
  <c r="P977" i="5"/>
  <c r="P2200" i="5" s="1"/>
  <c r="P483" i="5"/>
  <c r="P1945" i="5" s="1"/>
  <c r="P1268" i="5"/>
  <c r="P2329" i="5" s="1"/>
  <c r="P635" i="8" s="1"/>
  <c r="N890" i="5"/>
  <c r="N2152" i="5" s="1"/>
  <c r="F2152" i="5" s="1"/>
  <c r="O890" i="5"/>
  <c r="O2152" i="5" s="1"/>
  <c r="G2152" i="5" s="1"/>
  <c r="P373" i="5"/>
  <c r="P1896" i="5" s="1"/>
  <c r="P749" i="5"/>
  <c r="P2080" i="5" s="1"/>
  <c r="O569" i="5"/>
  <c r="O1987" i="5" s="1"/>
  <c r="G1987" i="5" s="1"/>
  <c r="Q547" i="5"/>
  <c r="Q1106" i="5"/>
  <c r="M373" i="5"/>
  <c r="M1896" i="5" s="1"/>
  <c r="P115" i="5"/>
  <c r="P1768" i="5" s="1"/>
  <c r="M1268" i="5"/>
  <c r="M2329" i="5" s="1"/>
  <c r="M635" i="8" s="1"/>
  <c r="M483" i="5"/>
  <c r="M1945" i="5" s="1"/>
  <c r="N445" i="5"/>
  <c r="N1925" i="5" s="1"/>
  <c r="F1925" i="5" s="1"/>
  <c r="O307" i="5"/>
  <c r="O1864" i="5" s="1"/>
  <c r="G1864" i="5" s="1"/>
  <c r="P858" i="5"/>
  <c r="P2135" i="5" s="1"/>
  <c r="P2134" i="5" s="1"/>
  <c r="P198" i="8" s="1"/>
  <c r="N1621" i="5"/>
  <c r="N2485" i="5" s="1"/>
  <c r="O594" i="5"/>
  <c r="O1998" i="5" s="1"/>
  <c r="O1997" i="5" s="1"/>
  <c r="O133" i="8" s="1"/>
  <c r="P808" i="5"/>
  <c r="P2110" i="5" s="1"/>
  <c r="H2110" i="5" s="1"/>
  <c r="O441" i="5"/>
  <c r="O1924" i="5" s="1"/>
  <c r="G1924" i="5" s="1"/>
  <c r="O1621" i="5"/>
  <c r="O2485" i="5" s="1"/>
  <c r="O267" i="5"/>
  <c r="O1844" i="5" s="1"/>
  <c r="G1844" i="5" s="1"/>
  <c r="N28" i="5"/>
  <c r="N1721" i="5" s="1"/>
  <c r="P494" i="5"/>
  <c r="P1951" i="5" s="1"/>
  <c r="M1040" i="5"/>
  <c r="M2225" i="5" s="1"/>
  <c r="E2225" i="5" s="1"/>
  <c r="O1040" i="5"/>
  <c r="O2225" i="5" s="1"/>
  <c r="G2225" i="5" s="1"/>
  <c r="P1394" i="5"/>
  <c r="P2380" i="5" s="1"/>
  <c r="P2379" i="5" s="1"/>
  <c r="P302" i="8" s="1"/>
  <c r="N1140" i="5"/>
  <c r="N2267" i="5" s="1"/>
  <c r="F2267" i="5" s="1"/>
  <c r="O1488" i="5"/>
  <c r="O2422" i="5" s="1"/>
  <c r="M1488" i="5"/>
  <c r="M2422" i="5" s="1"/>
  <c r="O858" i="5"/>
  <c r="O2135" i="5" s="1"/>
  <c r="O2134" i="5" s="1"/>
  <c r="O198" i="8" s="1"/>
  <c r="N1394" i="5"/>
  <c r="N2380" i="5" s="1"/>
  <c r="F2380" i="5" s="1"/>
  <c r="N1040" i="5"/>
  <c r="N2225" i="5" s="1"/>
  <c r="F2225" i="5" s="1"/>
  <c r="Q1122" i="5"/>
  <c r="Q1650" i="5"/>
  <c r="O197" i="5"/>
  <c r="O1808" i="5" s="1"/>
  <c r="O1807" i="5" s="1"/>
  <c r="O51" i="8" s="1"/>
  <c r="O749" i="5"/>
  <c r="O2080" i="5" s="1"/>
  <c r="P56" i="5"/>
  <c r="P1735" i="5" s="1"/>
  <c r="P1734" i="5" s="1"/>
  <c r="P20" i="8" s="1"/>
  <c r="Q1491" i="5"/>
  <c r="Q612" i="5"/>
  <c r="P497" i="5"/>
  <c r="P1952" i="5" s="1"/>
  <c r="H1952" i="5" s="1"/>
  <c r="O1234" i="5"/>
  <c r="O2313" i="5" s="1"/>
  <c r="G2313" i="5" s="1"/>
  <c r="N1240" i="5"/>
  <c r="N2315" i="5" s="1"/>
  <c r="F2315" i="5" s="1"/>
  <c r="N373" i="5"/>
  <c r="N1896" i="5" s="1"/>
  <c r="O497" i="5"/>
  <c r="O1952" i="5" s="1"/>
  <c r="G1952" i="5" s="1"/>
  <c r="M379" i="5"/>
  <c r="M1898" i="5" s="1"/>
  <c r="P1032" i="5"/>
  <c r="P2221" i="5" s="1"/>
  <c r="P2220" i="5" s="1"/>
  <c r="P236" i="8" s="1"/>
  <c r="N307" i="5"/>
  <c r="N1864" i="5" s="1"/>
  <c r="F1864" i="5" s="1"/>
  <c r="M1354" i="5"/>
  <c r="M2364" i="5" s="1"/>
  <c r="E2364" i="5" s="1"/>
  <c r="M569" i="5"/>
  <c r="M1987" i="5" s="1"/>
  <c r="E1987" i="5" s="1"/>
  <c r="N483" i="5"/>
  <c r="N1945" i="5" s="1"/>
  <c r="P1071" i="5"/>
  <c r="P2240" i="5" s="1"/>
  <c r="M445" i="5"/>
  <c r="M1925" i="5" s="1"/>
  <c r="E1925" i="5" s="1"/>
  <c r="Q1042" i="5"/>
  <c r="Q315" i="5"/>
  <c r="Q1237" i="5"/>
  <c r="O419" i="5"/>
  <c r="O1917" i="5" s="1"/>
  <c r="P1001" i="5"/>
  <c r="P2208" i="5" s="1"/>
  <c r="H2208" i="5" s="1"/>
  <c r="P813" i="5"/>
  <c r="P2112" i="5" s="1"/>
  <c r="O1638" i="5"/>
  <c r="O2491" i="5" s="1"/>
  <c r="G2491" i="5" s="1"/>
  <c r="Q980" i="5"/>
  <c r="Q14" i="5"/>
  <c r="V14" i="5" s="1"/>
  <c r="P42" i="5"/>
  <c r="P1727" i="5" s="1"/>
  <c r="P865" i="5"/>
  <c r="P2138" i="5" s="1"/>
  <c r="H2138" i="5" s="1"/>
  <c r="N851" i="5"/>
  <c r="N2131" i="5" s="1"/>
  <c r="Q486" i="5"/>
  <c r="Q1565" i="5"/>
  <c r="Q1629" i="5"/>
  <c r="Q1662" i="5"/>
  <c r="P361" i="5"/>
  <c r="P1890" i="5" s="1"/>
  <c r="M890" i="5"/>
  <c r="M2152" i="5" s="1"/>
  <c r="E2152" i="5" s="1"/>
  <c r="O379" i="5"/>
  <c r="O1898" i="5" s="1"/>
  <c r="M1643" i="5"/>
  <c r="M2493" i="5" s="1"/>
  <c r="E2493" i="5" s="1"/>
  <c r="Q747" i="5"/>
  <c r="Q1005" i="5"/>
  <c r="Q1641" i="5"/>
  <c r="Q1541" i="5"/>
  <c r="P1133" i="5"/>
  <c r="P2265" i="5" s="1"/>
  <c r="Q1066" i="5"/>
  <c r="Q502" i="5"/>
  <c r="Q191" i="5"/>
  <c r="Q1582" i="5"/>
  <c r="Q879" i="5"/>
  <c r="Q562" i="5"/>
  <c r="Q452" i="5"/>
  <c r="Q1082" i="5"/>
  <c r="Q999" i="5"/>
  <c r="M391" i="5"/>
  <c r="M1903" i="5" s="1"/>
  <c r="M1902" i="5" s="1"/>
  <c r="M89" i="8" s="1"/>
  <c r="Q1429" i="5"/>
  <c r="Q1135" i="5"/>
  <c r="P1579" i="5"/>
  <c r="P2464" i="5" s="1"/>
  <c r="O1579" i="5"/>
  <c r="O2464" i="5" s="1"/>
  <c r="M437" i="5"/>
  <c r="M1922" i="5" s="1"/>
  <c r="E1922" i="5" s="1"/>
  <c r="O350" i="5"/>
  <c r="O1886" i="5" s="1"/>
  <c r="M1574" i="5"/>
  <c r="M2462" i="5" s="1"/>
  <c r="M2461" i="5" s="1"/>
  <c r="M334" i="8" s="1"/>
  <c r="P2404" i="5"/>
  <c r="O1108" i="5"/>
  <c r="O2257" i="5" s="1"/>
  <c r="N803" i="5"/>
  <c r="N2108" i="5" s="1"/>
  <c r="N985" i="5"/>
  <c r="N2203" i="5" s="1"/>
  <c r="F2203" i="5" s="1"/>
  <c r="N559" i="5"/>
  <c r="N1983" i="5" s="1"/>
  <c r="M1634" i="5"/>
  <c r="M2490" i="5" s="1"/>
  <c r="E2490" i="5" s="1"/>
  <c r="M1192" i="5"/>
  <c r="M2288" i="5" s="1"/>
  <c r="E2288" i="5" s="1"/>
  <c r="P710" i="5"/>
  <c r="P2060" i="5" s="1"/>
  <c r="H2060" i="5" s="1"/>
  <c r="O1151" i="5"/>
  <c r="O2271" i="5" s="1"/>
  <c r="G2271" i="5" s="1"/>
  <c r="O995" i="5"/>
  <c r="O2207" i="5" s="1"/>
  <c r="G2207" i="5" s="1"/>
  <c r="O188" i="5"/>
  <c r="O1804" i="5" s="1"/>
  <c r="Q1181" i="5"/>
  <c r="O33" i="5"/>
  <c r="O1723" i="5" s="1"/>
  <c r="N478" i="5"/>
  <c r="N1943" i="5" s="1"/>
  <c r="N1942" i="5" s="1"/>
  <c r="N105" i="8" s="1"/>
  <c r="N1128" i="5"/>
  <c r="N2264" i="5" s="1"/>
  <c r="F2264" i="5" s="1"/>
  <c r="O1492" i="5"/>
  <c r="O2423" i="5" s="1"/>
  <c r="G2423" i="5" s="1"/>
  <c r="N831" i="5"/>
  <c r="N2122" i="5" s="1"/>
  <c r="F2122" i="5" s="1"/>
  <c r="M1667" i="5"/>
  <c r="M2501" i="5" s="1"/>
  <c r="E2501" i="5" s="1"/>
  <c r="Q270" i="5"/>
  <c r="Q908" i="5"/>
  <c r="Q906" i="5" s="1"/>
  <c r="Q2159" i="5" s="1"/>
  <c r="I2159" i="5" s="1"/>
  <c r="Q430" i="5"/>
  <c r="Q1022" i="5"/>
  <c r="Q867" i="5"/>
  <c r="O494" i="5"/>
  <c r="O1951" i="5" s="1"/>
  <c r="N579" i="5"/>
  <c r="N1991" i="5" s="1"/>
  <c r="F1991" i="5" s="1"/>
  <c r="M1394" i="5"/>
  <c r="M2380" i="5" s="1"/>
  <c r="E2380" i="5" s="1"/>
  <c r="M1638" i="5"/>
  <c r="M2491" i="5" s="1"/>
  <c r="E2491" i="5" s="1"/>
  <c r="Q325" i="5"/>
  <c r="Q523" i="5"/>
  <c r="M2404" i="5"/>
  <c r="P720" i="5"/>
  <c r="P2065" i="5" s="1"/>
  <c r="H2065" i="5" s="1"/>
  <c r="N427" i="5"/>
  <c r="N1919" i="5" s="1"/>
  <c r="O427" i="5"/>
  <c r="O1919" i="5" s="1"/>
  <c r="M1133" i="5"/>
  <c r="M2265" i="5" s="1"/>
  <c r="M1001" i="5"/>
  <c r="M2208" i="5" s="1"/>
  <c r="E2208" i="5" s="1"/>
  <c r="P1040" i="5"/>
  <c r="P2225" i="5" s="1"/>
  <c r="H2225" i="5" s="1"/>
  <c r="O798" i="5"/>
  <c r="O2106" i="5" s="1"/>
  <c r="Q1117" i="5"/>
  <c r="Q1238" i="5"/>
  <c r="N1520" i="5"/>
  <c r="N2438" i="5" s="1"/>
  <c r="F2438" i="5" s="1"/>
  <c r="O1342" i="5"/>
  <c r="O2360" i="5" s="1"/>
  <c r="N1652" i="5"/>
  <c r="N2496" i="5" s="1"/>
  <c r="N1119" i="5"/>
  <c r="N2261" i="5" s="1"/>
  <c r="N2260" i="5" s="1"/>
  <c r="N252" i="8" s="1"/>
  <c r="O696" i="5"/>
  <c r="O2053" i="5" s="1"/>
  <c r="G2053" i="5" s="1"/>
  <c r="O500" i="5"/>
  <c r="O1953" i="5" s="1"/>
  <c r="O1647" i="5"/>
  <c r="O2494" i="5" s="1"/>
  <c r="G2494" i="5" s="1"/>
  <c r="M1647" i="5"/>
  <c r="M2494" i="5" s="1"/>
  <c r="E2494" i="5" s="1"/>
  <c r="M1332" i="5"/>
  <c r="M2355" i="5" s="1"/>
  <c r="M441" i="5"/>
  <c r="M1924" i="5" s="1"/>
  <c r="E1924" i="5" s="1"/>
  <c r="O56" i="5"/>
  <c r="O1735" i="5" s="1"/>
  <c r="O1734" i="5" s="1"/>
  <c r="O20" i="8" s="1"/>
  <c r="N699" i="5"/>
  <c r="N2054" i="5" s="1"/>
  <c r="F2054" i="5" s="1"/>
  <c r="N1426" i="5"/>
  <c r="N2394" i="5" s="1"/>
  <c r="F2394" i="5" s="1"/>
  <c r="P321" i="5"/>
  <c r="O321" i="5"/>
  <c r="P1063" i="5"/>
  <c r="P2237" i="5" s="1"/>
  <c r="H2237" i="5" s="1"/>
  <c r="O673" i="5"/>
  <c r="O2040" i="5" s="1"/>
  <c r="O1413" i="5"/>
  <c r="O2389" i="5" s="1"/>
  <c r="O2388" i="5" s="1"/>
  <c r="O306" i="8" s="1"/>
  <c r="O876" i="5"/>
  <c r="O2144" i="5" s="1"/>
  <c r="G2144" i="5" s="1"/>
  <c r="M1102" i="5"/>
  <c r="M2255" i="5" s="1"/>
  <c r="E2255" i="5" s="1"/>
  <c r="N1539" i="5"/>
  <c r="N2446" i="5" s="1"/>
  <c r="M1079" i="5"/>
  <c r="M2243" i="5" s="1"/>
  <c r="O1079" i="5"/>
  <c r="O2243" i="5" s="1"/>
  <c r="M840" i="5"/>
  <c r="M2124" i="5" s="1"/>
  <c r="E2124" i="5" s="1"/>
  <c r="O19" i="5"/>
  <c r="O1715" i="5" s="1"/>
  <c r="G1715" i="5" s="1"/>
  <c r="N1815" i="5"/>
  <c r="N55" i="8" s="1"/>
  <c r="F1816" i="5"/>
  <c r="Q1389" i="5"/>
  <c r="Q1387" i="5" s="1"/>
  <c r="L1387" i="5"/>
  <c r="L720" i="5"/>
  <c r="L2065" i="5" s="1"/>
  <c r="Q722" i="5"/>
  <c r="G2460" i="5"/>
  <c r="O2459" i="5"/>
  <c r="O333" i="8" s="1"/>
  <c r="L177" i="5"/>
  <c r="L1798" i="5" s="1"/>
  <c r="Q179" i="5"/>
  <c r="Q177" i="5" s="1"/>
  <c r="Q1798" i="5" s="1"/>
  <c r="G1947" i="5"/>
  <c r="O1946" i="5"/>
  <c r="O107" i="8" s="1"/>
  <c r="L194" i="5"/>
  <c r="L1806" i="5" s="1"/>
  <c r="L568" i="8" s="1"/>
  <c r="Q195" i="5"/>
  <c r="Q194" i="5" s="1"/>
  <c r="Q1806" i="5" s="1"/>
  <c r="L1614" i="5"/>
  <c r="L2481" i="5" s="1"/>
  <c r="Q1615" i="5"/>
  <c r="Q1614" i="5" s="1"/>
  <c r="Q2481" i="5" s="1"/>
  <c r="F2431" i="5"/>
  <c r="N2430" i="5"/>
  <c r="N321" i="8" s="1"/>
  <c r="W2431" i="5"/>
  <c r="G1976" i="5"/>
  <c r="O1975" i="5"/>
  <c r="O121" i="8" s="1"/>
  <c r="Q429" i="5"/>
  <c r="L427" i="5"/>
  <c r="L1919" i="5" s="1"/>
  <c r="G2479" i="5"/>
  <c r="O2478" i="5"/>
  <c r="O340" i="8" s="1"/>
  <c r="Q1511" i="5"/>
  <c r="Q1509" i="5" s="1"/>
  <c r="Q2433" i="5" s="1"/>
  <c r="Q644" i="8" s="1"/>
  <c r="L1509" i="5"/>
  <c r="L2433" i="5" s="1"/>
  <c r="L644" i="8" s="1"/>
  <c r="F1784" i="5"/>
  <c r="N1783" i="5"/>
  <c r="N42" i="8" s="1"/>
  <c r="Q758" i="5"/>
  <c r="L757" i="5"/>
  <c r="L2083" i="5" s="1"/>
  <c r="D2083" i="5" s="1"/>
  <c r="Q317" i="5"/>
  <c r="L316" i="5"/>
  <c r="O1719" i="5"/>
  <c r="O13" i="8" s="1"/>
  <c r="G1721" i="5"/>
  <c r="Q1528" i="5"/>
  <c r="Q1527" i="5" s="1"/>
  <c r="Q2441" i="5" s="1"/>
  <c r="I2441" i="5" s="1"/>
  <c r="AA2441" i="5" s="1"/>
  <c r="L1527" i="5"/>
  <c r="L2441" i="5" s="1"/>
  <c r="H2357" i="5"/>
  <c r="P2356" i="5"/>
  <c r="E2192" i="5"/>
  <c r="M2191" i="5"/>
  <c r="M225" i="8" s="1"/>
  <c r="F1837" i="5"/>
  <c r="N1836" i="5"/>
  <c r="N62" i="8" s="1"/>
  <c r="L1643" i="5"/>
  <c r="L2493" i="5" s="1"/>
  <c r="Q1645" i="5"/>
  <c r="L610" i="5"/>
  <c r="L2007" i="5" s="1"/>
  <c r="Q611" i="5"/>
  <c r="L102" i="5"/>
  <c r="L1761" i="5" s="1"/>
  <c r="L561" i="8" s="1"/>
  <c r="Q104" i="5"/>
  <c r="N45" i="5"/>
  <c r="N1728" i="5" s="1"/>
  <c r="F1728" i="5" s="1"/>
  <c r="G2353" i="5"/>
  <c r="O2352" i="5"/>
  <c r="L1366" i="5"/>
  <c r="L2369" i="5" s="1"/>
  <c r="Q1368" i="5"/>
  <c r="Q1366" i="5" s="1"/>
  <c r="Q2369" i="5" s="1"/>
  <c r="L627" i="5"/>
  <c r="L2016" i="5" s="1"/>
  <c r="Q629" i="5"/>
  <c r="Q627" i="5" s="1"/>
  <c r="Q2016" i="5" s="1"/>
  <c r="Q371" i="5"/>
  <c r="Q369" i="5" s="1"/>
  <c r="Q1894" i="5" s="1"/>
  <c r="Q528" i="8" s="1"/>
  <c r="L369" i="5"/>
  <c r="L1894" i="5" s="1"/>
  <c r="L528" i="8" s="1"/>
  <c r="F2402" i="5"/>
  <c r="N2401" i="5"/>
  <c r="N311" i="8" s="1"/>
  <c r="Q1472" i="5"/>
  <c r="O1520" i="5"/>
  <c r="O2438" i="5" s="1"/>
  <c r="G2438" i="5" s="1"/>
  <c r="Q387" i="5"/>
  <c r="L385" i="5"/>
  <c r="L1901" i="5" s="1"/>
  <c r="F2177" i="5"/>
  <c r="N2176" i="5"/>
  <c r="N217" i="8" s="1"/>
  <c r="N422" i="8" s="1"/>
  <c r="F176" i="14" s="1"/>
  <c r="H12" i="3"/>
  <c r="G54" i="5"/>
  <c r="G69" i="5"/>
  <c r="H1960" i="5"/>
  <c r="P1959" i="5"/>
  <c r="P113" i="8" s="1"/>
  <c r="L449" i="5"/>
  <c r="L1927" i="5" s="1"/>
  <c r="Q451" i="5"/>
  <c r="H2397" i="5"/>
  <c r="P2396" i="5"/>
  <c r="Q1313" i="5"/>
  <c r="Q1311" i="5" s="1"/>
  <c r="Q2344" i="5" s="1"/>
  <c r="Q636" i="8" s="1"/>
  <c r="L1311" i="5"/>
  <c r="L2344" i="5" s="1"/>
  <c r="L636" i="8" s="1"/>
  <c r="Q1533" i="5"/>
  <c r="L1532" i="5"/>
  <c r="L2443" i="5" s="1"/>
  <c r="P1634" i="5"/>
  <c r="P2490" i="5" s="1"/>
  <c r="H2490" i="5" s="1"/>
  <c r="L1453" i="5"/>
  <c r="L2408" i="5" s="1"/>
  <c r="Q1454" i="5"/>
  <c r="L995" i="5"/>
  <c r="L2207" i="5" s="1"/>
  <c r="Q996" i="5"/>
  <c r="H2440" i="5"/>
  <c r="P2439" i="5"/>
  <c r="P325" i="8" s="1"/>
  <c r="E2286" i="5"/>
  <c r="M2285" i="5"/>
  <c r="M261" i="8" s="1"/>
  <c r="E2417" i="5"/>
  <c r="M2415" i="5"/>
  <c r="M316" i="8" s="1"/>
  <c r="H1937" i="5"/>
  <c r="P1936" i="5"/>
  <c r="P102" i="8" s="1"/>
  <c r="F2004" i="5"/>
  <c r="Q853" i="5"/>
  <c r="Q485" i="5"/>
  <c r="L483" i="5"/>
  <c r="L1945" i="5" s="1"/>
  <c r="L1372" i="5"/>
  <c r="L2372" i="5" s="1"/>
  <c r="D2372" i="5" s="1"/>
  <c r="Q1373" i="5"/>
  <c r="L115" i="5"/>
  <c r="L1768" i="5" s="1"/>
  <c r="Q116" i="5"/>
  <c r="F2240" i="5"/>
  <c r="N2239" i="5"/>
  <c r="N243" i="8" s="1"/>
  <c r="F2503" i="5"/>
  <c r="N2502" i="5"/>
  <c r="N348" i="8" s="1"/>
  <c r="M694" i="5"/>
  <c r="L770" i="5"/>
  <c r="L2089" i="5" s="1"/>
  <c r="Q772" i="5"/>
  <c r="Q770" i="5" s="1"/>
  <c r="Q2089" i="5" s="1"/>
  <c r="L824" i="5"/>
  <c r="L2118" i="5" s="1"/>
  <c r="Q826" i="5"/>
  <c r="Q824" i="5" s="1"/>
  <c r="Q2118" i="5" s="1"/>
  <c r="Q576" i="8" s="1"/>
  <c r="Q671" i="8" s="1"/>
  <c r="E1794" i="5"/>
  <c r="M1793" i="5"/>
  <c r="M46" i="8" s="1"/>
  <c r="G2383" i="5"/>
  <c r="O2382" i="5"/>
  <c r="O303" i="8" s="1"/>
  <c r="G1820" i="5"/>
  <c r="O1819" i="5"/>
  <c r="O56" i="8" s="1"/>
  <c r="F2000" i="5"/>
  <c r="Q914" i="5"/>
  <c r="Q913" i="5" s="1"/>
  <c r="Q2162" i="5" s="1"/>
  <c r="I2162" i="5" s="1"/>
  <c r="L913" i="5"/>
  <c r="L2162" i="5" s="1"/>
  <c r="L94" i="5"/>
  <c r="L1757" i="5" s="1"/>
  <c r="L562" i="8" s="1"/>
  <c r="Q95" i="5"/>
  <c r="H1828" i="5"/>
  <c r="P1827" i="5"/>
  <c r="P59" i="8" s="1"/>
  <c r="H2181" i="5"/>
  <c r="P2180" i="5"/>
  <c r="P220" i="8" s="1"/>
  <c r="P423" i="5"/>
  <c r="P1918" i="5" s="1"/>
  <c r="L871" i="5"/>
  <c r="L2141" i="5" s="1"/>
  <c r="L573" i="8" s="1"/>
  <c r="Q872" i="5"/>
  <c r="O64" i="5"/>
  <c r="O1739" i="5" s="1"/>
  <c r="Q1180" i="5"/>
  <c r="L1179" i="5"/>
  <c r="L2283" i="5" s="1"/>
  <c r="L131" i="5"/>
  <c r="L1774" i="5" s="1"/>
  <c r="Q132" i="5"/>
  <c r="N1630" i="5"/>
  <c r="N2489" i="5" s="1"/>
  <c r="F2489" i="5" s="1"/>
  <c r="P1406" i="5"/>
  <c r="P2386" i="5" s="1"/>
  <c r="P641" i="8" s="1"/>
  <c r="O902" i="5"/>
  <c r="O2158" i="5" s="1"/>
  <c r="N564" i="5"/>
  <c r="N1985" i="5" s="1"/>
  <c r="L1349" i="5"/>
  <c r="L2363" i="5" s="1"/>
  <c r="Q1350" i="5"/>
  <c r="G1914" i="5"/>
  <c r="O1913" i="5"/>
  <c r="O94" i="8" s="1"/>
  <c r="I2212" i="5"/>
  <c r="Q2211" i="5"/>
  <c r="Q232" i="8" s="1"/>
  <c r="E1972" i="5"/>
  <c r="M1971" i="5"/>
  <c r="M119" i="8" s="1"/>
  <c r="G2466" i="5"/>
  <c r="M478" i="5"/>
  <c r="M1943" i="5" s="1"/>
  <c r="M1378" i="5"/>
  <c r="M2373" i="5" s="1"/>
  <c r="E2373" i="5" s="1"/>
  <c r="Q1563" i="5"/>
  <c r="L1562" i="5"/>
  <c r="L2457" i="5" s="1"/>
  <c r="O1128" i="5"/>
  <c r="O2264" i="5" s="1"/>
  <c r="Q1021" i="5"/>
  <c r="L1020" i="5"/>
  <c r="L2217" i="5" s="1"/>
  <c r="G96" i="3"/>
  <c r="G98" i="3" s="1"/>
  <c r="G93" i="3"/>
  <c r="H90" i="3"/>
  <c r="G102" i="3"/>
  <c r="F621" i="5"/>
  <c r="N621" i="5"/>
  <c r="N620" i="5" s="1"/>
  <c r="N2011" i="5" s="1"/>
  <c r="L848" i="5"/>
  <c r="L2129" i="5" s="1"/>
  <c r="L1095" i="5"/>
  <c r="L2251" i="5" s="1"/>
  <c r="L616" i="8" s="1"/>
  <c r="Q1097" i="5"/>
  <c r="Q1095" i="5" s="1"/>
  <c r="Q2251" i="5" s="1"/>
  <c r="Q616" i="8" s="1"/>
  <c r="H1968" i="5"/>
  <c r="P1967" i="5"/>
  <c r="P117" i="8" s="1"/>
  <c r="Q213" i="5"/>
  <c r="Q211" i="5" s="1"/>
  <c r="Q1816" i="5" s="1"/>
  <c r="L211" i="5"/>
  <c r="L1816" i="5" s="1"/>
  <c r="Q1646" i="5"/>
  <c r="Q1182" i="5"/>
  <c r="Q1335" i="5"/>
  <c r="M749" i="5"/>
  <c r="M2080" i="5" s="1"/>
  <c r="P1154" i="5"/>
  <c r="P2272" i="5" s="1"/>
  <c r="H2272" i="5" s="1"/>
  <c r="Q1164" i="5"/>
  <c r="Q1162" i="5" s="1"/>
  <c r="Q2275" i="5" s="1"/>
  <c r="I2275" i="5" s="1"/>
  <c r="L1162" i="5"/>
  <c r="L2275" i="5" s="1"/>
  <c r="L1463" i="5"/>
  <c r="L2410" i="5" s="1"/>
  <c r="Q1464" i="5"/>
  <c r="P1760" i="5"/>
  <c r="P33" i="8" s="1"/>
  <c r="H1761" i="5"/>
  <c r="M180" i="5"/>
  <c r="M1799" i="5" s="1"/>
  <c r="M1797" i="5" s="1"/>
  <c r="M48" i="8" s="1"/>
  <c r="L45" i="5"/>
  <c r="L1728" i="5" s="1"/>
  <c r="Q46" i="5"/>
  <c r="Q1112" i="5"/>
  <c r="E2353" i="5"/>
  <c r="M2352" i="5"/>
  <c r="Q1430" i="5"/>
  <c r="E2369" i="5"/>
  <c r="M2368" i="5"/>
  <c r="G2369" i="5"/>
  <c r="O2368" i="5"/>
  <c r="Q1131" i="5"/>
  <c r="F2016" i="5"/>
  <c r="P1893" i="5"/>
  <c r="P85" i="8" s="1"/>
  <c r="H1894" i="5"/>
  <c r="Q1410" i="5"/>
  <c r="Q269" i="5"/>
  <c r="L267" i="5"/>
  <c r="L1844" i="5" s="1"/>
  <c r="H1771" i="5"/>
  <c r="P1770" i="5"/>
  <c r="P38" i="8" s="1"/>
  <c r="H2402" i="5"/>
  <c r="P2401" i="5"/>
  <c r="P311" i="8" s="1"/>
  <c r="Q455" i="5"/>
  <c r="D2392" i="5"/>
  <c r="F1787" i="5"/>
  <c r="O391" i="5"/>
  <c r="O1903" i="5" s="1"/>
  <c r="P391" i="5"/>
  <c r="P1903" i="5" s="1"/>
  <c r="P385" i="5"/>
  <c r="P1901" i="5" s="1"/>
  <c r="Q860" i="5"/>
  <c r="G1960" i="5"/>
  <c r="O1959" i="5"/>
  <c r="O113" i="8" s="1"/>
  <c r="L397" i="5"/>
  <c r="L1905" i="5" s="1"/>
  <c r="L583" i="8" s="1"/>
  <c r="Q398" i="5"/>
  <c r="Q397" i="5" s="1"/>
  <c r="Q1905" i="5" s="1"/>
  <c r="Q583" i="8" s="1"/>
  <c r="G1905" i="5"/>
  <c r="O1904" i="5"/>
  <c r="O90" i="8" s="1"/>
  <c r="G1831" i="5"/>
  <c r="O1830" i="5"/>
  <c r="O60" i="8" s="1"/>
  <c r="M1579" i="5"/>
  <c r="M2464" i="5" s="1"/>
  <c r="M638" i="8" s="1"/>
  <c r="Q1416" i="5"/>
  <c r="O437" i="5"/>
  <c r="O1922" i="5" s="1"/>
  <c r="G1922" i="5" s="1"/>
  <c r="Q1344" i="5"/>
  <c r="L1342" i="5"/>
  <c r="L2360" i="5" s="1"/>
  <c r="N449" i="5"/>
  <c r="N1927" i="5" s="1"/>
  <c r="H1912" i="5"/>
  <c r="P1911" i="5"/>
  <c r="P93" i="8" s="1"/>
  <c r="E2397" i="5"/>
  <c r="M2396" i="5"/>
  <c r="G2397" i="5"/>
  <c r="O2396" i="5"/>
  <c r="F2344" i="5"/>
  <c r="N2343" i="5"/>
  <c r="M350" i="5"/>
  <c r="M1886" i="5" s="1"/>
  <c r="N1574" i="5"/>
  <c r="N2462" i="5" s="1"/>
  <c r="N639" i="8" s="1"/>
  <c r="O1574" i="5"/>
  <c r="O2462" i="5" s="1"/>
  <c r="O639" i="8" s="1"/>
  <c r="N2404" i="5"/>
  <c r="P744" i="5"/>
  <c r="P2078" i="5" s="1"/>
  <c r="M1108" i="5"/>
  <c r="M2257" i="5" s="1"/>
  <c r="L969" i="5"/>
  <c r="L2196" i="5" s="1"/>
  <c r="Q970" i="5"/>
  <c r="O803" i="5"/>
  <c r="O2108" i="5" s="1"/>
  <c r="Q72" i="5"/>
  <c r="L71" i="5"/>
  <c r="L1742" i="5" s="1"/>
  <c r="L312" i="5"/>
  <c r="L1866" i="5" s="1"/>
  <c r="D1866" i="5" s="1"/>
  <c r="Q313" i="5"/>
  <c r="L985" i="5"/>
  <c r="L2203" i="5" s="1"/>
  <c r="Q986" i="5"/>
  <c r="M559" i="5"/>
  <c r="M1983" i="5" s="1"/>
  <c r="M548" i="8" s="1"/>
  <c r="N1634" i="5"/>
  <c r="N2490" i="5" s="1"/>
  <c r="F2490" i="5" s="1"/>
  <c r="M1453" i="5"/>
  <c r="M2408" i="5" s="1"/>
  <c r="M527" i="8" s="1"/>
  <c r="P1453" i="5"/>
  <c r="P2408" i="5" s="1"/>
  <c r="O1192" i="5"/>
  <c r="O2288" i="5" s="1"/>
  <c r="L710" i="5"/>
  <c r="L2060" i="5" s="1"/>
  <c r="Q711" i="5"/>
  <c r="M56" i="5"/>
  <c r="M1735" i="5" s="1"/>
  <c r="M1151" i="5"/>
  <c r="M2271" i="5" s="1"/>
  <c r="E2271" i="5" s="1"/>
  <c r="M995" i="5"/>
  <c r="M2207" i="5" s="1"/>
  <c r="P569" i="5"/>
  <c r="P1987" i="5" s="1"/>
  <c r="Q1125" i="5"/>
  <c r="Q1123" i="5" s="1"/>
  <c r="Q2262" i="5" s="1"/>
  <c r="I2262" i="5" s="1"/>
  <c r="L1123" i="5"/>
  <c r="L2262" i="5" s="1"/>
  <c r="G2440" i="5"/>
  <c r="O2439" i="5"/>
  <c r="O325" i="8" s="1"/>
  <c r="L504" i="5"/>
  <c r="L1955" i="5" s="1"/>
  <c r="L590" i="8" s="1"/>
  <c r="Q505" i="5"/>
  <c r="Q504" i="5" s="1"/>
  <c r="Q1955" i="5" s="1"/>
  <c r="Q590" i="8" s="1"/>
  <c r="L224" i="5"/>
  <c r="L1822" i="5" s="1"/>
  <c r="Q225" i="5"/>
  <c r="Q224" i="5" s="1"/>
  <c r="Q1822" i="5" s="1"/>
  <c r="I1822" i="5" s="1"/>
  <c r="F2125" i="5"/>
  <c r="G2286" i="5"/>
  <c r="O2285" i="5"/>
  <c r="O261" i="8" s="1"/>
  <c r="F2286" i="5"/>
  <c r="N2285" i="5"/>
  <c r="N261" i="8" s="1"/>
  <c r="E896" i="5"/>
  <c r="F895" i="5"/>
  <c r="L895" i="5"/>
  <c r="Q1480" i="5"/>
  <c r="Q1479" i="5" s="1"/>
  <c r="Q2417" i="5" s="1"/>
  <c r="L1479" i="5"/>
  <c r="L2417" i="5" s="1"/>
  <c r="F2412" i="5"/>
  <c r="G2412" i="5"/>
  <c r="G1937" i="5"/>
  <c r="O1936" i="5"/>
  <c r="O102" i="8" s="1"/>
  <c r="N1712" i="5"/>
  <c r="E2004" i="5"/>
  <c r="Q616" i="5"/>
  <c r="N520" i="5"/>
  <c r="N1965" i="5" s="1"/>
  <c r="N581" i="8" s="1"/>
  <c r="N673" i="8" s="1"/>
  <c r="N42" i="5"/>
  <c r="N1727" i="5" s="1"/>
  <c r="M42" i="5"/>
  <c r="M1727" i="5" s="1"/>
  <c r="M1532" i="5"/>
  <c r="M2443" i="5" s="1"/>
  <c r="Q1004" i="5"/>
  <c r="F2436" i="5"/>
  <c r="E2436" i="5"/>
  <c r="M865" i="5"/>
  <c r="M2138" i="5" s="1"/>
  <c r="P1372" i="5"/>
  <c r="P2372" i="5" s="1"/>
  <c r="H2372" i="5" s="1"/>
  <c r="P851" i="5"/>
  <c r="P2131" i="5" s="1"/>
  <c r="E2240" i="5"/>
  <c r="M2239" i="5"/>
  <c r="M243" i="8" s="1"/>
  <c r="L1671" i="5"/>
  <c r="L2503" i="5" s="1"/>
  <c r="Q1673" i="5"/>
  <c r="Q1671" i="5" s="1"/>
  <c r="Q2503" i="5" s="1"/>
  <c r="H2503" i="5"/>
  <c r="P2502" i="5"/>
  <c r="P348" i="8" s="1"/>
  <c r="F2211" i="5"/>
  <c r="E2471" i="5"/>
  <c r="M2470" i="5"/>
  <c r="M337" i="8" s="1"/>
  <c r="Q971" i="5"/>
  <c r="Q1143" i="5"/>
  <c r="Q1000" i="5"/>
  <c r="G50" i="3"/>
  <c r="G69" i="3"/>
  <c r="G694" i="5" s="1"/>
  <c r="N694" i="5" s="1"/>
  <c r="N693" i="5" s="1"/>
  <c r="N2051" i="5" s="1"/>
  <c r="F2051" i="5" s="1"/>
  <c r="H49" i="3"/>
  <c r="Q1243" i="5"/>
  <c r="F2050" i="5"/>
  <c r="Q174" i="5"/>
  <c r="Q172" i="5" s="1"/>
  <c r="Q1795" i="5" s="1"/>
  <c r="I1795" i="5" s="1"/>
  <c r="L172" i="5"/>
  <c r="L1795" i="5" s="1"/>
  <c r="L1664" i="5"/>
  <c r="L2500" i="5" s="1"/>
  <c r="Q1666" i="5"/>
  <c r="Q1664" i="5" s="1"/>
  <c r="Q2500" i="5" s="1"/>
  <c r="H2500" i="5"/>
  <c r="E2118" i="5"/>
  <c r="M2117" i="5"/>
  <c r="M190" i="8" s="1"/>
  <c r="G2118" i="5"/>
  <c r="O2117" i="5"/>
  <c r="O190" i="8" s="1"/>
  <c r="G1794" i="5"/>
  <c r="O1793" i="5"/>
  <c r="O46" i="8" s="1"/>
  <c r="Q1357" i="5"/>
  <c r="O1114" i="5"/>
  <c r="O2259" i="5" s="1"/>
  <c r="G2036" i="5"/>
  <c r="O2035" i="5"/>
  <c r="O151" i="8" s="1"/>
  <c r="F2036" i="5"/>
  <c r="N2035" i="5"/>
  <c r="N151" i="8" s="1"/>
  <c r="F1824" i="5"/>
  <c r="N1823" i="5"/>
  <c r="N57" i="8" s="1"/>
  <c r="H2383" i="5"/>
  <c r="P2382" i="5"/>
  <c r="P303" i="8" s="1"/>
  <c r="E2024" i="5"/>
  <c r="M2023" i="5"/>
  <c r="M144" i="8" s="1"/>
  <c r="H2024" i="5"/>
  <c r="P1934" i="5"/>
  <c r="P101" i="8" s="1"/>
  <c r="H1935" i="5"/>
  <c r="F1820" i="5"/>
  <c r="N1819" i="5"/>
  <c r="N56" i="8" s="1"/>
  <c r="Q118" i="5"/>
  <c r="V118" i="5" s="1"/>
  <c r="P2160" i="5"/>
  <c r="P209" i="8" s="1"/>
  <c r="H2162" i="5"/>
  <c r="Q447" i="5"/>
  <c r="Q702" i="5"/>
  <c r="Q21" i="5"/>
  <c r="V21" i="5" s="1"/>
  <c r="D2197" i="5"/>
  <c r="W2197" i="5"/>
  <c r="X2197" i="5" s="1"/>
  <c r="N361" i="5"/>
  <c r="N1890" i="5" s="1"/>
  <c r="N588" i="8" s="1"/>
  <c r="L1652" i="5"/>
  <c r="L2496" i="5" s="1"/>
  <c r="Q1654" i="5"/>
  <c r="P1652" i="5"/>
  <c r="P2496" i="5" s="1"/>
  <c r="M1418" i="5"/>
  <c r="M2390" i="5" s="1"/>
  <c r="Q1420" i="5"/>
  <c r="Q1418" i="5" s="1"/>
  <c r="Q2390" i="5" s="1"/>
  <c r="M1119" i="5"/>
  <c r="M2261" i="5" s="1"/>
  <c r="L696" i="5"/>
  <c r="L2053" i="5" s="1"/>
  <c r="Q697" i="5"/>
  <c r="N500" i="5"/>
  <c r="N1953" i="5" s="1"/>
  <c r="F1828" i="5"/>
  <c r="N1827" i="5"/>
  <c r="N59" i="8" s="1"/>
  <c r="L1647" i="5"/>
  <c r="L2494" i="5" s="1"/>
  <c r="Q1649" i="5"/>
  <c r="Q1564" i="5"/>
  <c r="Q319" i="5"/>
  <c r="Q945" i="5"/>
  <c r="Q943" i="5" s="1"/>
  <c r="Q2181" i="5" s="1"/>
  <c r="L943" i="5"/>
  <c r="L2181" i="5" s="1"/>
  <c r="M423" i="5"/>
  <c r="M1918" i="5" s="1"/>
  <c r="E2453" i="5"/>
  <c r="M2452" i="5"/>
  <c r="G2453" i="5"/>
  <c r="O2452" i="5"/>
  <c r="Q1334" i="5"/>
  <c r="L1332" i="5"/>
  <c r="L2355" i="5" s="1"/>
  <c r="N441" i="5"/>
  <c r="N1924" i="5" s="1"/>
  <c r="N600" i="8" s="1"/>
  <c r="M1137" i="5"/>
  <c r="M2266" i="5" s="1"/>
  <c r="E2266" i="5" s="1"/>
  <c r="P699" i="5"/>
  <c r="P2054" i="5" s="1"/>
  <c r="H2054" i="5" s="1"/>
  <c r="Q277" i="5"/>
  <c r="Q275" i="5" s="1"/>
  <c r="Q1848" i="5" s="1"/>
  <c r="L275" i="5"/>
  <c r="L1848" i="5" s="1"/>
  <c r="G1848" i="5"/>
  <c r="O1847" i="5"/>
  <c r="O66" i="8" s="1"/>
  <c r="O1566" i="5"/>
  <c r="O2458" i="5" s="1"/>
  <c r="O1426" i="5"/>
  <c r="O2394" i="5" s="1"/>
  <c r="L321" i="5"/>
  <c r="Q322" i="5"/>
  <c r="O1063" i="5"/>
  <c r="O2237" i="5" s="1"/>
  <c r="M1063" i="5"/>
  <c r="M2237" i="5" s="1"/>
  <c r="M871" i="5"/>
  <c r="M2141" i="5" s="1"/>
  <c r="M573" i="8" s="1"/>
  <c r="L673" i="5"/>
  <c r="L2040" i="5" s="1"/>
  <c r="Q674" i="5"/>
  <c r="P64" i="5"/>
  <c r="P1739" i="5" s="1"/>
  <c r="M1413" i="5"/>
  <c r="M2389" i="5" s="1"/>
  <c r="P1413" i="5"/>
  <c r="P2389" i="5" s="1"/>
  <c r="O1179" i="5"/>
  <c r="O2283" i="5" s="1"/>
  <c r="N876" i="5"/>
  <c r="N2144" i="5" s="1"/>
  <c r="P131" i="5"/>
  <c r="P1774" i="5" s="1"/>
  <c r="P554" i="8" s="1"/>
  <c r="P664" i="8" s="1"/>
  <c r="O1630" i="5"/>
  <c r="O2489" i="5" s="1"/>
  <c r="G2489" i="5" s="1"/>
  <c r="P1630" i="5"/>
  <c r="P2489" i="5" s="1"/>
  <c r="H2489" i="5" s="1"/>
  <c r="O1406" i="5"/>
  <c r="O2386" i="5" s="1"/>
  <c r="O641" i="8" s="1"/>
  <c r="N1102" i="5"/>
  <c r="N2255" i="5" s="1"/>
  <c r="Q903" i="5"/>
  <c r="L902" i="5"/>
  <c r="L2158" i="5" s="1"/>
  <c r="O564" i="5"/>
  <c r="O1985" i="5" s="1"/>
  <c r="P564" i="5"/>
  <c r="P1985" i="5" s="1"/>
  <c r="M1539" i="5"/>
  <c r="M2446" i="5" s="1"/>
  <c r="M537" i="8" s="1"/>
  <c r="N1349" i="5"/>
  <c r="N2363" i="5" s="1"/>
  <c r="L1079" i="5"/>
  <c r="L2243" i="5" s="1"/>
  <c r="Q1080" i="5"/>
  <c r="O932" i="5"/>
  <c r="O2174" i="5" s="1"/>
  <c r="N932" i="5"/>
  <c r="N2174" i="5" s="1"/>
  <c r="Q638" i="5"/>
  <c r="L840" i="5"/>
  <c r="L2124" i="5" s="1"/>
  <c r="Q841" i="5"/>
  <c r="N453" i="5"/>
  <c r="N1928" i="5" s="1"/>
  <c r="F1928" i="5" s="1"/>
  <c r="Q20" i="5"/>
  <c r="L19" i="5"/>
  <c r="L1715" i="5" s="1"/>
  <c r="L1306" i="5"/>
  <c r="L2342" i="5" s="1"/>
  <c r="L647" i="8" s="1"/>
  <c r="Q1308" i="5"/>
  <c r="Q1306" i="5" s="1"/>
  <c r="Q2342" i="5" s="1"/>
  <c r="Q647" i="8" s="1"/>
  <c r="P1913" i="5"/>
  <c r="P94" i="8" s="1"/>
  <c r="H1914" i="5"/>
  <c r="G2125" i="5"/>
  <c r="E2247" i="5"/>
  <c r="Q394" i="5"/>
  <c r="Q1132" i="5"/>
  <c r="Q31" i="5"/>
  <c r="V31" i="5" s="1"/>
  <c r="O1268" i="5"/>
  <c r="O2329" i="5" s="1"/>
  <c r="O635" i="8" s="1"/>
  <c r="O12" i="5"/>
  <c r="O1713" i="5" s="1"/>
  <c r="G1713" i="5" s="1"/>
  <c r="L2318" i="5"/>
  <c r="Q2318" i="5"/>
  <c r="F1972" i="5"/>
  <c r="N1971" i="5"/>
  <c r="N119" i="8" s="1"/>
  <c r="E1787" i="5"/>
  <c r="F2466" i="5"/>
  <c r="H2466" i="5"/>
  <c r="N613" i="5"/>
  <c r="N2008" i="5" s="1"/>
  <c r="M188" i="5"/>
  <c r="M1804" i="5" s="1"/>
  <c r="M559" i="8" s="1"/>
  <c r="Q283" i="5"/>
  <c r="Q281" i="5" s="1"/>
  <c r="Q1850" i="5" s="1"/>
  <c r="L281" i="5"/>
  <c r="L1850" i="5" s="1"/>
  <c r="L539" i="8" s="1"/>
  <c r="M33" i="5"/>
  <c r="M1723" i="5" s="1"/>
  <c r="M544" i="8" s="1"/>
  <c r="P478" i="5"/>
  <c r="P1943" i="5" s="1"/>
  <c r="P1378" i="5"/>
  <c r="P2373" i="5" s="1"/>
  <c r="H2373" i="5" s="1"/>
  <c r="L1378" i="5"/>
  <c r="L2373" i="5" s="1"/>
  <c r="D2373" i="5" s="1"/>
  <c r="Q1379" i="5"/>
  <c r="N1047" i="5"/>
  <c r="N2228" i="5" s="1"/>
  <c r="N610" i="8" s="1"/>
  <c r="N683" i="8" s="1"/>
  <c r="P1562" i="5"/>
  <c r="P2457" i="5" s="1"/>
  <c r="L1128" i="5"/>
  <c r="L2264" i="5" s="1"/>
  <c r="Q1129" i="5"/>
  <c r="N1626" i="5"/>
  <c r="N2488" i="5" s="1"/>
  <c r="P1626" i="5"/>
  <c r="P2488" i="5" s="1"/>
  <c r="P1020" i="5"/>
  <c r="P2217" i="5" s="1"/>
  <c r="P614" i="8" s="1"/>
  <c r="N1492" i="5"/>
  <c r="N2423" i="5" s="1"/>
  <c r="F2423" i="5" s="1"/>
  <c r="L831" i="5"/>
  <c r="L2122" i="5" s="1"/>
  <c r="Q832" i="5"/>
  <c r="N1667" i="5"/>
  <c r="N2501" i="5" s="1"/>
  <c r="F2501" i="5" s="1"/>
  <c r="P1667" i="5"/>
  <c r="P2501" i="5" s="1"/>
  <c r="H2501" i="5" s="1"/>
  <c r="Q1300" i="5"/>
  <c r="Q1298" i="5" s="1"/>
  <c r="Q2340" i="5" s="1"/>
  <c r="Q645" i="8" s="1"/>
  <c r="L1298" i="5"/>
  <c r="L2340" i="5" s="1"/>
  <c r="L645" i="8" s="1"/>
  <c r="H2125" i="5"/>
  <c r="F2251" i="5"/>
  <c r="N2250" i="5"/>
  <c r="N247" i="8" s="1"/>
  <c r="L635" i="5"/>
  <c r="L2020" i="5" s="1"/>
  <c r="Q637" i="5"/>
  <c r="Q532" i="5"/>
  <c r="Q530" i="5" s="1"/>
  <c r="Q1968" i="5" s="1"/>
  <c r="Q584" i="8" s="1"/>
  <c r="L530" i="5"/>
  <c r="L1968" i="5" s="1"/>
  <c r="L584" i="8" s="1"/>
  <c r="F1963" i="5"/>
  <c r="N1962" i="5"/>
  <c r="N115" i="8" s="1"/>
  <c r="L399" i="5"/>
  <c r="L1906" i="5" s="1"/>
  <c r="L598" i="8" s="1"/>
  <c r="Q401" i="5"/>
  <c r="Q399" i="5" s="1"/>
  <c r="Q1906" i="5" s="1"/>
  <c r="H2270" i="5"/>
  <c r="F1940" i="5"/>
  <c r="N1939" i="5"/>
  <c r="N103" i="8" s="1"/>
  <c r="F1947" i="5"/>
  <c r="N1946" i="5"/>
  <c r="N107" i="8" s="1"/>
  <c r="L2400" i="5"/>
  <c r="Q2400" i="5"/>
  <c r="H2281" i="5"/>
  <c r="P2280" i="5"/>
  <c r="P259" i="8" s="1"/>
  <c r="F1976" i="5"/>
  <c r="N1975" i="5"/>
  <c r="N121" i="8" s="1"/>
  <c r="Q248" i="5"/>
  <c r="Q246" i="5" s="1"/>
  <c r="Q1834" i="5" s="1"/>
  <c r="L246" i="5"/>
  <c r="L1834" i="5" s="1"/>
  <c r="E2479" i="5"/>
  <c r="M2478" i="5"/>
  <c r="M340" i="8" s="1"/>
  <c r="L431" i="5"/>
  <c r="L1920" i="5" s="1"/>
  <c r="L604" i="8" s="1"/>
  <c r="Q432" i="5"/>
  <c r="Q1489" i="5"/>
  <c r="L1488" i="5"/>
  <c r="L2422" i="5" s="1"/>
  <c r="L1542" i="5"/>
  <c r="L2447" i="5" s="1"/>
  <c r="Q1543" i="5"/>
  <c r="Q1542" i="5" s="1"/>
  <c r="Q2447" i="5" s="1"/>
  <c r="I2447" i="5" s="1"/>
  <c r="AA2447" i="5" s="1"/>
  <c r="Q145" i="5"/>
  <c r="L144" i="5"/>
  <c r="L1780" i="5" s="1"/>
  <c r="Q1235" i="5"/>
  <c r="L1234" i="5"/>
  <c r="L2313" i="5" s="1"/>
  <c r="L798" i="5"/>
  <c r="L2106" i="5" s="1"/>
  <c r="Q799" i="5"/>
  <c r="Q1547" i="5"/>
  <c r="Q1546" i="5" s="1"/>
  <c r="Q2449" i="5" s="1"/>
  <c r="L1546" i="5"/>
  <c r="L2449" i="5" s="1"/>
  <c r="H1814" i="5"/>
  <c r="P1813" i="5"/>
  <c r="P54" i="8" s="1"/>
  <c r="G2192" i="5"/>
  <c r="O2191" i="5"/>
  <c r="O225" i="8" s="1"/>
  <c r="Q1397" i="5"/>
  <c r="I2001" i="5"/>
  <c r="Q2000" i="5"/>
  <c r="Q134" i="8" s="1"/>
  <c r="H2505" i="5"/>
  <c r="P2504" i="5"/>
  <c r="P349" i="8" s="1"/>
  <c r="G1837" i="5"/>
  <c r="O1836" i="5"/>
  <c r="O62" i="8" s="1"/>
  <c r="E2074" i="5"/>
  <c r="O1988" i="5"/>
  <c r="O128" i="8" s="1"/>
  <c r="G1989" i="5"/>
  <c r="Q1355" i="5"/>
  <c r="L1354" i="5"/>
  <c r="L2364" i="5" s="1"/>
  <c r="H2353" i="5"/>
  <c r="P2352" i="5"/>
  <c r="G1938" i="5"/>
  <c r="W1938" i="5"/>
  <c r="E2016" i="5"/>
  <c r="L123" i="5"/>
  <c r="L1771" i="5" s="1"/>
  <c r="Q125" i="5"/>
  <c r="E1960" i="5"/>
  <c r="M1959" i="5"/>
  <c r="M113" i="8" s="1"/>
  <c r="F1905" i="5"/>
  <c r="N1904" i="5"/>
  <c r="N90" i="8" s="1"/>
  <c r="L240" i="5"/>
  <c r="L1831" i="5" s="1"/>
  <c r="Q242" i="5"/>
  <c r="Q240" i="5" s="1"/>
  <c r="Q1831" i="5" s="1"/>
  <c r="L1596" i="5"/>
  <c r="L2472" i="5" s="1"/>
  <c r="Q1598" i="5"/>
  <c r="Q1596" i="5" s="1"/>
  <c r="Q2472" i="5" s="1"/>
  <c r="I2472" i="5" s="1"/>
  <c r="AA2472" i="5" s="1"/>
  <c r="M1342" i="5"/>
  <c r="M2360" i="5" s="1"/>
  <c r="Q411" i="5"/>
  <c r="Q409" i="5" s="1"/>
  <c r="Q1912" i="5" s="1"/>
  <c r="L409" i="5"/>
  <c r="L1912" i="5" s="1"/>
  <c r="G1912" i="5"/>
  <c r="O1911" i="5"/>
  <c r="O93" i="8" s="1"/>
  <c r="L744" i="5"/>
  <c r="L2078" i="5" s="1"/>
  <c r="Q745" i="5"/>
  <c r="Q1109" i="5"/>
  <c r="L1108" i="5"/>
  <c r="L2257" i="5" s="1"/>
  <c r="N71" i="5"/>
  <c r="N1742" i="5" s="1"/>
  <c r="L977" i="5"/>
  <c r="L2200" i="5" s="1"/>
  <c r="Q978" i="5"/>
  <c r="Q57" i="5"/>
  <c r="L56" i="5"/>
  <c r="L1735" i="5" s="1"/>
  <c r="L1524" i="5"/>
  <c r="L2440" i="5" s="1"/>
  <c r="Q1525" i="5"/>
  <c r="Q1524" i="5" s="1"/>
  <c r="Q2440" i="5" s="1"/>
  <c r="H2211" i="5"/>
  <c r="F2417" i="5"/>
  <c r="N2415" i="5"/>
  <c r="N316" i="8" s="1"/>
  <c r="O1712" i="5"/>
  <c r="L520" i="5"/>
  <c r="L1965" i="5" s="1"/>
  <c r="L581" i="8" s="1"/>
  <c r="Q521" i="5"/>
  <c r="L434" i="5"/>
  <c r="L1921" i="5" s="1"/>
  <c r="Q435" i="5"/>
  <c r="L445" i="5"/>
  <c r="L1925" i="5" s="1"/>
  <c r="Q446" i="5"/>
  <c r="H2471" i="5"/>
  <c r="P2470" i="5"/>
  <c r="P337" i="8" s="1"/>
  <c r="H2050" i="5"/>
  <c r="G2500" i="5"/>
  <c r="F1794" i="5"/>
  <c r="N1793" i="5"/>
  <c r="N46" i="8" s="1"/>
  <c r="L1114" i="5"/>
  <c r="L2259" i="5" s="1"/>
  <c r="Q1116" i="5"/>
  <c r="H1824" i="5"/>
  <c r="P1823" i="5"/>
  <c r="P57" i="8" s="1"/>
  <c r="L465" i="5"/>
  <c r="L1935" i="5" s="1"/>
  <c r="Q467" i="5"/>
  <c r="Q465" i="5" s="1"/>
  <c r="Q1935" i="5" s="1"/>
  <c r="L964" i="5"/>
  <c r="L2193" i="5" s="1"/>
  <c r="Q965" i="5"/>
  <c r="Q964" i="5" s="1"/>
  <c r="Q2193" i="5" s="1"/>
  <c r="I2193" i="5" s="1"/>
  <c r="O423" i="5"/>
  <c r="O1918" i="5" s="1"/>
  <c r="F2453" i="5"/>
  <c r="N2452" i="5"/>
  <c r="Q1138" i="5"/>
  <c r="L1137" i="5"/>
  <c r="L2266" i="5" s="1"/>
  <c r="M699" i="5"/>
  <c r="M2054" i="5" s="1"/>
  <c r="E2054" i="5" s="1"/>
  <c r="E1848" i="5"/>
  <c r="M1847" i="5"/>
  <c r="M66" i="8" s="1"/>
  <c r="Q1567" i="5"/>
  <c r="L1566" i="5"/>
  <c r="L2458" i="5" s="1"/>
  <c r="L634" i="8" s="1"/>
  <c r="L64" i="5"/>
  <c r="L1739" i="5" s="1"/>
  <c r="Q65" i="5"/>
  <c r="O131" i="5"/>
  <c r="O1774" i="5" s="1"/>
  <c r="O554" i="8" s="1"/>
  <c r="O664" i="8" s="1"/>
  <c r="M902" i="5"/>
  <c r="M2158" i="5" s="1"/>
  <c r="M932" i="5"/>
  <c r="M2174" i="5" s="1"/>
  <c r="L1498" i="5"/>
  <c r="L2425" i="5" s="1"/>
  <c r="L649" i="8" s="1"/>
  <c r="Q1499" i="5"/>
  <c r="Q1498" i="5" s="1"/>
  <c r="Q2425" i="5" s="1"/>
  <c r="P453" i="5"/>
  <c r="P1928" i="5" s="1"/>
  <c r="H1928" i="5" s="1"/>
  <c r="N19" i="5"/>
  <c r="N1715" i="5" s="1"/>
  <c r="F1715" i="5" s="1"/>
  <c r="L413" i="5"/>
  <c r="L1914" i="5" s="1"/>
  <c r="Q415" i="5"/>
  <c r="Q413" i="5" s="1"/>
  <c r="Q1914" i="5" s="1"/>
  <c r="N201" i="5"/>
  <c r="N1809" i="5" s="1"/>
  <c r="F2186" i="5"/>
  <c r="N2183" i="5"/>
  <c r="N221" i="8" s="1"/>
  <c r="N424" i="8" s="1"/>
  <c r="F178" i="14" s="1"/>
  <c r="H2318" i="5"/>
  <c r="H1972" i="5"/>
  <c r="P1971" i="5"/>
  <c r="P119" i="8" s="1"/>
  <c r="Q614" i="5"/>
  <c r="L613" i="5"/>
  <c r="L2008" i="5" s="1"/>
  <c r="L547" i="8" s="1"/>
  <c r="M1047" i="5"/>
  <c r="M2228" i="5" s="1"/>
  <c r="M610" i="8" s="1"/>
  <c r="M683" i="8" s="1"/>
  <c r="Q1627" i="5"/>
  <c r="L1626" i="5"/>
  <c r="L2488" i="5" s="1"/>
  <c r="P831" i="5"/>
  <c r="P2122" i="5" s="1"/>
  <c r="L739" i="5"/>
  <c r="L2075" i="5" s="1"/>
  <c r="Q740" i="5"/>
  <c r="F2340" i="5"/>
  <c r="N2339" i="5"/>
  <c r="Q1375" i="5"/>
  <c r="Q1385" i="5"/>
  <c r="Q1382" i="5" s="1"/>
  <c r="L1382" i="5"/>
  <c r="D2194" i="5"/>
  <c r="W2194" i="5"/>
  <c r="X2194" i="5" s="1"/>
  <c r="Q1577" i="5"/>
  <c r="G1968" i="5"/>
  <c r="O1967" i="5"/>
  <c r="O117" i="8" s="1"/>
  <c r="Q816" i="5"/>
  <c r="Q1572" i="5"/>
  <c r="Q1570" i="5" s="1"/>
  <c r="Q2460" i="5" s="1"/>
  <c r="L1570" i="5"/>
  <c r="L2460" i="5" s="1"/>
  <c r="Q301" i="5"/>
  <c r="L299" i="5"/>
  <c r="G1798" i="5"/>
  <c r="H1940" i="5"/>
  <c r="P1939" i="5"/>
  <c r="P103" i="8" s="1"/>
  <c r="L1616" i="5"/>
  <c r="L2482" i="5" s="1"/>
  <c r="L557" i="8" s="1"/>
  <c r="Q1617" i="5"/>
  <c r="Q1616" i="5" s="1"/>
  <c r="Q2482" i="5" s="1"/>
  <c r="E1947" i="5"/>
  <c r="M1946" i="5"/>
  <c r="M107" i="8" s="1"/>
  <c r="Q842" i="5"/>
  <c r="G2481" i="5"/>
  <c r="O2480" i="5"/>
  <c r="O341" i="8" s="1"/>
  <c r="G2177" i="5"/>
  <c r="O2176" i="5"/>
  <c r="O217" i="8" s="1"/>
  <c r="O422" i="8" s="1"/>
  <c r="G176" i="14" s="1"/>
  <c r="G2431" i="5"/>
  <c r="O2430" i="5"/>
  <c r="O321" i="8" s="1"/>
  <c r="Q73" i="5"/>
  <c r="V73" i="5" s="1"/>
  <c r="F2433" i="5"/>
  <c r="N2432" i="5"/>
  <c r="N322" i="8" s="1"/>
  <c r="M1140" i="5"/>
  <c r="M2267" i="5" s="1"/>
  <c r="E2267" i="5" s="1"/>
  <c r="M1783" i="5"/>
  <c r="M42" i="8" s="1"/>
  <c r="E1784" i="5"/>
  <c r="M494" i="5"/>
  <c r="M1951" i="5" s="1"/>
  <c r="P431" i="5"/>
  <c r="P1920" i="5" s="1"/>
  <c r="N379" i="5"/>
  <c r="N1898" i="5" s="1"/>
  <c r="Q1559" i="5"/>
  <c r="L1558" i="5"/>
  <c r="L2455" i="5" s="1"/>
  <c r="L1032" i="5"/>
  <c r="L2221" i="5" s="1"/>
  <c r="Q1033" i="5"/>
  <c r="L307" i="5"/>
  <c r="L1864" i="5" s="1"/>
  <c r="D1864" i="5" s="1"/>
  <c r="Q308" i="5"/>
  <c r="Q814" i="5"/>
  <c r="L813" i="5"/>
  <c r="L2112" i="5" s="1"/>
  <c r="P144" i="5"/>
  <c r="P1780" i="5" s="1"/>
  <c r="P798" i="5"/>
  <c r="P2106" i="5" s="1"/>
  <c r="P575" i="8" s="1"/>
  <c r="L1024" i="5"/>
  <c r="L2218" i="5" s="1"/>
  <c r="Q1026" i="5"/>
  <c r="Q1024" i="5" s="1"/>
  <c r="Q2218" i="5" s="1"/>
  <c r="I2218" i="5" s="1"/>
  <c r="P1638" i="5"/>
  <c r="P2491" i="5" s="1"/>
  <c r="H2491" i="5" s="1"/>
  <c r="D1881" i="5"/>
  <c r="L1878" i="5"/>
  <c r="L78" i="8" s="1"/>
  <c r="E2449" i="5"/>
  <c r="M2448" i="5"/>
  <c r="M328" i="8" s="1"/>
  <c r="F2357" i="5"/>
  <c r="N2356" i="5"/>
  <c r="G1814" i="5"/>
  <c r="O1813" i="5"/>
  <c r="O54" i="8" s="1"/>
  <c r="E1814" i="5"/>
  <c r="M1813" i="5"/>
  <c r="M54" i="8" s="1"/>
  <c r="D2102" i="5"/>
  <c r="L2101" i="5"/>
  <c r="L181" i="8" s="1"/>
  <c r="G2211" i="5"/>
  <c r="Q1522" i="5"/>
  <c r="I649" i="5"/>
  <c r="N649" i="5"/>
  <c r="Q861" i="5"/>
  <c r="F2192" i="5"/>
  <c r="N2191" i="5"/>
  <c r="N225" i="8" s="1"/>
  <c r="M594" i="5"/>
  <c r="M1998" i="5" s="1"/>
  <c r="M629" i="8" s="1"/>
  <c r="H2074" i="5"/>
  <c r="Q1353" i="5"/>
  <c r="M197" i="5"/>
  <c r="M1808" i="5" s="1"/>
  <c r="E2110" i="5"/>
  <c r="M2109" i="5"/>
  <c r="M186" i="8" s="1"/>
  <c r="O1588" i="5"/>
  <c r="O1587" i="5" s="1"/>
  <c r="O2467" i="5" s="1"/>
  <c r="G2467" i="5" s="1"/>
  <c r="P1588" i="5"/>
  <c r="P1587" i="5" s="1"/>
  <c r="P2467" i="5" s="1"/>
  <c r="H2467" i="5" s="1"/>
  <c r="L1588" i="5"/>
  <c r="N1588" i="5"/>
  <c r="N1587" i="5" s="1"/>
  <c r="N2467" i="5" s="1"/>
  <c r="F2467" i="5" s="1"/>
  <c r="M1588" i="5"/>
  <c r="M1587" i="5" s="1"/>
  <c r="M2467" i="5" s="1"/>
  <c r="E2467" i="5" s="1"/>
  <c r="G181" i="5"/>
  <c r="H13" i="3"/>
  <c r="Q47" i="5"/>
  <c r="V47" i="5" s="1"/>
  <c r="G2186" i="5"/>
  <c r="O2183" i="5"/>
  <c r="O221" i="8" s="1"/>
  <c r="O424" i="8" s="1"/>
  <c r="G178" i="14" s="1"/>
  <c r="M849" i="5"/>
  <c r="M848" i="5" s="1"/>
  <c r="M2129" i="5" s="1"/>
  <c r="G849" i="5"/>
  <c r="E2251" i="5"/>
  <c r="M2250" i="5"/>
  <c r="M247" i="8" s="1"/>
  <c r="H2251" i="5"/>
  <c r="P2250" i="5"/>
  <c r="P247" i="8" s="1"/>
  <c r="Q806" i="5"/>
  <c r="M635" i="5"/>
  <c r="M2020" i="5" s="1"/>
  <c r="E1968" i="5"/>
  <c r="M1967" i="5"/>
  <c r="M117" i="8" s="1"/>
  <c r="E1816" i="5"/>
  <c r="M1815" i="5"/>
  <c r="M55" i="8" s="1"/>
  <c r="Q1417" i="5"/>
  <c r="L890" i="5"/>
  <c r="L2152" i="5" s="1"/>
  <c r="Q892" i="5"/>
  <c r="M720" i="5"/>
  <c r="M2065" i="5" s="1"/>
  <c r="E2065" i="5" s="1"/>
  <c r="Q426" i="5"/>
  <c r="Q422" i="5"/>
  <c r="H2460" i="5"/>
  <c r="P2459" i="5"/>
  <c r="P333" i="8" s="1"/>
  <c r="Q768" i="5"/>
  <c r="Q766" i="5" s="1"/>
  <c r="Q2087" i="5" s="1"/>
  <c r="Q532" i="8" s="1"/>
  <c r="L766" i="5"/>
  <c r="L2087" i="5" s="1"/>
  <c r="L532" i="8" s="1"/>
  <c r="L516" i="5"/>
  <c r="L1963" i="5" s="1"/>
  <c r="Q518" i="5"/>
  <c r="Q516" i="5" s="1"/>
  <c r="Q1963" i="5" s="1"/>
  <c r="H1963" i="5"/>
  <c r="P1962" i="5"/>
  <c r="P115" i="8" s="1"/>
  <c r="F1798" i="5"/>
  <c r="G2000" i="5"/>
  <c r="F2270" i="5"/>
  <c r="L474" i="5"/>
  <c r="L1940" i="5" s="1"/>
  <c r="L589" i="8" s="1"/>
  <c r="Q475" i="5"/>
  <c r="Q474" i="5" s="1"/>
  <c r="Q1940" i="5" s="1"/>
  <c r="Q589" i="8" s="1"/>
  <c r="H1947" i="5"/>
  <c r="P1946" i="5"/>
  <c r="P107" i="8" s="1"/>
  <c r="L405" i="5"/>
  <c r="L1909" i="5" s="1"/>
  <c r="L579" i="8" s="1"/>
  <c r="Q406" i="5"/>
  <c r="Q405" i="5" s="1"/>
  <c r="Q1909" i="5" s="1"/>
  <c r="Q579" i="8" s="1"/>
  <c r="E2481" i="5"/>
  <c r="M2480" i="5"/>
  <c r="M341" i="8" s="1"/>
  <c r="F2400" i="5"/>
  <c r="N2399" i="5"/>
  <c r="N310" i="8" s="1"/>
  <c r="G2400" i="5"/>
  <c r="O2399" i="5"/>
  <c r="O310" i="8" s="1"/>
  <c r="L1251" i="5"/>
  <c r="Q1252" i="5"/>
  <c r="Q1251" i="5" s="1"/>
  <c r="Q1136" i="5"/>
  <c r="H2431" i="5"/>
  <c r="P2430" i="5"/>
  <c r="P321" i="8" s="1"/>
  <c r="F2281" i="5"/>
  <c r="N2280" i="5"/>
  <c r="N259" i="8" s="1"/>
  <c r="E2281" i="5"/>
  <c r="M2280" i="5"/>
  <c r="M259" i="8" s="1"/>
  <c r="P427" i="5"/>
  <c r="P1919" i="5" s="1"/>
  <c r="F1834" i="5"/>
  <c r="N1833" i="5"/>
  <c r="N61" i="8" s="1"/>
  <c r="E1834" i="5"/>
  <c r="M1833" i="5"/>
  <c r="M61" i="8" s="1"/>
  <c r="F2479" i="5"/>
  <c r="N2478" i="5"/>
  <c r="N340" i="8" s="1"/>
  <c r="G2433" i="5"/>
  <c r="O2432" i="5"/>
  <c r="O322" i="8" s="1"/>
  <c r="M497" i="5"/>
  <c r="M1952" i="5" s="1"/>
  <c r="E1952" i="5" s="1"/>
  <c r="Q154" i="5"/>
  <c r="L152" i="5"/>
  <c r="L1784" i="5" s="1"/>
  <c r="N494" i="5"/>
  <c r="N1951" i="5" s="1"/>
  <c r="N595" i="8" s="1"/>
  <c r="Q421" i="5"/>
  <c r="L419" i="5"/>
  <c r="L1917" i="5" s="1"/>
  <c r="Q998" i="5"/>
  <c r="N1133" i="5"/>
  <c r="N2265" i="5" s="1"/>
  <c r="P379" i="5"/>
  <c r="P1898" i="5" s="1"/>
  <c r="H2455" i="5"/>
  <c r="P2454" i="5"/>
  <c r="P331" i="8" s="1"/>
  <c r="O1032" i="5"/>
  <c r="O2221" i="5" s="1"/>
  <c r="L579" i="5"/>
  <c r="L1991" i="5" s="1"/>
  <c r="Q580" i="5"/>
  <c r="P307" i="5"/>
  <c r="P1864" i="5" s="1"/>
  <c r="H1864" i="5" s="1"/>
  <c r="O1001" i="5"/>
  <c r="O2208" i="5" s="1"/>
  <c r="G2208" i="5" s="1"/>
  <c r="N813" i="5"/>
  <c r="N2112" i="5" s="1"/>
  <c r="G1780" i="5"/>
  <c r="O1779" i="5"/>
  <c r="O41" i="8" s="1"/>
  <c r="M798" i="5"/>
  <c r="M2106" i="5" s="1"/>
  <c r="M575" i="8" s="1"/>
  <c r="L1482" i="5"/>
  <c r="L2419" i="5" s="1"/>
  <c r="Q1483" i="5"/>
  <c r="N357" i="5"/>
  <c r="N1888" i="5" s="1"/>
  <c r="F1888" i="5" s="1"/>
  <c r="L1638" i="5"/>
  <c r="L2491" i="5" s="1"/>
  <c r="Q1640" i="5"/>
  <c r="H2449" i="5"/>
  <c r="P2448" i="5"/>
  <c r="P328" i="8" s="1"/>
  <c r="G2357" i="5"/>
  <c r="O2356" i="5"/>
  <c r="F1814" i="5"/>
  <c r="N1813" i="5"/>
  <c r="N54" i="8" s="1"/>
  <c r="Q44" i="5"/>
  <c r="V44" i="5" s="1"/>
  <c r="Q388" i="5"/>
  <c r="Q676" i="5"/>
  <c r="Q963" i="5"/>
  <c r="Q962" i="5" s="1"/>
  <c r="Q2192" i="5" s="1"/>
  <c r="L962" i="5"/>
  <c r="L2192" i="5" s="1"/>
  <c r="Q1345" i="5"/>
  <c r="O1394" i="5"/>
  <c r="O2380" i="5" s="1"/>
  <c r="Q352" i="5"/>
  <c r="D2051" i="5"/>
  <c r="Q587" i="5"/>
  <c r="Q583" i="5" s="1"/>
  <c r="Q1992" i="5" s="1"/>
  <c r="I1992" i="5" s="1"/>
  <c r="L583" i="5"/>
  <c r="L1992" i="5" s="1"/>
  <c r="G2505" i="5"/>
  <c r="O2504" i="5"/>
  <c r="O349" i="8" s="1"/>
  <c r="N594" i="5"/>
  <c r="N1998" i="5" s="1"/>
  <c r="N629" i="8" s="1"/>
  <c r="Q1111" i="5"/>
  <c r="H1837" i="5"/>
  <c r="P1836" i="5"/>
  <c r="P62" i="8" s="1"/>
  <c r="P1643" i="5"/>
  <c r="P2493" i="5" s="1"/>
  <c r="L736" i="5"/>
  <c r="L2074" i="5" s="1"/>
  <c r="Q738" i="5"/>
  <c r="Q736" i="5" s="1"/>
  <c r="Q2074" i="5" s="1"/>
  <c r="P197" i="5"/>
  <c r="P1808" i="5" s="1"/>
  <c r="L1240" i="5"/>
  <c r="L2315" i="5" s="1"/>
  <c r="Q1241" i="5"/>
  <c r="P574" i="5"/>
  <c r="P1989" i="5" s="1"/>
  <c r="Q809" i="5"/>
  <c r="L808" i="5"/>
  <c r="L2110" i="5" s="1"/>
  <c r="L373" i="5"/>
  <c r="L1896" i="5" s="1"/>
  <c r="L593" i="8" s="1"/>
  <c r="Q374" i="5"/>
  <c r="O373" i="5"/>
  <c r="O1896" i="5" s="1"/>
  <c r="O593" i="8" s="1"/>
  <c r="L749" i="5"/>
  <c r="L2080" i="5" s="1"/>
  <c r="D2080" i="5" s="1"/>
  <c r="Q750" i="5"/>
  <c r="O1660" i="5"/>
  <c r="O2498" i="5" s="1"/>
  <c r="G2498" i="5" s="1"/>
  <c r="N1760" i="5"/>
  <c r="N33" i="8" s="1"/>
  <c r="F1761" i="5"/>
  <c r="M45" i="5"/>
  <c r="M1728" i="5" s="1"/>
  <c r="E1728" i="5" s="1"/>
  <c r="P45" i="5"/>
  <c r="P1728" i="5" s="1"/>
  <c r="H1728" i="5" s="1"/>
  <c r="F2353" i="5"/>
  <c r="N2352" i="5"/>
  <c r="Q698" i="5"/>
  <c r="Q615" i="5"/>
  <c r="Q74" i="5"/>
  <c r="V74" i="5" s="1"/>
  <c r="L1696" i="5"/>
  <c r="L2513" i="5" s="1"/>
  <c r="Q1698" i="5"/>
  <c r="Q1696" i="5" s="1"/>
  <c r="Q2513" i="5" s="1"/>
  <c r="H2369" i="5"/>
  <c r="P2368" i="5"/>
  <c r="G2016" i="5"/>
  <c r="F1894" i="5"/>
  <c r="N1893" i="5"/>
  <c r="N85" i="8" s="1"/>
  <c r="M1893" i="5"/>
  <c r="M85" i="8" s="1"/>
  <c r="E1894" i="5"/>
  <c r="O710" i="5"/>
  <c r="O2060" i="5" s="1"/>
  <c r="Q376" i="5"/>
  <c r="Q1494" i="5"/>
  <c r="Q752" i="5"/>
  <c r="P267" i="5"/>
  <c r="P1844" i="5" s="1"/>
  <c r="H1844" i="5" s="1"/>
  <c r="F1771" i="5"/>
  <c r="N1770" i="5"/>
  <c r="N38" i="8" s="1"/>
  <c r="H2000" i="5"/>
  <c r="L2405" i="5"/>
  <c r="Q1450" i="5"/>
  <c r="L981" i="5"/>
  <c r="L2201" i="5" s="1"/>
  <c r="Q983" i="5"/>
  <c r="Q981" i="5" s="1"/>
  <c r="Q2201" i="5" s="1"/>
  <c r="I2201" i="5" s="1"/>
  <c r="L148" i="5"/>
  <c r="L1781" i="5" s="1"/>
  <c r="Q149" i="5"/>
  <c r="G2402" i="5"/>
  <c r="O2401" i="5"/>
  <c r="O311" i="8" s="1"/>
  <c r="E2402" i="5"/>
  <c r="M2401" i="5"/>
  <c r="M311" i="8" s="1"/>
  <c r="Q1010" i="5"/>
  <c r="Q1008" i="5" s="1"/>
  <c r="Q2210" i="5" s="1"/>
  <c r="I2210" i="5" s="1"/>
  <c r="L1008" i="5"/>
  <c r="L2210" i="5" s="1"/>
  <c r="D2391" i="5"/>
  <c r="D2188" i="5"/>
  <c r="W2188" i="5"/>
  <c r="X2188" i="5" s="1"/>
  <c r="Q359" i="5"/>
  <c r="N391" i="5"/>
  <c r="N1903" i="5" s="1"/>
  <c r="P1520" i="5"/>
  <c r="P2438" i="5" s="1"/>
  <c r="H2438" i="5" s="1"/>
  <c r="Q1521" i="5"/>
  <c r="L1520" i="5"/>
  <c r="L2438" i="5" s="1"/>
  <c r="N385" i="5"/>
  <c r="N1901" i="5" s="1"/>
  <c r="N602" i="8" s="1"/>
  <c r="F1960" i="5"/>
  <c r="N1959" i="5"/>
  <c r="N113" i="8" s="1"/>
  <c r="H1905" i="5"/>
  <c r="P1904" i="5"/>
  <c r="P90" i="8" s="1"/>
  <c r="E1831" i="5"/>
  <c r="M1830" i="5"/>
  <c r="M60" i="8" s="1"/>
  <c r="H1831" i="5"/>
  <c r="P1830" i="5"/>
  <c r="P60" i="8" s="1"/>
  <c r="Q1581" i="5"/>
  <c r="L1579" i="5"/>
  <c r="L2464" i="5" s="1"/>
  <c r="L638" i="8" s="1"/>
  <c r="N437" i="5"/>
  <c r="N1922" i="5" s="1"/>
  <c r="F1922" i="5" s="1"/>
  <c r="P1342" i="5"/>
  <c r="P2360" i="5" s="1"/>
  <c r="Q1105" i="5"/>
  <c r="M449" i="5"/>
  <c r="M1927" i="5" s="1"/>
  <c r="M1911" i="5"/>
  <c r="M93" i="8" s="1"/>
  <c r="E1912" i="5"/>
  <c r="F2397" i="5"/>
  <c r="N2396" i="5"/>
  <c r="H2344" i="5"/>
  <c r="P2343" i="5"/>
  <c r="E2344" i="5"/>
  <c r="M2343" i="5"/>
  <c r="Q833" i="5"/>
  <c r="L350" i="5"/>
  <c r="L1886" i="5" s="1"/>
  <c r="Q351" i="5"/>
  <c r="Q1575" i="5"/>
  <c r="L1574" i="5"/>
  <c r="L2462" i="5" s="1"/>
  <c r="L2404" i="5"/>
  <c r="L535" i="8" s="1"/>
  <c r="O744" i="5"/>
  <c r="O2078" i="5" s="1"/>
  <c r="O650" i="8" s="1"/>
  <c r="P1108" i="5"/>
  <c r="P2257" i="5" s="1"/>
  <c r="M969" i="5"/>
  <c r="M2196" i="5" s="1"/>
  <c r="L803" i="5"/>
  <c r="L2108" i="5" s="1"/>
  <c r="Q804" i="5"/>
  <c r="P803" i="5"/>
  <c r="P2108" i="5" s="1"/>
  <c r="P71" i="5"/>
  <c r="P1742" i="5" s="1"/>
  <c r="O312" i="5"/>
  <c r="O1866" i="5" s="1"/>
  <c r="G1866" i="5" s="1"/>
  <c r="P985" i="5"/>
  <c r="P2203" i="5" s="1"/>
  <c r="M985" i="5"/>
  <c r="M2203" i="5" s="1"/>
  <c r="O559" i="5"/>
  <c r="O1983" i="5" s="1"/>
  <c r="O548" i="8" s="1"/>
  <c r="L1634" i="5"/>
  <c r="L2490" i="5" s="1"/>
  <c r="Q1635" i="5"/>
  <c r="N1453" i="5"/>
  <c r="N2408" i="5" s="1"/>
  <c r="N527" i="8" s="1"/>
  <c r="L1192" i="5"/>
  <c r="L2288" i="5" s="1"/>
  <c r="Q1193" i="5"/>
  <c r="N1192" i="5"/>
  <c r="N2288" i="5" s="1"/>
  <c r="M710" i="5"/>
  <c r="M2060" i="5" s="1"/>
  <c r="P1151" i="5"/>
  <c r="P2271" i="5" s="1"/>
  <c r="H2271" i="5" s="1"/>
  <c r="N995" i="5"/>
  <c r="N2207" i="5" s="1"/>
  <c r="L569" i="5"/>
  <c r="L1987" i="5" s="1"/>
  <c r="Q570" i="5"/>
  <c r="Q1474" i="5"/>
  <c r="Q1473" i="5" s="1"/>
  <c r="Q2414" i="5" s="1"/>
  <c r="I2414" i="5" s="1"/>
  <c r="L1473" i="5"/>
  <c r="L2414" i="5" s="1"/>
  <c r="F2440" i="5"/>
  <c r="N2439" i="5"/>
  <c r="N325" i="8" s="1"/>
  <c r="H1955" i="5"/>
  <c r="P1954" i="5"/>
  <c r="P110" i="8" s="1"/>
  <c r="G1955" i="5"/>
  <c r="O1954" i="5"/>
  <c r="O110" i="8" s="1"/>
  <c r="L1470" i="5"/>
  <c r="L2413" i="5" s="1"/>
  <c r="Q1471" i="5"/>
  <c r="L288" i="5"/>
  <c r="L1853" i="5" s="1"/>
  <c r="Q289" i="5"/>
  <c r="Q288" i="5" s="1"/>
  <c r="Q1853" i="5" s="1"/>
  <c r="I1853" i="5" s="1"/>
  <c r="D2249" i="5"/>
  <c r="L2247" i="5"/>
  <c r="L246" i="8" s="1"/>
  <c r="W2249" i="5"/>
  <c r="H2286" i="5"/>
  <c r="P2285" i="5"/>
  <c r="P261" i="8" s="1"/>
  <c r="Q363" i="5"/>
  <c r="G886" i="5"/>
  <c r="M886" i="5"/>
  <c r="M885" i="5" s="1"/>
  <c r="M2149" i="5" s="1"/>
  <c r="G2417" i="5"/>
  <c r="O2415" i="5"/>
  <c r="O316" i="8" s="1"/>
  <c r="Q1469" i="5"/>
  <c r="Q1467" i="5" s="1"/>
  <c r="Q2412" i="5" s="1"/>
  <c r="L1467" i="5"/>
  <c r="L2412" i="5" s="1"/>
  <c r="Q873" i="5"/>
  <c r="E1937" i="5"/>
  <c r="M1936" i="5"/>
  <c r="M102" i="8" s="1"/>
  <c r="M1712" i="5"/>
  <c r="H2004" i="5"/>
  <c r="G2004" i="5"/>
  <c r="M851" i="5"/>
  <c r="M2131" i="5" s="1"/>
  <c r="Q59" i="5"/>
  <c r="V59" i="5" s="1"/>
  <c r="Q200" i="5"/>
  <c r="M520" i="5"/>
  <c r="M1965" i="5" s="1"/>
  <c r="M581" i="8" s="1"/>
  <c r="M673" i="8" s="1"/>
  <c r="O520" i="5"/>
  <c r="O1965" i="5" s="1"/>
  <c r="O581" i="8" s="1"/>
  <c r="O673" i="8" s="1"/>
  <c r="L42" i="5"/>
  <c r="L1727" i="5" s="1"/>
  <c r="L560" i="8" s="1"/>
  <c r="Q43" i="5"/>
  <c r="Q1381" i="5"/>
  <c r="Q1455" i="5"/>
  <c r="Q1515" i="5"/>
  <c r="Q1514" i="5" s="1"/>
  <c r="Q2436" i="5" s="1"/>
  <c r="L1514" i="5"/>
  <c r="L2436" i="5" s="1"/>
  <c r="L865" i="5"/>
  <c r="L2138" i="5" s="1"/>
  <c r="Q866" i="5"/>
  <c r="N1372" i="5"/>
  <c r="N2372" i="5" s="1"/>
  <c r="F2372" i="5" s="1"/>
  <c r="N115" i="5"/>
  <c r="N1768" i="5" s="1"/>
  <c r="O851" i="5"/>
  <c r="O2131" i="5" s="1"/>
  <c r="G2240" i="5"/>
  <c r="O2239" i="5"/>
  <c r="O243" i="8" s="1"/>
  <c r="Q1304" i="5"/>
  <c r="Q1302" i="5" s="1"/>
  <c r="Q2341" i="5" s="1"/>
  <c r="Q648" i="8" s="1"/>
  <c r="L1302" i="5"/>
  <c r="L2341" i="5" s="1"/>
  <c r="L648" i="8" s="1"/>
  <c r="E2503" i="5"/>
  <c r="M2502" i="5"/>
  <c r="M348" i="8" s="1"/>
  <c r="I2126" i="5"/>
  <c r="Q2125" i="5"/>
  <c r="Q193" i="8" s="1"/>
  <c r="G2471" i="5"/>
  <c r="O2470" i="5"/>
  <c r="O337" i="8" s="1"/>
  <c r="L1594" i="5"/>
  <c r="L2471" i="5" s="1"/>
  <c r="Q1595" i="5"/>
  <c r="Q1594" i="5" s="1"/>
  <c r="Q2471" i="5" s="1"/>
  <c r="D2187" i="5"/>
  <c r="W2187" i="5"/>
  <c r="X2187" i="5" s="1"/>
  <c r="L2186" i="5"/>
  <c r="L223" i="8" s="1"/>
  <c r="Q1049" i="5"/>
  <c r="E2050" i="5"/>
  <c r="Q67" i="5"/>
  <c r="V67" i="5" s="1"/>
  <c r="F2500" i="5"/>
  <c r="Q1034" i="5"/>
  <c r="F2118" i="5"/>
  <c r="N2117" i="5"/>
  <c r="N190" i="8" s="1"/>
  <c r="Q499" i="5"/>
  <c r="L169" i="5"/>
  <c r="L1794" i="5" s="1"/>
  <c r="Q171" i="5"/>
  <c r="Q169" i="5" s="1"/>
  <c r="N1114" i="5"/>
  <c r="N2259" i="5" s="1"/>
  <c r="Q905" i="5"/>
  <c r="E2036" i="5"/>
  <c r="M2035" i="5"/>
  <c r="M151" i="8" s="1"/>
  <c r="Q444" i="5"/>
  <c r="M1823" i="5"/>
  <c r="M57" i="8" s="1"/>
  <c r="E1824" i="5"/>
  <c r="L1401" i="5"/>
  <c r="L2383" i="5" s="1"/>
  <c r="Q1403" i="5"/>
  <c r="Q1401" i="5" s="1"/>
  <c r="Q2383" i="5" s="1"/>
  <c r="F2024" i="5"/>
  <c r="M1934" i="5"/>
  <c r="M101" i="8" s="1"/>
  <c r="E1935" i="5"/>
  <c r="G1935" i="5"/>
  <c r="O1934" i="5"/>
  <c r="O101" i="8" s="1"/>
  <c r="Q389" i="5"/>
  <c r="Q221" i="5"/>
  <c r="Q219" i="5" s="1"/>
  <c r="Q1820" i="5" s="1"/>
  <c r="L219" i="5"/>
  <c r="L1820" i="5" s="1"/>
  <c r="E2000" i="5"/>
  <c r="Q1370" i="5"/>
  <c r="Q1369" i="5" s="1"/>
  <c r="Q2370" i="5" s="1"/>
  <c r="I2370" i="5" s="1"/>
  <c r="Z2370" i="5" s="1"/>
  <c r="L1369" i="5"/>
  <c r="L2370" i="5" s="1"/>
  <c r="L75" i="5"/>
  <c r="L1743" i="5" s="1"/>
  <c r="Q76" i="5"/>
  <c r="Q1374" i="5"/>
  <c r="O2160" i="5"/>
  <c r="O209" i="8" s="1"/>
  <c r="G2162" i="5"/>
  <c r="M2160" i="5"/>
  <c r="M209" i="8" s="1"/>
  <c r="E2162" i="5"/>
  <c r="L286" i="5"/>
  <c r="L1852" i="5" s="1"/>
  <c r="L569" i="8" s="1"/>
  <c r="Q287" i="5"/>
  <c r="Q286" i="5" s="1"/>
  <c r="Q1852" i="5" s="1"/>
  <c r="D1789" i="5"/>
  <c r="W1789" i="5"/>
  <c r="L1787" i="5"/>
  <c r="L44" i="8" s="1"/>
  <c r="Q362" i="5"/>
  <c r="L361" i="5"/>
  <c r="L1890" i="5" s="1"/>
  <c r="L588" i="8" s="1"/>
  <c r="O361" i="5"/>
  <c r="O1890" i="5" s="1"/>
  <c r="O588" i="8" s="1"/>
  <c r="Q990" i="5"/>
  <c r="Q989" i="5" s="1"/>
  <c r="Q2204" i="5" s="1"/>
  <c r="I2204" i="5" s="1"/>
  <c r="L989" i="5"/>
  <c r="L2204" i="5" s="1"/>
  <c r="D2178" i="5"/>
  <c r="L2177" i="5"/>
  <c r="L218" i="8" s="1"/>
  <c r="W2178" i="5"/>
  <c r="X2178" i="5" s="1"/>
  <c r="M1652" i="5"/>
  <c r="M2496" i="5" s="1"/>
  <c r="L1119" i="5"/>
  <c r="L2261" i="5" s="1"/>
  <c r="Q1121" i="5"/>
  <c r="N696" i="5"/>
  <c r="N2053" i="5" s="1"/>
  <c r="M500" i="5"/>
  <c r="M1953" i="5" s="1"/>
  <c r="Q296" i="5"/>
  <c r="L294" i="5"/>
  <c r="L1857" i="5" s="1"/>
  <c r="L530" i="8" s="1"/>
  <c r="L656" i="8" s="1"/>
  <c r="Q236" i="5"/>
  <c r="Q234" i="5" s="1"/>
  <c r="Q1828" i="5" s="1"/>
  <c r="L234" i="5"/>
  <c r="L1828" i="5" s="1"/>
  <c r="P1647" i="5"/>
  <c r="P2494" i="5" s="1"/>
  <c r="H2494" i="5" s="1"/>
  <c r="G2181" i="5"/>
  <c r="O2180" i="5"/>
  <c r="O220" i="8" s="1"/>
  <c r="N423" i="5"/>
  <c r="N1918" i="5" s="1"/>
  <c r="H2453" i="5"/>
  <c r="P2452" i="5"/>
  <c r="P1332" i="5"/>
  <c r="P2355" i="5" s="1"/>
  <c r="P643" i="8" s="1"/>
  <c r="O1332" i="5"/>
  <c r="O2355" i="5" s="1"/>
  <c r="O643" i="8" s="1"/>
  <c r="L441" i="5"/>
  <c r="L1924" i="5" s="1"/>
  <c r="Q443" i="5"/>
  <c r="Q58" i="5"/>
  <c r="V58" i="5" s="1"/>
  <c r="N1137" i="5"/>
  <c r="N2266" i="5" s="1"/>
  <c r="F2266" i="5" s="1"/>
  <c r="O699" i="5"/>
  <c r="O2054" i="5" s="1"/>
  <c r="G2054" i="5" s="1"/>
  <c r="F1848" i="5"/>
  <c r="N1847" i="5"/>
  <c r="N66" i="8" s="1"/>
  <c r="P1566" i="5"/>
  <c r="P2458" i="5" s="1"/>
  <c r="M1426" i="5"/>
  <c r="M2394" i="5" s="1"/>
  <c r="M321" i="5"/>
  <c r="L1063" i="5"/>
  <c r="L2237" i="5" s="1"/>
  <c r="Q1064" i="5"/>
  <c r="N871" i="5"/>
  <c r="N2141" i="5" s="1"/>
  <c r="N573" i="8" s="1"/>
  <c r="P871" i="5"/>
  <c r="P2141" i="5" s="1"/>
  <c r="P573" i="8" s="1"/>
  <c r="N673" i="5"/>
  <c r="N2040" i="5" s="1"/>
  <c r="N536" i="8" s="1"/>
  <c r="M64" i="5"/>
  <c r="M1739" i="5" s="1"/>
  <c r="N1413" i="5"/>
  <c r="N2389" i="5" s="1"/>
  <c r="N1179" i="5"/>
  <c r="N2283" i="5" s="1"/>
  <c r="P1179" i="5"/>
  <c r="P2283" i="5" s="1"/>
  <c r="P876" i="5"/>
  <c r="P2144" i="5" s="1"/>
  <c r="M131" i="5"/>
  <c r="M1774" i="5" s="1"/>
  <c r="M554" i="8" s="1"/>
  <c r="M664" i="8" s="1"/>
  <c r="M1630" i="5"/>
  <c r="M2489" i="5" s="1"/>
  <c r="E2489" i="5" s="1"/>
  <c r="L1406" i="5"/>
  <c r="L2386" i="5" s="1"/>
  <c r="L641" i="8" s="1"/>
  <c r="Q1408" i="5"/>
  <c r="N1406" i="5"/>
  <c r="N2386" i="5" s="1"/>
  <c r="N641" i="8" s="1"/>
  <c r="P1102" i="5"/>
  <c r="P2255" i="5" s="1"/>
  <c r="P902" i="5"/>
  <c r="P2158" i="5" s="1"/>
  <c r="L564" i="5"/>
  <c r="L1985" i="5" s="1"/>
  <c r="Q565" i="5"/>
  <c r="L1539" i="5"/>
  <c r="L2446" i="5" s="1"/>
  <c r="L537" i="8" s="1"/>
  <c r="Q1540" i="5"/>
  <c r="P1539" i="5"/>
  <c r="P2446" i="5" s="1"/>
  <c r="P537" i="8" s="1"/>
  <c r="P1349" i="5"/>
  <c r="P2363" i="5" s="1"/>
  <c r="P1079" i="5"/>
  <c r="P2243" i="5" s="1"/>
  <c r="P612" i="8" s="1"/>
  <c r="Q933" i="5"/>
  <c r="L932" i="5"/>
  <c r="L2174" i="5" s="1"/>
  <c r="N1268" i="5"/>
  <c r="N2329" i="5" s="1"/>
  <c r="N635" i="8" s="1"/>
  <c r="P840" i="5"/>
  <c r="P2124" i="5" s="1"/>
  <c r="H2124" i="5" s="1"/>
  <c r="O840" i="5"/>
  <c r="O2124" i="5" s="1"/>
  <c r="G2124" i="5" s="1"/>
  <c r="Q454" i="5"/>
  <c r="L453" i="5"/>
  <c r="L1928" i="5" s="1"/>
  <c r="M19" i="5"/>
  <c r="M1715" i="5" s="1"/>
  <c r="E1715" i="5" s="1"/>
  <c r="Q217" i="5"/>
  <c r="Q216" i="5" s="1"/>
  <c r="Q1818" i="5" s="1"/>
  <c r="I1818" i="5" s="1"/>
  <c r="L216" i="5"/>
  <c r="L1818" i="5" s="1"/>
  <c r="L1485" i="5"/>
  <c r="L2420" i="5" s="1"/>
  <c r="Q1486" i="5"/>
  <c r="Q1485" i="5" s="1"/>
  <c r="Q2420" i="5" s="1"/>
  <c r="I2420" i="5" s="1"/>
  <c r="M1913" i="5"/>
  <c r="M94" i="8" s="1"/>
  <c r="E1914" i="5"/>
  <c r="Q119" i="5"/>
  <c r="V119" i="5" s="1"/>
  <c r="N459" i="5"/>
  <c r="N1931" i="5" s="1"/>
  <c r="N592" i="8" s="1"/>
  <c r="L868" i="5"/>
  <c r="L2139" i="5" s="1"/>
  <c r="Q869" i="5"/>
  <c r="Q868" i="5" s="1"/>
  <c r="Q2139" i="5" s="1"/>
  <c r="I2139" i="5" s="1"/>
  <c r="Q760" i="5"/>
  <c r="Q147" i="5"/>
  <c r="V147" i="5" s="1"/>
  <c r="Q811" i="5"/>
  <c r="Q436" i="5"/>
  <c r="Q1270" i="5"/>
  <c r="Q433" i="5"/>
  <c r="Q1167" i="5"/>
  <c r="Q1166" i="5" s="1"/>
  <c r="Q2276" i="5" s="1"/>
  <c r="I2276" i="5" s="1"/>
  <c r="L1166" i="5"/>
  <c r="L2276" i="5" s="1"/>
  <c r="F2318" i="5"/>
  <c r="G1972" i="5"/>
  <c r="O1971" i="5"/>
  <c r="O119" i="8" s="1"/>
  <c r="E2466" i="5"/>
  <c r="M613" i="5"/>
  <c r="M2008" i="5" s="1"/>
  <c r="O613" i="5"/>
  <c r="O2008" i="5" s="1"/>
  <c r="N188" i="5"/>
  <c r="N1804" i="5" s="1"/>
  <c r="N559" i="8" s="1"/>
  <c r="N33" i="5"/>
  <c r="N1723" i="5" s="1"/>
  <c r="N544" i="8" s="1"/>
  <c r="Q480" i="5"/>
  <c r="L478" i="5"/>
  <c r="L1943" i="5" s="1"/>
  <c r="N1378" i="5"/>
  <c r="N2373" i="5" s="1"/>
  <c r="F2373" i="5" s="1"/>
  <c r="Q1048" i="5"/>
  <c r="L1047" i="5"/>
  <c r="L2228" i="5" s="1"/>
  <c r="L610" i="8" s="1"/>
  <c r="L683" i="8" s="1"/>
  <c r="M1562" i="5"/>
  <c r="M2457" i="5" s="1"/>
  <c r="M1128" i="5"/>
  <c r="M2264" i="5" s="1"/>
  <c r="O1626" i="5"/>
  <c r="O2488" i="5" s="1"/>
  <c r="M1020" i="5"/>
  <c r="M2217" i="5" s="1"/>
  <c r="O1020" i="5"/>
  <c r="O2217" i="5" s="1"/>
  <c r="O614" i="8" s="1"/>
  <c r="M1492" i="5"/>
  <c r="M2423" i="5" s="1"/>
  <c r="E2423" i="5" s="1"/>
  <c r="O831" i="5"/>
  <c r="O2122" i="5" s="1"/>
  <c r="L1667" i="5"/>
  <c r="L2501" i="5" s="1"/>
  <c r="Q1668" i="5"/>
  <c r="H2340" i="5"/>
  <c r="P2339" i="5"/>
  <c r="F2460" i="5"/>
  <c r="N2459" i="5"/>
  <c r="N333" i="8" s="1"/>
  <c r="G2270" i="5"/>
  <c r="E1909" i="5"/>
  <c r="M1908" i="5"/>
  <c r="M91" i="8" s="1"/>
  <c r="G1784" i="5"/>
  <c r="O1783" i="5"/>
  <c r="O42" i="8" s="1"/>
  <c r="P419" i="5"/>
  <c r="P1917" i="5" s="1"/>
  <c r="P594" i="8" s="1"/>
  <c r="L12" i="5"/>
  <c r="L1713" i="5" s="1"/>
  <c r="Q13" i="5"/>
  <c r="O1133" i="5"/>
  <c r="O2265" i="5" s="1"/>
  <c r="O813" i="5"/>
  <c r="O2112" i="5" s="1"/>
  <c r="O571" i="8" s="1"/>
  <c r="L1337" i="5"/>
  <c r="L2357" i="5" s="1"/>
  <c r="L642" i="8" s="1"/>
  <c r="Q1338" i="5"/>
  <c r="Q1337" i="5" s="1"/>
  <c r="Q2357" i="5" s="1"/>
  <c r="Q642" i="8" s="1"/>
  <c r="F1955" i="5"/>
  <c r="N1954" i="5"/>
  <c r="N110" i="8" s="1"/>
  <c r="H2412" i="5"/>
  <c r="Q11" i="5"/>
  <c r="L9" i="5"/>
  <c r="L490" i="5"/>
  <c r="L1948" i="5" s="1"/>
  <c r="Q491" i="5"/>
  <c r="Q490" i="5" s="1"/>
  <c r="Q1948" i="5" s="1"/>
  <c r="I1948" i="5" s="1"/>
  <c r="G2436" i="5"/>
  <c r="H2186" i="5"/>
  <c r="P2183" i="5"/>
  <c r="P221" i="8" s="1"/>
  <c r="P424" i="8" s="1"/>
  <c r="H178" i="14" s="1"/>
  <c r="L666" i="5"/>
  <c r="L2036" i="5" s="1"/>
  <c r="Q668" i="5"/>
  <c r="Q666" i="5" s="1"/>
  <c r="Q2036" i="5" s="1"/>
  <c r="E2383" i="5"/>
  <c r="M2382" i="5"/>
  <c r="M303" i="8" s="1"/>
  <c r="L644" i="5"/>
  <c r="L2024" i="5" s="1"/>
  <c r="Q646" i="5"/>
  <c r="Q644" i="5" s="1"/>
  <c r="Q2024" i="5" s="1"/>
  <c r="E1820" i="5"/>
  <c r="M1819" i="5"/>
  <c r="M56" i="8" s="1"/>
  <c r="M696" i="5"/>
  <c r="M2053" i="5" s="1"/>
  <c r="P635" i="5"/>
  <c r="P2020" i="5" s="1"/>
  <c r="Q1637" i="5"/>
  <c r="Q1153" i="5"/>
  <c r="E1963" i="5"/>
  <c r="M1962" i="5"/>
  <c r="M115" i="8" s="1"/>
  <c r="E1798" i="5"/>
  <c r="E2270" i="5"/>
  <c r="E1940" i="5"/>
  <c r="M1939" i="5"/>
  <c r="M103" i="8" s="1"/>
  <c r="F1909" i="5"/>
  <c r="N1908" i="5"/>
  <c r="N91" i="8" s="1"/>
  <c r="H2481" i="5"/>
  <c r="P2480" i="5"/>
  <c r="P341" i="8" s="1"/>
  <c r="H2400" i="5"/>
  <c r="P2399" i="5"/>
  <c r="P310" i="8" s="1"/>
  <c r="P1621" i="5"/>
  <c r="P2485" i="5" s="1"/>
  <c r="P533" i="8" s="1"/>
  <c r="Q1507" i="5"/>
  <c r="Q1505" i="5" s="1"/>
  <c r="Q2431" i="5" s="1"/>
  <c r="Q646" i="8" s="1"/>
  <c r="L1175" i="5"/>
  <c r="L2281" i="5" s="1"/>
  <c r="L608" i="8" s="1"/>
  <c r="L678" i="8" s="1"/>
  <c r="Q1177" i="5"/>
  <c r="Q1175" i="5" s="1"/>
  <c r="Q2281" i="5" s="1"/>
  <c r="Q608" i="8" s="1"/>
  <c r="Q678" i="8" s="1"/>
  <c r="Q546" i="5"/>
  <c r="L544" i="5"/>
  <c r="L1976" i="5" s="1"/>
  <c r="L585" i="8" s="1"/>
  <c r="G1834" i="5"/>
  <c r="O1833" i="5"/>
  <c r="O61" i="8" s="1"/>
  <c r="Q1611" i="5"/>
  <c r="Q1609" i="5" s="1"/>
  <c r="Q2479" i="5" s="1"/>
  <c r="Q558" i="8" s="1"/>
  <c r="L1609" i="5"/>
  <c r="L2479" i="5" s="1"/>
  <c r="L558" i="8" s="1"/>
  <c r="H2433" i="5"/>
  <c r="P2432" i="5"/>
  <c r="P322" i="8" s="1"/>
  <c r="M419" i="5"/>
  <c r="M1917" i="5" s="1"/>
  <c r="M594" i="8" s="1"/>
  <c r="L858" i="5"/>
  <c r="L2135" i="5" s="1"/>
  <c r="Q859" i="5"/>
  <c r="M579" i="5"/>
  <c r="M1991" i="5" s="1"/>
  <c r="L28" i="5"/>
  <c r="L1721" i="5" s="1"/>
  <c r="Q29" i="5"/>
  <c r="Q439" i="5"/>
  <c r="Q567" i="5"/>
  <c r="Q1669" i="5"/>
  <c r="L68" i="5"/>
  <c r="L1740" i="5" s="1"/>
  <c r="E2505" i="5"/>
  <c r="M2504" i="5"/>
  <c r="M349" i="8" s="1"/>
  <c r="E2177" i="5"/>
  <c r="M2176" i="5"/>
  <c r="M217" i="8" s="1"/>
  <c r="M422" i="8" s="1"/>
  <c r="E176" i="14" s="1"/>
  <c r="Q254" i="5"/>
  <c r="Q252" i="5" s="1"/>
  <c r="Q1837" i="5" s="1"/>
  <c r="L252" i="5"/>
  <c r="L1837" i="5" s="1"/>
  <c r="N1643" i="5"/>
  <c r="N2493" i="5" s="1"/>
  <c r="Q575" i="5"/>
  <c r="L574" i="5"/>
  <c r="L1989" i="5" s="1"/>
  <c r="Q111" i="5"/>
  <c r="V112" i="5"/>
  <c r="Q1139" i="5"/>
  <c r="G2251" i="5"/>
  <c r="O2250" i="5"/>
  <c r="O247" i="8" s="1"/>
  <c r="F1968" i="5"/>
  <c r="N1967" i="5"/>
  <c r="N117" i="8" s="1"/>
  <c r="H1816" i="5"/>
  <c r="P1815" i="5"/>
  <c r="P55" i="8" s="1"/>
  <c r="G1816" i="5"/>
  <c r="O1815" i="5"/>
  <c r="O55" i="8" s="1"/>
  <c r="Q135" i="5"/>
  <c r="V135" i="5" s="1"/>
  <c r="N720" i="5"/>
  <c r="N2065" i="5" s="1"/>
  <c r="Q582" i="5"/>
  <c r="Q1456" i="5"/>
  <c r="Q496" i="5"/>
  <c r="E2460" i="5"/>
  <c r="M2459" i="5"/>
  <c r="M333" i="8" s="1"/>
  <c r="Q801" i="5"/>
  <c r="G1963" i="5"/>
  <c r="O1962" i="5"/>
  <c r="O115" i="8" s="1"/>
  <c r="H1798" i="5"/>
  <c r="Q1150" i="5"/>
  <c r="Q1146" i="5" s="1"/>
  <c r="Q2270" i="5" s="1"/>
  <c r="L1146" i="5"/>
  <c r="L2270" i="5" s="1"/>
  <c r="G1940" i="5"/>
  <c r="O1939" i="5"/>
  <c r="O103" i="8" s="1"/>
  <c r="L1054" i="5"/>
  <c r="L2231" i="5" s="1"/>
  <c r="Q1055" i="5"/>
  <c r="Q1054" i="5" s="1"/>
  <c r="Q2231" i="5" s="1"/>
  <c r="I2231" i="5" s="1"/>
  <c r="L488" i="5"/>
  <c r="L1947" i="5" s="1"/>
  <c r="Q489" i="5"/>
  <c r="Q488" i="5" s="1"/>
  <c r="Q1947" i="5" s="1"/>
  <c r="G1909" i="5"/>
  <c r="O1908" i="5"/>
  <c r="O91" i="8" s="1"/>
  <c r="H1909" i="5"/>
  <c r="P1908" i="5"/>
  <c r="P91" i="8" s="1"/>
  <c r="F2481" i="5"/>
  <c r="N2480" i="5"/>
  <c r="N341" i="8" s="1"/>
  <c r="E2400" i="5"/>
  <c r="M2399" i="5"/>
  <c r="M310" i="8" s="1"/>
  <c r="H1787" i="5"/>
  <c r="L1621" i="5"/>
  <c r="L2485" i="5" s="1"/>
  <c r="L533" i="8" s="1"/>
  <c r="Q1622" i="5"/>
  <c r="H2177" i="5"/>
  <c r="P2176" i="5"/>
  <c r="P217" i="8" s="1"/>
  <c r="P422" i="8" s="1"/>
  <c r="H176" i="14" s="1"/>
  <c r="G2281" i="5"/>
  <c r="O2280" i="5"/>
  <c r="O259" i="8" s="1"/>
  <c r="E1976" i="5"/>
  <c r="M1975" i="5"/>
  <c r="M121" i="8" s="1"/>
  <c r="M427" i="5"/>
  <c r="M1919" i="5" s="1"/>
  <c r="H1834" i="5"/>
  <c r="P1833" i="5"/>
  <c r="P61" i="8" s="1"/>
  <c r="P2478" i="5"/>
  <c r="P340" i="8" s="1"/>
  <c r="H2479" i="5"/>
  <c r="E2433" i="5"/>
  <c r="M2432" i="5"/>
  <c r="M322" i="8" s="1"/>
  <c r="Q1142" i="5"/>
  <c r="L1140" i="5"/>
  <c r="L2267" i="5" s="1"/>
  <c r="L497" i="5"/>
  <c r="L1952" i="5" s="1"/>
  <c r="Q498" i="5"/>
  <c r="P1783" i="5"/>
  <c r="P42" i="8" s="1"/>
  <c r="H1784" i="5"/>
  <c r="Q1409" i="5"/>
  <c r="Q1195" i="5"/>
  <c r="Q495" i="5"/>
  <c r="L494" i="5"/>
  <c r="L1951" i="5" s="1"/>
  <c r="N419" i="5"/>
  <c r="N1917" i="5" s="1"/>
  <c r="N594" i="8" s="1"/>
  <c r="Q1321" i="5"/>
  <c r="L1319" i="5"/>
  <c r="L2349" i="5" s="1"/>
  <c r="N431" i="5"/>
  <c r="N1920" i="5" s="1"/>
  <c r="O757" i="5"/>
  <c r="O2083" i="5" s="1"/>
  <c r="O625" i="8" s="1"/>
  <c r="Q1134" i="5"/>
  <c r="L1133" i="5"/>
  <c r="L2265" i="5" s="1"/>
  <c r="L619" i="8" s="1"/>
  <c r="L679" i="8" s="1"/>
  <c r="Q1028" i="5"/>
  <c r="Q1027" i="5" s="1"/>
  <c r="Q2219" i="5" s="1"/>
  <c r="I2219" i="5" s="1"/>
  <c r="L1027" i="5"/>
  <c r="L2219" i="5" s="1"/>
  <c r="M858" i="5"/>
  <c r="M2135" i="5" s="1"/>
  <c r="L379" i="5"/>
  <c r="L1898" i="5" s="1"/>
  <c r="L586" i="8" s="1"/>
  <c r="Q380" i="5"/>
  <c r="N1558" i="5"/>
  <c r="N2455" i="5" s="1"/>
  <c r="N316" i="5"/>
  <c r="M1032" i="5"/>
  <c r="M2221" i="5" s="1"/>
  <c r="P579" i="5"/>
  <c r="P1991" i="5" s="1"/>
  <c r="O579" i="5"/>
  <c r="O1991" i="5" s="1"/>
  <c r="E1721" i="5"/>
  <c r="M1719" i="5"/>
  <c r="M13" i="8" s="1"/>
  <c r="M307" i="5"/>
  <c r="M1864" i="5" s="1"/>
  <c r="E1864" i="5" s="1"/>
  <c r="Q1002" i="5"/>
  <c r="N1001" i="5"/>
  <c r="N2208" i="5" s="1"/>
  <c r="F2208" i="5" s="1"/>
  <c r="L1001" i="5"/>
  <c r="L2208" i="5" s="1"/>
  <c r="M813" i="5"/>
  <c r="M2112" i="5" s="1"/>
  <c r="N144" i="5"/>
  <c r="N1780" i="5" s="1"/>
  <c r="L1394" i="5"/>
  <c r="L2380" i="5" s="1"/>
  <c r="Q1395" i="5"/>
  <c r="M1234" i="5"/>
  <c r="M2313" i="5" s="1"/>
  <c r="L1040" i="5"/>
  <c r="L2225" i="5" s="1"/>
  <c r="Q1041" i="5"/>
  <c r="N798" i="5"/>
  <c r="N2106" i="5" s="1"/>
  <c r="N575" i="8" s="1"/>
  <c r="Q1185" i="5"/>
  <c r="Q1183" i="5" s="1"/>
  <c r="Q2284" i="5" s="1"/>
  <c r="I2284" i="5" s="1"/>
  <c r="L1183" i="5"/>
  <c r="L2284" i="5" s="1"/>
  <c r="Q723" i="5"/>
  <c r="L357" i="5"/>
  <c r="L1888" i="5" s="1"/>
  <c r="Q358" i="5"/>
  <c r="N1638" i="5"/>
  <c r="N2491" i="5" s="1"/>
  <c r="F2491" i="5" s="1"/>
  <c r="F2449" i="5"/>
  <c r="N2448" i="5"/>
  <c r="N328" i="8" s="1"/>
  <c r="G2449" i="5"/>
  <c r="O2448" i="5"/>
  <c r="O328" i="8" s="1"/>
  <c r="E2357" i="5"/>
  <c r="M2356" i="5"/>
  <c r="L208" i="5"/>
  <c r="L1814" i="5" s="1"/>
  <c r="Q209" i="5"/>
  <c r="Q208" i="5" s="1"/>
  <c r="Q1814" i="5" s="1"/>
  <c r="E2101" i="5"/>
  <c r="M2098" i="5"/>
  <c r="M179" i="8" s="1"/>
  <c r="M412" i="8" s="1"/>
  <c r="E140" i="14" s="1"/>
  <c r="E2125" i="5"/>
  <c r="E2211" i="5"/>
  <c r="G648" i="5"/>
  <c r="Q1655" i="5"/>
  <c r="L258" i="5"/>
  <c r="L1840" i="5" s="1"/>
  <c r="L550" i="8" s="1"/>
  <c r="Q260" i="5"/>
  <c r="Q258" i="5" s="1"/>
  <c r="Q1840" i="5" s="1"/>
  <c r="H2192" i="5"/>
  <c r="P2191" i="5"/>
  <c r="P225" i="8" s="1"/>
  <c r="P350" i="5"/>
  <c r="P1886" i="5" s="1"/>
  <c r="D2001" i="5"/>
  <c r="L2000" i="5"/>
  <c r="L134" i="8" s="1"/>
  <c r="W2001" i="5"/>
  <c r="X2001" i="5" s="1"/>
  <c r="Q36" i="5"/>
  <c r="V36" i="5" s="1"/>
  <c r="L1676" i="5"/>
  <c r="L2505" i="5" s="1"/>
  <c r="Q1677" i="5"/>
  <c r="Q1676" i="5" s="1"/>
  <c r="Q2505" i="5" s="1"/>
  <c r="F2505" i="5"/>
  <c r="N2504" i="5"/>
  <c r="N349" i="8" s="1"/>
  <c r="Q595" i="5"/>
  <c r="L594" i="5"/>
  <c r="L1998" i="5" s="1"/>
  <c r="L629" i="8" s="1"/>
  <c r="E1837" i="5"/>
  <c r="M1836" i="5"/>
  <c r="M62" i="8" s="1"/>
  <c r="O1643" i="5"/>
  <c r="O2493" i="5" s="1"/>
  <c r="F2074" i="5"/>
  <c r="G2074" i="5"/>
  <c r="Q199" i="5"/>
  <c r="L197" i="5"/>
  <c r="L1808" i="5" s="1"/>
  <c r="N2109" i="5"/>
  <c r="N186" i="8" s="1"/>
  <c r="F2110" i="5"/>
  <c r="N1354" i="5"/>
  <c r="N2364" i="5" s="1"/>
  <c r="F2364" i="5" s="1"/>
  <c r="N749" i="5"/>
  <c r="N2080" i="5" s="1"/>
  <c r="Q1155" i="5"/>
  <c r="L1154" i="5"/>
  <c r="L2272" i="5" s="1"/>
  <c r="L1660" i="5"/>
  <c r="L2498" i="5" s="1"/>
  <c r="Q1661" i="5"/>
  <c r="P1463" i="5"/>
  <c r="P2410" i="5" s="1"/>
  <c r="H2410" i="5" s="1"/>
  <c r="O1463" i="5"/>
  <c r="O2410" i="5" s="1"/>
  <c r="G2410" i="5" s="1"/>
  <c r="E1761" i="5"/>
  <c r="M1760" i="5"/>
  <c r="M33" i="8" s="1"/>
  <c r="G1761" i="5"/>
  <c r="O1760" i="5"/>
  <c r="O33" i="8" s="1"/>
  <c r="O45" i="5"/>
  <c r="O1728" i="5" s="1"/>
  <c r="G1728" i="5" s="1"/>
  <c r="Q1330" i="5"/>
  <c r="Q1328" i="5" s="1"/>
  <c r="Q2353" i="5" s="1"/>
  <c r="L1328" i="5"/>
  <c r="L2353" i="5" s="1"/>
  <c r="E2186" i="5"/>
  <c r="M2183" i="5"/>
  <c r="M221" i="8" s="1"/>
  <c r="M424" i="8" s="1"/>
  <c r="E178" i="14" s="1"/>
  <c r="Q472" i="5"/>
  <c r="Q471" i="5" s="1"/>
  <c r="Q1938" i="5" s="1"/>
  <c r="I1938" i="5" s="1"/>
  <c r="Q1568" i="5"/>
  <c r="Q324" i="5"/>
  <c r="Q382" i="5"/>
  <c r="F2369" i="5"/>
  <c r="N2368" i="5"/>
  <c r="H2016" i="5"/>
  <c r="G1894" i="5"/>
  <c r="O1893" i="5"/>
  <c r="O85" i="8" s="1"/>
  <c r="Q1633" i="5"/>
  <c r="Q310" i="5"/>
  <c r="Q912" i="5"/>
  <c r="Q910" i="5" s="1"/>
  <c r="Q2161" i="5" s="1"/>
  <c r="Q578" i="8" s="1"/>
  <c r="Q669" i="8" s="1"/>
  <c r="L910" i="5"/>
  <c r="L2161" i="5" s="1"/>
  <c r="L578" i="8" s="1"/>
  <c r="L669" i="8" s="1"/>
  <c r="Q712" i="5"/>
  <c r="Q1352" i="5"/>
  <c r="Q701" i="5"/>
  <c r="Q481" i="5"/>
  <c r="Q395" i="5"/>
  <c r="G1771" i="5"/>
  <c r="O1770" i="5"/>
  <c r="O38" i="8" s="1"/>
  <c r="E1771" i="5"/>
  <c r="M1770" i="5"/>
  <c r="M38" i="8" s="1"/>
  <c r="Q947" i="5"/>
  <c r="Q946" i="5" s="1"/>
  <c r="Q2182" i="5" s="1"/>
  <c r="I2182" i="5" s="1"/>
  <c r="L946" i="5"/>
  <c r="L2182" i="5" s="1"/>
  <c r="L2402" i="5"/>
  <c r="Q2402" i="5"/>
  <c r="M1423" i="5"/>
  <c r="M2392" i="5" s="1"/>
  <c r="E2392" i="5" s="1"/>
  <c r="Q1424" i="5"/>
  <c r="Q1423" i="5" s="1"/>
  <c r="Q2392" i="5" s="1"/>
  <c r="I2392" i="5" s="1"/>
  <c r="Q1422" i="5"/>
  <c r="Q1421" i="5" s="1"/>
  <c r="Q2391" i="5" s="1"/>
  <c r="I2391" i="5" s="1"/>
  <c r="M1421" i="5"/>
  <c r="M2391" i="5" s="1"/>
  <c r="E2391" i="5" s="1"/>
  <c r="D1854" i="5"/>
  <c r="P357" i="5"/>
  <c r="P1888" i="5" s="1"/>
  <c r="H1888" i="5" s="1"/>
  <c r="M1470" i="5"/>
  <c r="M2413" i="5" s="1"/>
  <c r="E2413" i="5" s="1"/>
  <c r="G1787" i="5"/>
  <c r="Q393" i="5"/>
  <c r="L391" i="5"/>
  <c r="L1903" i="5" s="1"/>
  <c r="M1520" i="5"/>
  <c r="M2438" i="5" s="1"/>
  <c r="E2438" i="5" s="1"/>
  <c r="M385" i="5"/>
  <c r="M1901" i="5" s="1"/>
  <c r="M602" i="8" s="1"/>
  <c r="M675" i="8" s="1"/>
  <c r="O385" i="5"/>
  <c r="O1901" i="5" s="1"/>
  <c r="O602" i="8" s="1"/>
  <c r="E1733" i="5"/>
  <c r="M1732" i="5"/>
  <c r="M19" i="8" s="1"/>
  <c r="L512" i="5"/>
  <c r="L1960" i="5" s="1"/>
  <c r="L591" i="8" s="1"/>
  <c r="Q513" i="5"/>
  <c r="Q512" i="5" s="1"/>
  <c r="Q1960" i="5" s="1"/>
  <c r="Q591" i="8" s="1"/>
  <c r="E1905" i="5"/>
  <c r="M1904" i="5"/>
  <c r="M90" i="8" s="1"/>
  <c r="F1831" i="5"/>
  <c r="N1830" i="5"/>
  <c r="N60" i="8" s="1"/>
  <c r="Q66" i="5"/>
  <c r="V66" i="5" s="1"/>
  <c r="N1579" i="5"/>
  <c r="N2464" i="5" s="1"/>
  <c r="N638" i="8" s="1"/>
  <c r="Q988" i="5"/>
  <c r="Q438" i="5"/>
  <c r="L437" i="5"/>
  <c r="L1922" i="5" s="1"/>
  <c r="P437" i="5"/>
  <c r="P1922" i="5" s="1"/>
  <c r="H1922" i="5" s="1"/>
  <c r="N1342" i="5"/>
  <c r="N2360" i="5" s="1"/>
  <c r="O449" i="5"/>
  <c r="O1927" i="5" s="1"/>
  <c r="O600" i="8" s="1"/>
  <c r="P449" i="5"/>
  <c r="P1927" i="5" s="1"/>
  <c r="F1912" i="5"/>
  <c r="N1911" i="5"/>
  <c r="N93" i="8" s="1"/>
  <c r="Q2397" i="5"/>
  <c r="L2397" i="5"/>
  <c r="G2344" i="5"/>
  <c r="O2343" i="5"/>
  <c r="N350" i="5"/>
  <c r="N1886" i="5" s="1"/>
  <c r="N587" i="8" s="1"/>
  <c r="P1574" i="5"/>
  <c r="P2462" i="5" s="1"/>
  <c r="P639" i="8" s="1"/>
  <c r="O2404" i="5"/>
  <c r="O535" i="8" s="1"/>
  <c r="M744" i="5"/>
  <c r="M2078" i="5" s="1"/>
  <c r="M650" i="8" s="1"/>
  <c r="N744" i="5"/>
  <c r="N2078" i="5" s="1"/>
  <c r="N650" i="8" s="1"/>
  <c r="N1108" i="5"/>
  <c r="N2257" i="5" s="1"/>
  <c r="M803" i="5"/>
  <c r="M2108" i="5" s="1"/>
  <c r="M71" i="5"/>
  <c r="M1742" i="5" s="1"/>
  <c r="O71" i="5"/>
  <c r="O1742" i="5" s="1"/>
  <c r="P1532" i="5"/>
  <c r="P2443" i="5" s="1"/>
  <c r="O985" i="5"/>
  <c r="O2203" i="5" s="1"/>
  <c r="P559" i="5"/>
  <c r="P1983" i="5" s="1"/>
  <c r="P548" i="8" s="1"/>
  <c r="L559" i="5"/>
  <c r="L1983" i="5" s="1"/>
  <c r="L548" i="8" s="1"/>
  <c r="Q560" i="5"/>
  <c r="O1634" i="5"/>
  <c r="O2490" i="5" s="1"/>
  <c r="G2490" i="5" s="1"/>
  <c r="O1453" i="5"/>
  <c r="O2408" i="5" s="1"/>
  <c r="P1192" i="5"/>
  <c r="P2288" i="5" s="1"/>
  <c r="N710" i="5"/>
  <c r="N2060" i="5" s="1"/>
  <c r="N56" i="5"/>
  <c r="N1735" i="5" s="1"/>
  <c r="Q1152" i="5"/>
  <c r="L1151" i="5"/>
  <c r="L2271" i="5" s="1"/>
  <c r="N1151" i="5"/>
  <c r="N2271" i="5" s="1"/>
  <c r="F2271" i="5" s="1"/>
  <c r="P995" i="5"/>
  <c r="P2207" i="5" s="1"/>
  <c r="N569" i="5"/>
  <c r="N1987" i="5" s="1"/>
  <c r="E2440" i="5"/>
  <c r="M2439" i="5"/>
  <c r="M325" i="8" s="1"/>
  <c r="Q893" i="5"/>
  <c r="E1955" i="5"/>
  <c r="M1954" i="5"/>
  <c r="M110" i="8" s="1"/>
  <c r="N1470" i="5"/>
  <c r="N2413" i="5" s="1"/>
  <c r="F2413" i="5" s="1"/>
  <c r="L1517" i="5"/>
  <c r="L2437" i="5" s="1"/>
  <c r="Q1518" i="5"/>
  <c r="Q1517" i="5" s="1"/>
  <c r="Q2437" i="5" s="1"/>
  <c r="I2437" i="5" s="1"/>
  <c r="AA2437" i="5" s="1"/>
  <c r="L648" i="5"/>
  <c r="L126" i="5"/>
  <c r="L1772" i="5" s="1"/>
  <c r="Q127" i="5"/>
  <c r="Q1459" i="5"/>
  <c r="Q1457" i="5" s="1"/>
  <c r="Q2409" i="5" s="1"/>
  <c r="I2409" i="5" s="1"/>
  <c r="L1457" i="5"/>
  <c r="L2409" i="5" s="1"/>
  <c r="L1188" i="5"/>
  <c r="L2286" i="5" s="1"/>
  <c r="Q1190" i="5"/>
  <c r="Q1188" i="5" s="1"/>
  <c r="Q2286" i="5" s="1"/>
  <c r="L885" i="5"/>
  <c r="L2149" i="5" s="1"/>
  <c r="H2417" i="5"/>
  <c r="P2415" i="5"/>
  <c r="P316" i="8" s="1"/>
  <c r="E2412" i="5"/>
  <c r="F1937" i="5"/>
  <c r="N1936" i="5"/>
  <c r="N102" i="8" s="1"/>
  <c r="L469" i="5"/>
  <c r="L1937" i="5" s="1"/>
  <c r="Q470" i="5"/>
  <c r="Q469" i="5" s="1"/>
  <c r="Q1937" i="5" s="1"/>
  <c r="P1712" i="5"/>
  <c r="Q606" i="5"/>
  <c r="Q604" i="5" s="1"/>
  <c r="Q2004" i="5" s="1"/>
  <c r="L604" i="5"/>
  <c r="L2004" i="5" s="1"/>
  <c r="L1495" i="5"/>
  <c r="L2424" i="5" s="1"/>
  <c r="Q1497" i="5"/>
  <c r="Q1495" i="5" s="1"/>
  <c r="Q2424" i="5" s="1"/>
  <c r="I2424" i="5" s="1"/>
  <c r="Q572" i="5"/>
  <c r="P520" i="5"/>
  <c r="P1965" i="5" s="1"/>
  <c r="P581" i="8" s="1"/>
  <c r="P673" i="8" s="1"/>
  <c r="Q1465" i="5"/>
  <c r="O42" i="5"/>
  <c r="O1727" i="5" s="1"/>
  <c r="L326" i="5"/>
  <c r="Q327" i="5"/>
  <c r="Q326" i="5" s="1"/>
  <c r="Q1534" i="5"/>
  <c r="N434" i="5"/>
  <c r="N1921" i="5" s="1"/>
  <c r="F1921" i="5" s="1"/>
  <c r="H2436" i="5"/>
  <c r="N865" i="5"/>
  <c r="N2138" i="5" s="1"/>
  <c r="M1372" i="5"/>
  <c r="M2372" i="5" s="1"/>
  <c r="E2372" i="5" s="1"/>
  <c r="O1372" i="5"/>
  <c r="O2372" i="5" s="1"/>
  <c r="G2372" i="5" s="1"/>
  <c r="L851" i="5"/>
  <c r="L2131" i="5" s="1"/>
  <c r="Q852" i="5"/>
  <c r="Q1072" i="5"/>
  <c r="L1071" i="5"/>
  <c r="L2240" i="5" s="1"/>
  <c r="L621" i="8" s="1"/>
  <c r="L684" i="8" s="1"/>
  <c r="G2503" i="5"/>
  <c r="O2502" i="5"/>
  <c r="O348" i="8" s="1"/>
  <c r="D2126" i="5"/>
  <c r="L2125" i="5"/>
  <c r="L193" i="8" s="1"/>
  <c r="W2126" i="5"/>
  <c r="X2126" i="5" s="1"/>
  <c r="F2471" i="5"/>
  <c r="N2470" i="5"/>
  <c r="N337" i="8" s="1"/>
  <c r="J20" i="3"/>
  <c r="K20" i="3" s="1"/>
  <c r="L20" i="3" s="1"/>
  <c r="M20" i="3" s="1"/>
  <c r="I202" i="5"/>
  <c r="P202" i="5" s="1"/>
  <c r="P201" i="5" s="1"/>
  <c r="P1809" i="5" s="1"/>
  <c r="H1809" i="5" s="1"/>
  <c r="Q1023" i="5"/>
  <c r="I2187" i="5"/>
  <c r="Q2186" i="5"/>
  <c r="Q223" i="8" s="1"/>
  <c r="D2222" i="5"/>
  <c r="W2222" i="5"/>
  <c r="X2222" i="5" s="1"/>
  <c r="L690" i="5"/>
  <c r="L2050" i="5" s="1"/>
  <c r="Q692" i="5"/>
  <c r="Q690" i="5" s="1"/>
  <c r="Q2050" i="5" s="1"/>
  <c r="G2050" i="5"/>
  <c r="Q577" i="5"/>
  <c r="L264" i="5"/>
  <c r="L1843" i="5" s="1"/>
  <c r="Q266" i="5"/>
  <c r="Q264" i="5" s="1"/>
  <c r="Q1843" i="5" s="1"/>
  <c r="I1843" i="5" s="1"/>
  <c r="E2500" i="5"/>
  <c r="Q756" i="5"/>
  <c r="Q754" i="5" s="1"/>
  <c r="Q2082" i="5" s="1"/>
  <c r="L754" i="5"/>
  <c r="L2082" i="5" s="1"/>
  <c r="H2118" i="5"/>
  <c r="P2117" i="5"/>
  <c r="P190" i="8" s="1"/>
  <c r="H1794" i="5"/>
  <c r="P1793" i="5"/>
  <c r="P46" i="8" s="1"/>
  <c r="M1114" i="5"/>
  <c r="M2259" i="5" s="1"/>
  <c r="P1114" i="5"/>
  <c r="P2259" i="5" s="1"/>
  <c r="H2036" i="5"/>
  <c r="P2035" i="5"/>
  <c r="P151" i="8" s="1"/>
  <c r="L227" i="5"/>
  <c r="L1824" i="5" s="1"/>
  <c r="Q229" i="5"/>
  <c r="Q227" i="5" s="1"/>
  <c r="Q1824" i="5" s="1"/>
  <c r="G1824" i="5"/>
  <c r="O1823" i="5"/>
  <c r="O57" i="8" s="1"/>
  <c r="F2383" i="5"/>
  <c r="N2382" i="5"/>
  <c r="N303" i="8" s="1"/>
  <c r="Q1322" i="5"/>
  <c r="Q306" i="5"/>
  <c r="L304" i="5"/>
  <c r="L1863" i="5" s="1"/>
  <c r="D1863" i="5" s="1"/>
  <c r="Q1074" i="5"/>
  <c r="Q935" i="5"/>
  <c r="G2024" i="5"/>
  <c r="O2023" i="5"/>
  <c r="O144" i="8" s="1"/>
  <c r="F1935" i="5"/>
  <c r="N1934" i="5"/>
  <c r="N101" i="8" s="1"/>
  <c r="H1820" i="5"/>
  <c r="P1819" i="5"/>
  <c r="P56" i="8" s="1"/>
  <c r="N2160" i="5"/>
  <c r="N209" i="8" s="1"/>
  <c r="F2162" i="5"/>
  <c r="Q1156" i="5"/>
  <c r="M1482" i="5"/>
  <c r="M2419" i="5" s="1"/>
  <c r="M631" i="8" s="1"/>
  <c r="Q1484" i="5"/>
  <c r="M1660" i="5"/>
  <c r="M2498" i="5" s="1"/>
  <c r="E2498" i="5" s="1"/>
  <c r="Q161" i="5"/>
  <c r="V162" i="5"/>
  <c r="M361" i="5"/>
  <c r="M1890" i="5" s="1"/>
  <c r="M588" i="8" s="1"/>
  <c r="L1249" i="5"/>
  <c r="L2319" i="5" s="1"/>
  <c r="Q1250" i="5"/>
  <c r="Q1249" i="5" s="1"/>
  <c r="Q2319" i="5" s="1"/>
  <c r="I2319" i="5" s="1"/>
  <c r="AA2319" i="5" s="1"/>
  <c r="F1757" i="5"/>
  <c r="N1756" i="5"/>
  <c r="N32" i="8" s="1"/>
  <c r="I2178" i="5"/>
  <c r="Q2177" i="5"/>
  <c r="Q218" i="8" s="1"/>
  <c r="O1652" i="5"/>
  <c r="O2496" i="5" s="1"/>
  <c r="O632" i="8" s="1"/>
  <c r="D2390" i="5"/>
  <c r="P1119" i="5"/>
  <c r="P2261" i="5" s="1"/>
  <c r="O1119" i="5"/>
  <c r="O2261" i="5" s="1"/>
  <c r="P696" i="5"/>
  <c r="P2053" i="5" s="1"/>
  <c r="Q501" i="5"/>
  <c r="L500" i="5"/>
  <c r="L1953" i="5" s="1"/>
  <c r="L597" i="8" s="1"/>
  <c r="E1828" i="5"/>
  <c r="M1827" i="5"/>
  <c r="M59" i="8" s="1"/>
  <c r="G1828" i="5"/>
  <c r="O1827" i="5"/>
  <c r="O59" i="8" s="1"/>
  <c r="N1647" i="5"/>
  <c r="N2494" i="5" s="1"/>
  <c r="F2494" i="5" s="1"/>
  <c r="F2181" i="5"/>
  <c r="N2180" i="5"/>
  <c r="N220" i="8" s="1"/>
  <c r="E2181" i="5"/>
  <c r="M2180" i="5"/>
  <c r="M220" i="8" s="1"/>
  <c r="L423" i="5"/>
  <c r="L1918" i="5" s="1"/>
  <c r="L603" i="8" s="1"/>
  <c r="Q425" i="5"/>
  <c r="L1554" i="5"/>
  <c r="L2453" i="5" s="1"/>
  <c r="Q1556" i="5"/>
  <c r="Q1554" i="5" s="1"/>
  <c r="Q2453" i="5" s="1"/>
  <c r="N1332" i="5"/>
  <c r="N2355" i="5" s="1"/>
  <c r="N643" i="8" s="1"/>
  <c r="M977" i="5"/>
  <c r="M2200" i="5" s="1"/>
  <c r="M613" i="8" s="1"/>
  <c r="P441" i="5"/>
  <c r="P1924" i="5" s="1"/>
  <c r="P600" i="8" s="1"/>
  <c r="O1137" i="5"/>
  <c r="O2266" i="5" s="1"/>
  <c r="G2266" i="5" s="1"/>
  <c r="P1137" i="5"/>
  <c r="P2266" i="5" s="1"/>
  <c r="H2266" i="5" s="1"/>
  <c r="Q700" i="5"/>
  <c r="L699" i="5"/>
  <c r="L2054" i="5" s="1"/>
  <c r="H1848" i="5"/>
  <c r="P1847" i="5"/>
  <c r="P66" i="8" s="1"/>
  <c r="N1566" i="5"/>
  <c r="N2458" i="5" s="1"/>
  <c r="Q1428" i="5"/>
  <c r="L1426" i="5"/>
  <c r="L2394" i="5" s="1"/>
  <c r="P1426" i="5"/>
  <c r="P2394" i="5" s="1"/>
  <c r="N321" i="5"/>
  <c r="N1063" i="5"/>
  <c r="N2237" i="5" s="1"/>
  <c r="O871" i="5"/>
  <c r="O2141" i="5" s="1"/>
  <c r="O573" i="8" s="1"/>
  <c r="M673" i="5"/>
  <c r="M2040" i="5" s="1"/>
  <c r="M536" i="8" s="1"/>
  <c r="P673" i="5"/>
  <c r="P2040" i="5" s="1"/>
  <c r="P536" i="8" s="1"/>
  <c r="N64" i="5"/>
  <c r="N1739" i="5" s="1"/>
  <c r="Q1415" i="5"/>
  <c r="L1413" i="5"/>
  <c r="L2389" i="5" s="1"/>
  <c r="M1179" i="5"/>
  <c r="M2283" i="5" s="1"/>
  <c r="M876" i="5"/>
  <c r="M2144" i="5" s="1"/>
  <c r="Q877" i="5"/>
  <c r="L876" i="5"/>
  <c r="L2144" i="5" s="1"/>
  <c r="N131" i="5"/>
  <c r="N1774" i="5" s="1"/>
  <c r="N554" i="8" s="1"/>
  <c r="N664" i="8" s="1"/>
  <c r="L1630" i="5"/>
  <c r="L2489" i="5" s="1"/>
  <c r="Q1631" i="5"/>
  <c r="M1406" i="5"/>
  <c r="M2386" i="5" s="1"/>
  <c r="M641" i="8" s="1"/>
  <c r="L1102" i="5"/>
  <c r="L2255" i="5" s="1"/>
  <c r="Q1103" i="5"/>
  <c r="O1102" i="5"/>
  <c r="O2255" i="5" s="1"/>
  <c r="N902" i="5"/>
  <c r="N2158" i="5" s="1"/>
  <c r="M564" i="5"/>
  <c r="M1985" i="5" s="1"/>
  <c r="O1539" i="5"/>
  <c r="O2446" i="5" s="1"/>
  <c r="O537" i="8" s="1"/>
  <c r="M1349" i="5"/>
  <c r="M2363" i="5" s="1"/>
  <c r="O1349" i="5"/>
  <c r="O2363" i="5" s="1"/>
  <c r="N1079" i="5"/>
  <c r="N2243" i="5" s="1"/>
  <c r="N612" i="8" s="1"/>
  <c r="P932" i="5"/>
  <c r="P2174" i="5" s="1"/>
  <c r="Q1269" i="5"/>
  <c r="L1268" i="5"/>
  <c r="L2329" i="5" s="1"/>
  <c r="L635" i="8" s="1"/>
  <c r="Q1380" i="5"/>
  <c r="N840" i="5"/>
  <c r="N2124" i="5" s="1"/>
  <c r="F2124" i="5" s="1"/>
  <c r="M453" i="5"/>
  <c r="M1928" i="5" s="1"/>
  <c r="E1928" i="5" s="1"/>
  <c r="O453" i="5"/>
  <c r="O1928" i="5" s="1"/>
  <c r="G1928" i="5" s="1"/>
  <c r="P19" i="5"/>
  <c r="P1715" i="5" s="1"/>
  <c r="H1715" i="5" s="1"/>
  <c r="F1914" i="5"/>
  <c r="N1913" i="5"/>
  <c r="N94" i="8" s="1"/>
  <c r="L906" i="5"/>
  <c r="L2159" i="5" s="1"/>
  <c r="L835" i="5"/>
  <c r="L2123" i="5" s="1"/>
  <c r="Q836" i="5"/>
  <c r="Q835" i="5" s="1"/>
  <c r="Q2123" i="5" s="1"/>
  <c r="I2123" i="5" s="1"/>
  <c r="D2212" i="5"/>
  <c r="W2212" i="5"/>
  <c r="X2212" i="5" s="1"/>
  <c r="L2211" i="5"/>
  <c r="L232" i="8" s="1"/>
  <c r="Q596" i="5"/>
  <c r="Q1623" i="5"/>
  <c r="G741" i="5"/>
  <c r="M741" i="5"/>
  <c r="M739" i="5" s="1"/>
  <c r="M2075" i="5" s="1"/>
  <c r="E2075" i="5" s="1"/>
  <c r="I460" i="5"/>
  <c r="J460" i="5" s="1"/>
  <c r="O460" i="5"/>
  <c r="O459" i="5" s="1"/>
  <c r="O1931" i="5" s="1"/>
  <c r="O592" i="8" s="1"/>
  <c r="Q1560" i="5"/>
  <c r="Q834" i="5"/>
  <c r="O431" i="5"/>
  <c r="O1920" i="5" s="1"/>
  <c r="E2318" i="5"/>
  <c r="G2318" i="5"/>
  <c r="O2317" i="5"/>
  <c r="O275" i="8" s="1"/>
  <c r="L538" i="5"/>
  <c r="L1972" i="5" s="1"/>
  <c r="L580" i="8" s="1"/>
  <c r="Q539" i="5"/>
  <c r="Q538" i="5" s="1"/>
  <c r="Q1972" i="5" s="1"/>
  <c r="Q580" i="8" s="1"/>
  <c r="L53" i="5"/>
  <c r="L1733" i="5" s="1"/>
  <c r="L1584" i="5"/>
  <c r="L2466" i="5" s="1"/>
  <c r="Q1586" i="5"/>
  <c r="Q1584" i="5" s="1"/>
  <c r="Q2466" i="5" s="1"/>
  <c r="P613" i="5"/>
  <c r="P2008" i="5" s="1"/>
  <c r="P188" i="5"/>
  <c r="P1804" i="5" s="1"/>
  <c r="P559" i="8" s="1"/>
  <c r="Q190" i="5"/>
  <c r="L188" i="5"/>
  <c r="L1804" i="5" s="1"/>
  <c r="L559" i="8" s="1"/>
  <c r="Q1325" i="5"/>
  <c r="Q1323" i="5" s="1"/>
  <c r="Q2350" i="5" s="1"/>
  <c r="L1323" i="5"/>
  <c r="L2350" i="5" s="1"/>
  <c r="Q35" i="5"/>
  <c r="L33" i="5"/>
  <c r="L1723" i="5" s="1"/>
  <c r="L544" i="8" s="1"/>
  <c r="P33" i="5"/>
  <c r="P1723" i="5" s="1"/>
  <c r="P544" i="8" s="1"/>
  <c r="O478" i="5"/>
  <c r="O1943" i="5" s="1"/>
  <c r="O1378" i="5"/>
  <c r="O2373" i="5" s="1"/>
  <c r="G2373" i="5" s="1"/>
  <c r="P1047" i="5"/>
  <c r="P2228" i="5" s="1"/>
  <c r="P610" i="8" s="1"/>
  <c r="P683" i="8" s="1"/>
  <c r="N1562" i="5"/>
  <c r="N2457" i="5" s="1"/>
  <c r="O1562" i="5"/>
  <c r="O2457" i="5" s="1"/>
  <c r="P1128" i="5"/>
  <c r="P2264" i="5" s="1"/>
  <c r="M1626" i="5"/>
  <c r="M2488" i="5" s="1"/>
  <c r="M633" i="8" s="1"/>
  <c r="N1020" i="5"/>
  <c r="N2217" i="5" s="1"/>
  <c r="N614" i="8" s="1"/>
  <c r="L1492" i="5"/>
  <c r="L2423" i="5" s="1"/>
  <c r="Q1493" i="5"/>
  <c r="M831" i="5"/>
  <c r="M2122" i="5" s="1"/>
  <c r="O1667" i="5"/>
  <c r="O2501" i="5" s="1"/>
  <c r="G2501" i="5" s="1"/>
  <c r="E2340" i="5"/>
  <c r="M2339" i="5"/>
  <c r="G2340" i="5"/>
  <c r="O2339" i="5"/>
  <c r="Q96" i="5"/>
  <c r="V96" i="5" s="1"/>
  <c r="N1854" i="5"/>
  <c r="N67" i="8" s="1"/>
  <c r="F1855" i="5"/>
  <c r="F1845" i="5"/>
  <c r="N1839" i="5"/>
  <c r="N63" i="8" s="1"/>
  <c r="F1841" i="5"/>
  <c r="L1765" i="5"/>
  <c r="L35" i="8" s="1"/>
  <c r="W1766" i="5"/>
  <c r="K687" i="5"/>
  <c r="K591" i="5"/>
  <c r="O88" i="5"/>
  <c r="O87" i="5" s="1"/>
  <c r="O1752" i="5" s="1"/>
  <c r="N88" i="5"/>
  <c r="N87" i="5" s="1"/>
  <c r="N1752" i="5" s="1"/>
  <c r="M88" i="5"/>
  <c r="M87" i="5" s="1"/>
  <c r="M1752" i="5" s="1"/>
  <c r="P88" i="5"/>
  <c r="P87" i="5" s="1"/>
  <c r="P1752" i="5" s="1"/>
  <c r="L88" i="5"/>
  <c r="O91" i="5"/>
  <c r="O90" i="5" s="1"/>
  <c r="O1754" i="5" s="1"/>
  <c r="M91" i="5"/>
  <c r="M90" i="5" s="1"/>
  <c r="M1754" i="5" s="1"/>
  <c r="N91" i="5"/>
  <c r="N90" i="5" s="1"/>
  <c r="N1754" i="5" s="1"/>
  <c r="P91" i="5"/>
  <c r="P90" i="5" s="1"/>
  <c r="P1754" i="5" s="1"/>
  <c r="L91" i="5"/>
  <c r="K1159" i="5"/>
  <c r="M271" i="5"/>
  <c r="M1845" i="5" s="1"/>
  <c r="E1845" i="5" s="1"/>
  <c r="M291" i="5"/>
  <c r="M1855" i="5" s="1"/>
  <c r="M261" i="5"/>
  <c r="M1841" i="5" s="1"/>
  <c r="E1841" i="5" s="1"/>
  <c r="H272" i="5"/>
  <c r="O272" i="5" s="1"/>
  <c r="O271" i="5" s="1"/>
  <c r="O1845" i="5" s="1"/>
  <c r="H292" i="5"/>
  <c r="O292" i="5" s="1"/>
  <c r="O291" i="5" s="1"/>
  <c r="O1855" i="5" s="1"/>
  <c r="O566" i="8" s="1"/>
  <c r="H262" i="5"/>
  <c r="O262" i="5" s="1"/>
  <c r="O261" i="5" s="1"/>
  <c r="O1841" i="5" s="1"/>
  <c r="O550" i="8" s="1"/>
  <c r="C29" i="1"/>
  <c r="C34" i="1" s="1"/>
  <c r="G70" i="3"/>
  <c r="H17" i="3"/>
  <c r="I58" i="3"/>
  <c r="H54" i="3"/>
  <c r="G71" i="3"/>
  <c r="G82" i="3" s="1"/>
  <c r="G83" i="3" s="1"/>
  <c r="H60" i="3"/>
  <c r="H15" i="3"/>
  <c r="I15" i="3" s="1"/>
  <c r="J15" i="3" s="1"/>
  <c r="K15" i="3" s="1"/>
  <c r="L15" i="3" s="1"/>
  <c r="M15" i="3" s="1"/>
  <c r="N15" i="3" s="1"/>
  <c r="N16" i="3" s="1"/>
  <c r="E232" i="8" l="1"/>
  <c r="Z1853" i="5"/>
  <c r="G223" i="8"/>
  <c r="E44" i="8"/>
  <c r="F134" i="8"/>
  <c r="Z2159" i="5"/>
  <c r="F35" i="8"/>
  <c r="E193" i="8"/>
  <c r="H223" i="8"/>
  <c r="AA2276" i="5"/>
  <c r="G232" i="8"/>
  <c r="D80" i="8"/>
  <c r="F223" i="8"/>
  <c r="F232" i="8"/>
  <c r="AA2275" i="5"/>
  <c r="H35" i="8"/>
  <c r="Q1445" i="5"/>
  <c r="D67" i="8"/>
  <c r="E223" i="8"/>
  <c r="H44" i="8"/>
  <c r="H193" i="8"/>
  <c r="E246" i="8"/>
  <c r="F193" i="8"/>
  <c r="AA2262" i="5"/>
  <c r="G35" i="8"/>
  <c r="Q1255" i="5"/>
  <c r="Q2323" i="5" s="1"/>
  <c r="Q2322" i="5" s="1"/>
  <c r="Q1287" i="5"/>
  <c r="Q2335" i="5" s="1"/>
  <c r="Q2334" i="5" s="1"/>
  <c r="G44" i="8"/>
  <c r="E181" i="8"/>
  <c r="H218" i="8"/>
  <c r="E218" i="8"/>
  <c r="E134" i="8"/>
  <c r="H134" i="8"/>
  <c r="G134" i="8"/>
  <c r="G218" i="8"/>
  <c r="H232" i="8"/>
  <c r="G193" i="8"/>
  <c r="F44" i="8"/>
  <c r="Z2212" i="5"/>
  <c r="Z2162" i="5"/>
  <c r="F218" i="8"/>
  <c r="E35" i="8"/>
  <c r="H2331" i="5"/>
  <c r="H281" i="8" s="1"/>
  <c r="P281" i="8"/>
  <c r="Q1359" i="5"/>
  <c r="Q2366" i="5" s="1"/>
  <c r="G2510" i="5"/>
  <c r="G352" i="8" s="1"/>
  <c r="O352" i="8"/>
  <c r="I2335" i="5"/>
  <c r="M2324" i="5"/>
  <c r="M2321" i="5" s="1"/>
  <c r="M276" i="8" s="1"/>
  <c r="M440" i="8" s="1"/>
  <c r="E212" i="14" s="1"/>
  <c r="W2326" i="5"/>
  <c r="X2326" i="5" s="1"/>
  <c r="E2326" i="5"/>
  <c r="P277" i="8"/>
  <c r="H2322" i="5"/>
  <c r="H277" i="8" s="1"/>
  <c r="Q2324" i="5"/>
  <c r="I2326" i="5"/>
  <c r="AA2326" i="5" s="1"/>
  <c r="N351" i="8"/>
  <c r="F2507" i="5"/>
  <c r="F351" i="8" s="1"/>
  <c r="Q1683" i="5"/>
  <c r="Q2509" i="5" s="1"/>
  <c r="L2322" i="5"/>
  <c r="D2323" i="5"/>
  <c r="D2366" i="5"/>
  <c r="L2365" i="5"/>
  <c r="W2366" i="5"/>
  <c r="L2334" i="5"/>
  <c r="D2335" i="5"/>
  <c r="W2335" i="5"/>
  <c r="N2324" i="5"/>
  <c r="F2326" i="5"/>
  <c r="E2366" i="5"/>
  <c r="M2365" i="5"/>
  <c r="H2509" i="5"/>
  <c r="P2507" i="5"/>
  <c r="M277" i="8"/>
  <c r="E2322" i="5"/>
  <c r="E277" i="8" s="1"/>
  <c r="W2337" i="5"/>
  <c r="X2337" i="5" s="1"/>
  <c r="D2337" i="5"/>
  <c r="L2336" i="5"/>
  <c r="L283" i="8" s="1"/>
  <c r="L540" i="8"/>
  <c r="N2365" i="5"/>
  <c r="F2366" i="5"/>
  <c r="F2332" i="5"/>
  <c r="N2331" i="5"/>
  <c r="D2509" i="5"/>
  <c r="W2509" i="5"/>
  <c r="L2507" i="5"/>
  <c r="O278" i="8"/>
  <c r="G2324" i="5"/>
  <c r="G278" i="8" s="1"/>
  <c r="P297" i="8"/>
  <c r="H2365" i="5"/>
  <c r="H297" i="8" s="1"/>
  <c r="O351" i="8"/>
  <c r="G2507" i="5"/>
  <c r="G351" i="8" s="1"/>
  <c r="P2510" i="5"/>
  <c r="H2511" i="5"/>
  <c r="F2323" i="5"/>
  <c r="N2322" i="5"/>
  <c r="I2332" i="5"/>
  <c r="G2335" i="5"/>
  <c r="O2334" i="5"/>
  <c r="Q2336" i="5"/>
  <c r="Q283" i="8" s="1"/>
  <c r="I2337" i="5"/>
  <c r="Q540" i="8"/>
  <c r="Q1281" i="5"/>
  <c r="Q2333" i="5" s="1"/>
  <c r="I2333" i="5" s="1"/>
  <c r="P2334" i="5"/>
  <c r="H2335" i="5"/>
  <c r="H2326" i="5"/>
  <c r="P2324" i="5"/>
  <c r="P2321" i="5" s="1"/>
  <c r="P276" i="8" s="1"/>
  <c r="P440" i="8" s="1"/>
  <c r="H212" i="14" s="1"/>
  <c r="M352" i="8"/>
  <c r="E2510" i="5"/>
  <c r="E352" i="8" s="1"/>
  <c r="N2334" i="5"/>
  <c r="F2335" i="5"/>
  <c r="G2332" i="5"/>
  <c r="O2331" i="5"/>
  <c r="I2511" i="5"/>
  <c r="AA2511" i="5" s="1"/>
  <c r="Q2510" i="5"/>
  <c r="M2334" i="5"/>
  <c r="E2335" i="5"/>
  <c r="C189" i="12"/>
  <c r="L2331" i="5"/>
  <c r="D2332" i="5"/>
  <c r="W2332" i="5"/>
  <c r="X2332" i="5" s="1"/>
  <c r="F2510" i="5"/>
  <c r="F352" i="8" s="1"/>
  <c r="N352" i="8"/>
  <c r="E2332" i="5"/>
  <c r="M2331" i="5"/>
  <c r="W2333" i="5"/>
  <c r="X2333" i="5" s="1"/>
  <c r="D2333" i="5"/>
  <c r="D2510" i="5"/>
  <c r="D352" i="8" s="1"/>
  <c r="L352" i="8"/>
  <c r="G2323" i="5"/>
  <c r="O2322" i="5"/>
  <c r="O2365" i="5"/>
  <c r="G2366" i="5"/>
  <c r="E2509" i="5"/>
  <c r="M2507" i="5"/>
  <c r="B134" i="12"/>
  <c r="N535" i="8"/>
  <c r="B200" i="12"/>
  <c r="C147" i="12"/>
  <c r="C206" i="12"/>
  <c r="Z1948" i="5"/>
  <c r="C216" i="12"/>
  <c r="B120" i="12"/>
  <c r="C178" i="12"/>
  <c r="B29" i="12"/>
  <c r="C225" i="12"/>
  <c r="C210" i="12"/>
  <c r="B117" i="12"/>
  <c r="AA2284" i="5"/>
  <c r="C161" i="12"/>
  <c r="C160" i="12"/>
  <c r="N560" i="8"/>
  <c r="N661" i="8" s="1"/>
  <c r="M587" i="8"/>
  <c r="M630" i="8"/>
  <c r="M687" i="8" s="1"/>
  <c r="O675" i="8"/>
  <c r="M2314" i="5"/>
  <c r="M273" i="8" s="1"/>
  <c r="O560" i="8"/>
  <c r="O527" i="8"/>
  <c r="N640" i="8"/>
  <c r="M611" i="8"/>
  <c r="P632" i="8"/>
  <c r="O541" i="8"/>
  <c r="P650" i="8"/>
  <c r="M643" i="8"/>
  <c r="G2008" i="5"/>
  <c r="O547" i="8"/>
  <c r="L587" i="8"/>
  <c r="P640" i="8"/>
  <c r="N675" i="8"/>
  <c r="L594" i="8"/>
  <c r="Q599" i="8"/>
  <c r="L650" i="8"/>
  <c r="L575" i="8"/>
  <c r="G2458" i="5"/>
  <c r="O634" i="8"/>
  <c r="Q615" i="8"/>
  <c r="E2390" i="5"/>
  <c r="M624" i="8"/>
  <c r="M682" i="8" s="1"/>
  <c r="P527" i="8"/>
  <c r="L630" i="8"/>
  <c r="L687" i="8" s="1"/>
  <c r="Q623" i="8"/>
  <c r="Q685" i="8" s="1"/>
  <c r="I1806" i="5"/>
  <c r="Q568" i="8"/>
  <c r="G2243" i="5"/>
  <c r="O612" i="8"/>
  <c r="F2496" i="5"/>
  <c r="N632" i="8"/>
  <c r="E2265" i="5"/>
  <c r="M619" i="8"/>
  <c r="M679" i="8" s="1"/>
  <c r="E2404" i="5"/>
  <c r="M535" i="8"/>
  <c r="O2256" i="5"/>
  <c r="O250" i="8" s="1"/>
  <c r="F2131" i="5"/>
  <c r="G1917" i="5"/>
  <c r="O594" i="8"/>
  <c r="G2422" i="5"/>
  <c r="O637" i="8"/>
  <c r="O2483" i="5"/>
  <c r="O342" i="8" s="1"/>
  <c r="O533" i="8"/>
  <c r="F2485" i="5"/>
  <c r="N533" i="8"/>
  <c r="M1944" i="5"/>
  <c r="M106" i="8" s="1"/>
  <c r="M596" i="8"/>
  <c r="H1896" i="5"/>
  <c r="P593" i="8"/>
  <c r="H1945" i="5"/>
  <c r="P596" i="8"/>
  <c r="M2483" i="5"/>
  <c r="M342" i="8" s="1"/>
  <c r="M533" i="8"/>
  <c r="O1767" i="5"/>
  <c r="O36" i="8" s="1"/>
  <c r="F2422" i="5"/>
  <c r="N637" i="8"/>
  <c r="H2422" i="5"/>
  <c r="P637" i="8"/>
  <c r="H1857" i="5"/>
  <c r="G1857" i="5"/>
  <c r="N601" i="8"/>
  <c r="N682" i="8"/>
  <c r="M601" i="8"/>
  <c r="O630" i="8"/>
  <c r="O687" i="8" s="1"/>
  <c r="M529" i="8"/>
  <c r="L661" i="8"/>
  <c r="N630" i="8"/>
  <c r="N687" i="8" s="1"/>
  <c r="M550" i="8"/>
  <c r="L643" i="8"/>
  <c r="M614" i="8"/>
  <c r="E2008" i="5"/>
  <c r="M547" i="8"/>
  <c r="L534" i="8"/>
  <c r="N571" i="8"/>
  <c r="H1898" i="5"/>
  <c r="P586" i="8"/>
  <c r="F1898" i="5"/>
  <c r="N586" i="8"/>
  <c r="I2425" i="5"/>
  <c r="Q649" i="8"/>
  <c r="G1918" i="5"/>
  <c r="O603" i="8"/>
  <c r="L599" i="8"/>
  <c r="M640" i="8"/>
  <c r="P633" i="8"/>
  <c r="I1850" i="5"/>
  <c r="Q539" i="8"/>
  <c r="L536" i="8"/>
  <c r="M560" i="8"/>
  <c r="H1918" i="5"/>
  <c r="P603" i="8"/>
  <c r="L527" i="8"/>
  <c r="L623" i="8"/>
  <c r="L685" i="8" s="1"/>
  <c r="M2242" i="5"/>
  <c r="M244" i="8" s="1"/>
  <c r="M612" i="8"/>
  <c r="G1953" i="5"/>
  <c r="O597" i="8"/>
  <c r="O2359" i="5"/>
  <c r="O640" i="8"/>
  <c r="O2105" i="5"/>
  <c r="O184" i="8" s="1"/>
  <c r="O575" i="8"/>
  <c r="G1919" i="5"/>
  <c r="O605" i="8"/>
  <c r="G1723" i="5"/>
  <c r="O544" i="8"/>
  <c r="F1983" i="5"/>
  <c r="N548" i="8"/>
  <c r="H2404" i="5"/>
  <c r="P535" i="8"/>
  <c r="O2463" i="5"/>
  <c r="O335" i="8" s="1"/>
  <c r="O638" i="8"/>
  <c r="G1898" i="5"/>
  <c r="O586" i="8"/>
  <c r="H2240" i="5"/>
  <c r="P621" i="8"/>
  <c r="P684" i="8" s="1"/>
  <c r="F1896" i="5"/>
  <c r="N593" i="8"/>
  <c r="P595" i="8"/>
  <c r="H2200" i="5"/>
  <c r="P613" i="8"/>
  <c r="E1757" i="5"/>
  <c r="M562" i="8"/>
  <c r="O1944" i="5"/>
  <c r="O106" i="8" s="1"/>
  <c r="O596" i="8"/>
  <c r="E1768" i="5"/>
  <c r="P1756" i="5"/>
  <c r="P32" i="8" s="1"/>
  <c r="P562" i="8"/>
  <c r="H1998" i="5"/>
  <c r="P629" i="8"/>
  <c r="E1857" i="5"/>
  <c r="M530" i="8"/>
  <c r="M656" i="8" s="1"/>
  <c r="P630" i="8"/>
  <c r="P687" i="8" s="1"/>
  <c r="O534" i="8"/>
  <c r="P611" i="8"/>
  <c r="P601" i="8"/>
  <c r="P534" i="8"/>
  <c r="O553" i="8"/>
  <c r="O631" i="8"/>
  <c r="O655" i="8"/>
  <c r="H2008" i="5"/>
  <c r="P547" i="8"/>
  <c r="D2082" i="5"/>
  <c r="L625" i="8"/>
  <c r="L682" i="8" s="1"/>
  <c r="I1840" i="5"/>
  <c r="O633" i="8"/>
  <c r="M565" i="8"/>
  <c r="H2458" i="5"/>
  <c r="P634" i="8"/>
  <c r="F1918" i="5"/>
  <c r="N603" i="8"/>
  <c r="L543" i="8"/>
  <c r="E1953" i="5"/>
  <c r="M597" i="8"/>
  <c r="M632" i="8"/>
  <c r="I1852" i="5"/>
  <c r="Q569" i="8"/>
  <c r="M541" i="8"/>
  <c r="M655" i="8" s="1"/>
  <c r="L611" i="8"/>
  <c r="F2265" i="5"/>
  <c r="N619" i="8"/>
  <c r="N679" i="8" s="1"/>
  <c r="H1919" i="5"/>
  <c r="P605" i="8"/>
  <c r="H1920" i="5"/>
  <c r="P604" i="8"/>
  <c r="L639" i="8"/>
  <c r="L633" i="8"/>
  <c r="L601" i="8"/>
  <c r="I1906" i="5"/>
  <c r="Q598" i="8"/>
  <c r="N633" i="8"/>
  <c r="E1918" i="5"/>
  <c r="M603" i="8"/>
  <c r="N541" i="8"/>
  <c r="N655" i="8" s="1"/>
  <c r="P602" i="8"/>
  <c r="L614" i="8"/>
  <c r="L576" i="8"/>
  <c r="L671" i="8" s="1"/>
  <c r="L596" i="8"/>
  <c r="L602" i="8"/>
  <c r="L675" i="8" s="1"/>
  <c r="I2016" i="5"/>
  <c r="F2446" i="5"/>
  <c r="N537" i="8"/>
  <c r="O2039" i="5"/>
  <c r="O153" i="8" s="1"/>
  <c r="O536" i="8"/>
  <c r="F1919" i="5"/>
  <c r="N605" i="8"/>
  <c r="G1951" i="5"/>
  <c r="O595" i="8"/>
  <c r="H2464" i="5"/>
  <c r="P638" i="8"/>
  <c r="H1727" i="5"/>
  <c r="P560" i="8"/>
  <c r="H2112" i="5"/>
  <c r="P571" i="8"/>
  <c r="F1945" i="5"/>
  <c r="N596" i="8"/>
  <c r="N1719" i="5"/>
  <c r="N13" i="8" s="1"/>
  <c r="P1767" i="5"/>
  <c r="P36" i="8" s="1"/>
  <c r="H1976" i="5"/>
  <c r="P585" i="8"/>
  <c r="E1920" i="5"/>
  <c r="M604" i="8"/>
  <c r="F2200" i="5"/>
  <c r="N613" i="8"/>
  <c r="O2199" i="5"/>
  <c r="O228" i="8" s="1"/>
  <c r="O613" i="8"/>
  <c r="E2458" i="5"/>
  <c r="M634" i="8"/>
  <c r="P1719" i="5"/>
  <c r="P13" i="8" s="1"/>
  <c r="O682" i="8"/>
  <c r="M534" i="8"/>
  <c r="M553" i="8"/>
  <c r="P553" i="8"/>
  <c r="P625" i="8"/>
  <c r="P682" i="8" s="1"/>
  <c r="P631" i="8"/>
  <c r="O529" i="8"/>
  <c r="F2458" i="5"/>
  <c r="N634" i="8"/>
  <c r="P541" i="8"/>
  <c r="E1855" i="5"/>
  <c r="M566" i="8"/>
  <c r="G1920" i="5"/>
  <c r="O604" i="8"/>
  <c r="I2082" i="5"/>
  <c r="P587" i="8"/>
  <c r="M571" i="8"/>
  <c r="F1920" i="5"/>
  <c r="N604" i="8"/>
  <c r="L595" i="8"/>
  <c r="E1919" i="5"/>
  <c r="M605" i="8"/>
  <c r="G2265" i="5"/>
  <c r="O619" i="8"/>
  <c r="O679" i="8" s="1"/>
  <c r="Q543" i="8"/>
  <c r="L673" i="8"/>
  <c r="M595" i="8"/>
  <c r="I2482" i="5"/>
  <c r="Q557" i="8"/>
  <c r="L613" i="8"/>
  <c r="L600" i="8"/>
  <c r="L555" i="8"/>
  <c r="L637" i="8"/>
  <c r="F2008" i="5"/>
  <c r="N547" i="8"/>
  <c r="L612" i="8"/>
  <c r="L615" i="8"/>
  <c r="F1953" i="5"/>
  <c r="N597" i="8"/>
  <c r="I2390" i="5"/>
  <c r="Q624" i="8"/>
  <c r="L632" i="8"/>
  <c r="L631" i="8"/>
  <c r="L554" i="8"/>
  <c r="L542" i="8"/>
  <c r="L659" i="8" s="1"/>
  <c r="L605" i="8"/>
  <c r="G1804" i="5"/>
  <c r="O559" i="8"/>
  <c r="F2108" i="5"/>
  <c r="G1886" i="5"/>
  <c r="O587" i="8"/>
  <c r="H2265" i="5"/>
  <c r="P619" i="8"/>
  <c r="P679" i="8" s="1"/>
  <c r="P1889" i="5"/>
  <c r="P84" i="8" s="1"/>
  <c r="P588" i="8"/>
  <c r="E1898" i="5"/>
  <c r="M586" i="8"/>
  <c r="E2422" i="5"/>
  <c r="M637" i="8"/>
  <c r="G1998" i="5"/>
  <c r="O629" i="8"/>
  <c r="E1896" i="5"/>
  <c r="M593" i="8"/>
  <c r="H1953" i="5"/>
  <c r="P597" i="8"/>
  <c r="G2228" i="5"/>
  <c r="O610" i="8"/>
  <c r="O683" i="8" s="1"/>
  <c r="G1757" i="5"/>
  <c r="O562" i="8"/>
  <c r="F1857" i="5"/>
  <c r="N529" i="8"/>
  <c r="N534" i="8"/>
  <c r="O611" i="8"/>
  <c r="P529" i="8"/>
  <c r="N631" i="8"/>
  <c r="N553" i="8"/>
  <c r="M600" i="8"/>
  <c r="M639" i="8"/>
  <c r="O601" i="8"/>
  <c r="N611" i="8"/>
  <c r="O295" i="8"/>
  <c r="G2088" i="5"/>
  <c r="O174" i="8"/>
  <c r="E2088" i="5"/>
  <c r="M174" i="8"/>
  <c r="F2088" i="5"/>
  <c r="N174" i="8"/>
  <c r="H2088" i="5"/>
  <c r="P174" i="8"/>
  <c r="E2081" i="5"/>
  <c r="M172" i="8"/>
  <c r="E2085" i="5"/>
  <c r="M173" i="8"/>
  <c r="G2085" i="5"/>
  <c r="O173" i="8"/>
  <c r="F2085" i="5"/>
  <c r="N173" i="8"/>
  <c r="H2085" i="5"/>
  <c r="P173" i="8"/>
  <c r="Q2512" i="5"/>
  <c r="I2513" i="5"/>
  <c r="AA2513" i="5" s="1"/>
  <c r="L2512" i="5"/>
  <c r="L353" i="8" s="1"/>
  <c r="D2513" i="5"/>
  <c r="H2512" i="5"/>
  <c r="H353" i="8" s="1"/>
  <c r="P2506" i="5"/>
  <c r="P350" i="8" s="1"/>
  <c r="P454" i="8" s="1"/>
  <c r="H226" i="14" s="1"/>
  <c r="G2512" i="5"/>
  <c r="G353" i="8" s="1"/>
  <c r="O2506" i="5"/>
  <c r="O350" i="8" s="1"/>
  <c r="O454" i="8" s="1"/>
  <c r="G226" i="14" s="1"/>
  <c r="P1856" i="5"/>
  <c r="P68" i="8" s="1"/>
  <c r="E2512" i="5"/>
  <c r="E353" i="8" s="1"/>
  <c r="M2506" i="5"/>
  <c r="M350" i="8" s="1"/>
  <c r="M454" i="8" s="1"/>
  <c r="E226" i="14" s="1"/>
  <c r="F2512" i="5"/>
  <c r="F353" i="8" s="1"/>
  <c r="N2506" i="5"/>
  <c r="N350" i="8" s="1"/>
  <c r="N454" i="8" s="1"/>
  <c r="F226" i="14" s="1"/>
  <c r="M353" i="8"/>
  <c r="M330" i="8"/>
  <c r="P330" i="8"/>
  <c r="N330" i="8"/>
  <c r="O330" i="8"/>
  <c r="O1856" i="5"/>
  <c r="O68" i="8" s="1"/>
  <c r="P2081" i="5"/>
  <c r="N299" i="8"/>
  <c r="H1721" i="5"/>
  <c r="M309" i="8"/>
  <c r="O299" i="8"/>
  <c r="P309" i="8"/>
  <c r="N309" i="8"/>
  <c r="P299" i="8"/>
  <c r="O309" i="8"/>
  <c r="M299" i="8"/>
  <c r="O2411" i="5"/>
  <c r="O315" i="8" s="1"/>
  <c r="N2317" i="5"/>
  <c r="N275" i="8" s="1"/>
  <c r="Q2376" i="5"/>
  <c r="I2376" i="5" s="1"/>
  <c r="N1842" i="5"/>
  <c r="N64" i="8" s="1"/>
  <c r="L2376" i="5"/>
  <c r="L571" i="8" s="1"/>
  <c r="Q2374" i="5"/>
  <c r="I2374" i="5" s="1"/>
  <c r="P2375" i="5"/>
  <c r="M2375" i="5"/>
  <c r="N2375" i="5"/>
  <c r="O2375" i="5"/>
  <c r="L2374" i="5"/>
  <c r="D2374" i="5" s="1"/>
  <c r="M2317" i="5"/>
  <c r="M275" i="8" s="1"/>
  <c r="W2329" i="5"/>
  <c r="L2328" i="5"/>
  <c r="D2329" i="5"/>
  <c r="P2328" i="5"/>
  <c r="H2329" i="5"/>
  <c r="O2328" i="5"/>
  <c r="G2329" i="5"/>
  <c r="N2328" i="5"/>
  <c r="F2329" i="5"/>
  <c r="M2328" i="5"/>
  <c r="E2329" i="5"/>
  <c r="M2077" i="5"/>
  <c r="E2078" i="5"/>
  <c r="L2088" i="5"/>
  <c r="D2089" i="5"/>
  <c r="N2079" i="5"/>
  <c r="F2080" i="5"/>
  <c r="O2081" i="5"/>
  <c r="G2083" i="5"/>
  <c r="L2085" i="5"/>
  <c r="D2087" i="5"/>
  <c r="P2079" i="5"/>
  <c r="H2080" i="5"/>
  <c r="O2077" i="5"/>
  <c r="G2078" i="5"/>
  <c r="Q2085" i="5"/>
  <c r="I2087" i="5"/>
  <c r="P2077" i="5"/>
  <c r="H2078" i="5"/>
  <c r="O2079" i="5"/>
  <c r="G2080" i="5"/>
  <c r="N2081" i="5"/>
  <c r="F2083" i="5"/>
  <c r="N2077" i="5"/>
  <c r="F2078" i="5"/>
  <c r="L2077" i="5"/>
  <c r="D2078" i="5"/>
  <c r="M2079" i="5"/>
  <c r="E2080" i="5"/>
  <c r="Q2088" i="5"/>
  <c r="I2089" i="5"/>
  <c r="P2317" i="5"/>
  <c r="P275" i="8" s="1"/>
  <c r="L2081" i="5"/>
  <c r="Q2320" i="5"/>
  <c r="I2320" i="5" s="1"/>
  <c r="AA2320" i="5" s="1"/>
  <c r="L2320" i="5"/>
  <c r="W2320" i="5" s="1"/>
  <c r="W2078" i="5"/>
  <c r="L2079" i="5"/>
  <c r="L171" i="8" s="1"/>
  <c r="W2080" i="5"/>
  <c r="W2089" i="5"/>
  <c r="W2090" i="5"/>
  <c r="X2090" i="5" s="1"/>
  <c r="N1856" i="5"/>
  <c r="N68" i="8" s="1"/>
  <c r="O2195" i="5"/>
  <c r="O226" i="8" s="1"/>
  <c r="F2313" i="5"/>
  <c r="N1807" i="5"/>
  <c r="N51" i="8" s="1"/>
  <c r="W2082" i="5"/>
  <c r="W2083" i="5"/>
  <c r="M1856" i="5"/>
  <c r="M68" i="8" s="1"/>
  <c r="M2348" i="5"/>
  <c r="M289" i="8" s="1"/>
  <c r="Q427" i="5"/>
  <c r="Q1919" i="5" s="1"/>
  <c r="E1989" i="5"/>
  <c r="H1757" i="5"/>
  <c r="L1862" i="5"/>
  <c r="M1869" i="5"/>
  <c r="L1869" i="5"/>
  <c r="D1869" i="5" s="1"/>
  <c r="O1867" i="5"/>
  <c r="P1867" i="5"/>
  <c r="M1863" i="5"/>
  <c r="N1869" i="5"/>
  <c r="L1867" i="5"/>
  <c r="O1869" i="5"/>
  <c r="M1867" i="5"/>
  <c r="Q1870" i="5"/>
  <c r="I1870" i="5" s="1"/>
  <c r="N1867" i="5"/>
  <c r="W1864" i="5"/>
  <c r="P1869" i="5"/>
  <c r="P1863" i="5"/>
  <c r="N1863" i="5"/>
  <c r="L1870" i="5"/>
  <c r="D1870" i="5" s="1"/>
  <c r="O1863" i="5"/>
  <c r="W1866" i="5"/>
  <c r="P1860" i="5"/>
  <c r="P556" i="8" s="1"/>
  <c r="P657" i="8" s="1"/>
  <c r="Q294" i="5"/>
  <c r="Q1857" i="5" s="1"/>
  <c r="M1860" i="5"/>
  <c r="M556" i="8" s="1"/>
  <c r="M657" i="8" s="1"/>
  <c r="O1860" i="5"/>
  <c r="O556" i="8" s="1"/>
  <c r="O657" i="8" s="1"/>
  <c r="Q304" i="5"/>
  <c r="L1860" i="5"/>
  <c r="D1860" i="5" s="1"/>
  <c r="Q299" i="5"/>
  <c r="N1860" i="5"/>
  <c r="N556" i="8" s="1"/>
  <c r="N657" i="8" s="1"/>
  <c r="P2411" i="5"/>
  <c r="P315" i="8" s="1"/>
  <c r="P2236" i="5"/>
  <c r="P242" i="8" s="1"/>
  <c r="O2348" i="5"/>
  <c r="O289" i="8" s="1"/>
  <c r="H2196" i="5"/>
  <c r="G2200" i="5"/>
  <c r="N2220" i="5"/>
  <c r="N236" i="8" s="1"/>
  <c r="O2137" i="5"/>
  <c r="O199" i="8" s="1"/>
  <c r="G2247" i="5"/>
  <c r="N2418" i="5"/>
  <c r="N317" i="8" s="1"/>
  <c r="H2380" i="5"/>
  <c r="N2195" i="5"/>
  <c r="N226" i="8" s="1"/>
  <c r="P2109" i="5"/>
  <c r="P186" i="8" s="1"/>
  <c r="P2421" i="5"/>
  <c r="P318" i="8" s="1"/>
  <c r="N2348" i="5"/>
  <c r="N2345" i="5" s="1"/>
  <c r="P1997" i="5"/>
  <c r="P133" i="8" s="1"/>
  <c r="F2247" i="5"/>
  <c r="M1767" i="5"/>
  <c r="M36" i="8" s="1"/>
  <c r="H2247" i="5"/>
  <c r="Q1448" i="5"/>
  <c r="Q2405" i="5" s="1"/>
  <c r="I2405" i="5" s="1"/>
  <c r="Q1539" i="5"/>
  <c r="Q2446" i="5" s="1"/>
  <c r="O2442" i="5"/>
  <c r="O326" i="8" s="1"/>
  <c r="P1944" i="5"/>
  <c r="P106" i="8" s="1"/>
  <c r="M2499" i="5"/>
  <c r="M347" i="8" s="1"/>
  <c r="O2109" i="5"/>
  <c r="O186" i="8" s="1"/>
  <c r="N2483" i="5"/>
  <c r="N342" i="8" s="1"/>
  <c r="Q977" i="5"/>
  <c r="Q2200" i="5" s="1"/>
  <c r="P2418" i="5"/>
  <c r="P317" i="8" s="1"/>
  <c r="P2312" i="5"/>
  <c r="P272" i="8" s="1"/>
  <c r="G2106" i="5"/>
  <c r="E1945" i="5"/>
  <c r="O2314" i="5"/>
  <c r="O273" i="8" s="1"/>
  <c r="I2249" i="5"/>
  <c r="Q2247" i="5"/>
  <c r="Q246" i="8" s="1"/>
  <c r="X2249" i="5"/>
  <c r="O293" i="8"/>
  <c r="P291" i="8"/>
  <c r="M291" i="8"/>
  <c r="O291" i="8"/>
  <c r="N291" i="8"/>
  <c r="E2355" i="5"/>
  <c r="M293" i="8"/>
  <c r="N293" i="8"/>
  <c r="P293" i="8"/>
  <c r="H2349" i="5"/>
  <c r="I2350" i="5"/>
  <c r="AA2350" i="5" s="1"/>
  <c r="N285" i="8"/>
  <c r="M285" i="8"/>
  <c r="P285" i="8"/>
  <c r="I2341" i="5"/>
  <c r="P286" i="8"/>
  <c r="I2342" i="5"/>
  <c r="N286" i="8"/>
  <c r="O285" i="8"/>
  <c r="O286" i="8"/>
  <c r="M286" i="8"/>
  <c r="G2419" i="5"/>
  <c r="H2315" i="5"/>
  <c r="O2312" i="5"/>
  <c r="O272" i="8" s="1"/>
  <c r="O1756" i="5"/>
  <c r="O32" i="8" s="1"/>
  <c r="L381" i="8"/>
  <c r="D61" i="14" s="1"/>
  <c r="O1786" i="5"/>
  <c r="O43" i="8" s="1"/>
  <c r="O374" i="8" s="1"/>
  <c r="G54" i="14" s="1"/>
  <c r="N2134" i="5"/>
  <c r="N198" i="8" s="1"/>
  <c r="P2246" i="5"/>
  <c r="P245" i="8" s="1"/>
  <c r="P431" i="8" s="1"/>
  <c r="H185" i="14" s="1"/>
  <c r="N1786" i="5"/>
  <c r="N43" i="8" s="1"/>
  <c r="N374" i="8" s="1"/>
  <c r="F54" i="14" s="1"/>
  <c r="O2227" i="5"/>
  <c r="O239" i="8" s="1"/>
  <c r="M1986" i="5"/>
  <c r="M127" i="8" s="1"/>
  <c r="O1764" i="5"/>
  <c r="O34" i="8" s="1"/>
  <c r="O372" i="8" s="1"/>
  <c r="G52" i="14" s="1"/>
  <c r="D1765" i="5"/>
  <c r="M1786" i="5"/>
  <c r="M43" i="8" s="1"/>
  <c r="M374" i="8" s="1"/>
  <c r="E54" i="14" s="1"/>
  <c r="F1854" i="5"/>
  <c r="E1780" i="5"/>
  <c r="G1735" i="5"/>
  <c r="M2287" i="5"/>
  <c r="M262" i="8" s="1"/>
  <c r="F1839" i="5"/>
  <c r="O2224" i="5"/>
  <c r="O238" i="8" s="1"/>
  <c r="M2246" i="5"/>
  <c r="M245" i="8" s="1"/>
  <c r="M431" i="8" s="1"/>
  <c r="E185" i="14" s="1"/>
  <c r="N2246" i="5"/>
  <c r="N245" i="8" s="1"/>
  <c r="N431" i="8" s="1"/>
  <c r="F185" i="14" s="1"/>
  <c r="Q876" i="5"/>
  <c r="Q2144" i="5" s="1"/>
  <c r="I2144" i="5" s="1"/>
  <c r="N2199" i="5"/>
  <c r="N228" i="8" s="1"/>
  <c r="N2442" i="5"/>
  <c r="N326" i="8" s="1"/>
  <c r="H1768" i="5"/>
  <c r="N2202" i="5"/>
  <c r="N229" i="8" s="1"/>
  <c r="H2221" i="5"/>
  <c r="O1986" i="5"/>
  <c r="O127" i="8" s="1"/>
  <c r="N2421" i="5"/>
  <c r="N318" i="8" s="1"/>
  <c r="Q1394" i="5"/>
  <c r="Q2380" i="5" s="1"/>
  <c r="I2380" i="5" s="1"/>
  <c r="F1989" i="5"/>
  <c r="M1756" i="5"/>
  <c r="M32" i="8" s="1"/>
  <c r="Q445" i="5"/>
  <c r="Q1925" i="5" s="1"/>
  <c r="I1925" i="5" s="1"/>
  <c r="E2455" i="5"/>
  <c r="H2135" i="5"/>
  <c r="G1945" i="5"/>
  <c r="P2463" i="5"/>
  <c r="P335" i="8" s="1"/>
  <c r="F1721" i="5"/>
  <c r="Q1647" i="5"/>
  <c r="Q2494" i="5" s="1"/>
  <c r="I2494" i="5" s="1"/>
  <c r="E2462" i="5"/>
  <c r="G2455" i="5"/>
  <c r="P1975" i="5"/>
  <c r="P121" i="8" s="1"/>
  <c r="N1944" i="5"/>
  <c r="N106" i="8" s="1"/>
  <c r="G2135" i="5"/>
  <c r="F2261" i="5"/>
  <c r="N2445" i="5"/>
  <c r="N327" i="8" s="1"/>
  <c r="E1903" i="5"/>
  <c r="Q1413" i="5"/>
  <c r="Q2389" i="5" s="1"/>
  <c r="I2389" i="5" s="1"/>
  <c r="Q1140" i="5"/>
  <c r="Q2267" i="5" s="1"/>
  <c r="I2267" i="5" s="1"/>
  <c r="N2379" i="5"/>
  <c r="N302" i="8" s="1"/>
  <c r="Q544" i="5"/>
  <c r="Q1976" i="5" s="1"/>
  <c r="G2464" i="5"/>
  <c r="N2393" i="5"/>
  <c r="N307" i="8" s="1"/>
  <c r="G1808" i="5"/>
  <c r="P2199" i="5"/>
  <c r="P228" i="8" s="1"/>
  <c r="M2354" i="5"/>
  <c r="N1982" i="5"/>
  <c r="N125" i="8" s="1"/>
  <c r="O1722" i="5"/>
  <c r="O14" i="8" s="1"/>
  <c r="Q1660" i="5"/>
  <c r="Q2498" i="5" s="1"/>
  <c r="I2498" i="5" s="1"/>
  <c r="G2485" i="5"/>
  <c r="N1990" i="5"/>
  <c r="N129" i="8" s="1"/>
  <c r="F1943" i="5"/>
  <c r="E2485" i="5"/>
  <c r="G1768" i="5"/>
  <c r="Q1151" i="5"/>
  <c r="Q2271" i="5" s="1"/>
  <c r="I2271" i="5" s="1"/>
  <c r="N2224" i="5"/>
  <c r="N238" i="8" s="1"/>
  <c r="Q188" i="5"/>
  <c r="Q1804" i="5" s="1"/>
  <c r="Q1426" i="5"/>
  <c r="Q2394" i="5" s="1"/>
  <c r="I2394" i="5" s="1"/>
  <c r="O2435" i="5"/>
  <c r="Q520" i="5"/>
  <c r="Q1965" i="5" s="1"/>
  <c r="G2360" i="5"/>
  <c r="G2389" i="5"/>
  <c r="O1950" i="5"/>
  <c r="O109" i="8" s="1"/>
  <c r="E2243" i="5"/>
  <c r="G2257" i="5"/>
  <c r="M1923" i="5"/>
  <c r="M97" i="8" s="1"/>
  <c r="Q449" i="5"/>
  <c r="Q1927" i="5" s="1"/>
  <c r="I1927" i="5" s="1"/>
  <c r="M2224" i="5"/>
  <c r="M238" i="8" s="1"/>
  <c r="M2411" i="5"/>
  <c r="M315" i="8" s="1"/>
  <c r="P2348" i="5"/>
  <c r="P2345" i="5" s="1"/>
  <c r="N2107" i="5"/>
  <c r="N185" i="8" s="1"/>
  <c r="Q453" i="5"/>
  <c r="Q1928" i="5" s="1"/>
  <c r="I1928" i="5" s="1"/>
  <c r="H1735" i="5"/>
  <c r="Q1579" i="5"/>
  <c r="Q2464" i="5" s="1"/>
  <c r="P2435" i="5"/>
  <c r="Q1040" i="5"/>
  <c r="Q2225" i="5" s="1"/>
  <c r="I2225" i="5" s="1"/>
  <c r="Q1119" i="5"/>
  <c r="Q2261" i="5" s="1"/>
  <c r="I2261" i="5" s="1"/>
  <c r="Q635" i="5"/>
  <c r="Q2020" i="5" s="1"/>
  <c r="I2020" i="5" s="1"/>
  <c r="M1895" i="5"/>
  <c r="M86" i="8" s="1"/>
  <c r="Q803" i="5"/>
  <c r="Q2108" i="5" s="1"/>
  <c r="Q1268" i="5"/>
  <c r="Q2329" i="5" s="1"/>
  <c r="Q635" i="8" s="1"/>
  <c r="P1950" i="5"/>
  <c r="P109" i="8" s="1"/>
  <c r="P1895" i="5"/>
  <c r="P86" i="8" s="1"/>
  <c r="Q197" i="5"/>
  <c r="Q1808" i="5" s="1"/>
  <c r="I1808" i="5" s="1"/>
  <c r="P2224" i="5"/>
  <c r="P238" i="8" s="1"/>
  <c r="M2269" i="5"/>
  <c r="M255" i="8" s="1"/>
  <c r="P2137" i="5"/>
  <c r="P199" i="8" s="1"/>
  <c r="Q610" i="5"/>
  <c r="Q2007" i="5" s="1"/>
  <c r="I2007" i="5" s="1"/>
  <c r="N1895" i="5"/>
  <c r="N86" i="8" s="1"/>
  <c r="N2499" i="5"/>
  <c r="N347" i="8" s="1"/>
  <c r="P2239" i="5"/>
  <c r="P243" i="8" s="1"/>
  <c r="Q1638" i="5"/>
  <c r="Q2491" i="5" s="1"/>
  <c r="I2491" i="5" s="1"/>
  <c r="G2040" i="5"/>
  <c r="P2403" i="5"/>
  <c r="P312" i="8" s="1"/>
  <c r="N2435" i="5"/>
  <c r="O1923" i="5"/>
  <c r="O97" i="8" s="1"/>
  <c r="H1951" i="5"/>
  <c r="Q1630" i="5"/>
  <c r="Q2489" i="5" s="1"/>
  <c r="I2489" i="5" s="1"/>
  <c r="Q500" i="5"/>
  <c r="Q1953" i="5" s="1"/>
  <c r="W2390" i="5"/>
  <c r="X2390" i="5" s="1"/>
  <c r="Q559" i="5"/>
  <c r="Q1983" i="5" s="1"/>
  <c r="O2269" i="5"/>
  <c r="O255" i="8" s="1"/>
  <c r="Q2404" i="5"/>
  <c r="Q350" i="5"/>
  <c r="Q1886" i="5" s="1"/>
  <c r="Q1626" i="5"/>
  <c r="Q2488" i="5" s="1"/>
  <c r="Q1128" i="5"/>
  <c r="Q2264" i="5" s="1"/>
  <c r="I2264" i="5" s="1"/>
  <c r="Q813" i="5"/>
  <c r="Q2112" i="5" s="1"/>
  <c r="Q441" i="5"/>
  <c r="Q1924" i="5" s="1"/>
  <c r="N2314" i="5"/>
  <c r="N273" i="8" s="1"/>
  <c r="Q1574" i="5"/>
  <c r="Q2462" i="5" s="1"/>
  <c r="I2462" i="5" s="1"/>
  <c r="M2254" i="5"/>
  <c r="M249" i="8" s="1"/>
  <c r="P2111" i="5"/>
  <c r="P187" i="8" s="1"/>
  <c r="Q437" i="5"/>
  <c r="Q1922" i="5" s="1"/>
  <c r="I1922" i="5" s="1"/>
  <c r="Q1001" i="5"/>
  <c r="Q2208" i="5" s="1"/>
  <c r="I2208" i="5" s="1"/>
  <c r="Q494" i="5"/>
  <c r="Q1951" i="5" s="1"/>
  <c r="Q1063" i="5"/>
  <c r="Q2237" i="5" s="1"/>
  <c r="I2237" i="5" s="1"/>
  <c r="O2421" i="5"/>
  <c r="O318" i="8" s="1"/>
  <c r="Q419" i="5"/>
  <c r="Q1917" i="5" s="1"/>
  <c r="M2492" i="5"/>
  <c r="M345" i="8" s="1"/>
  <c r="Q1234" i="5"/>
  <c r="Q2313" i="5" s="1"/>
  <c r="I2313" i="5" s="1"/>
  <c r="Q1488" i="5"/>
  <c r="Q2422" i="5" s="1"/>
  <c r="Q357" i="5"/>
  <c r="Q1888" i="5" s="1"/>
  <c r="I1888" i="5" s="1"/>
  <c r="Q1047" i="5"/>
  <c r="Q2228" i="5" s="1"/>
  <c r="M2465" i="5"/>
  <c r="M336" i="8" s="1"/>
  <c r="Q865" i="5"/>
  <c r="Q2138" i="5" s="1"/>
  <c r="Q2137" i="5" s="1"/>
  <c r="Q199" i="8" s="1"/>
  <c r="Q312" i="5"/>
  <c r="Q1866" i="5" s="1"/>
  <c r="I1866" i="5" s="1"/>
  <c r="Q1492" i="5"/>
  <c r="Q2423" i="5" s="1"/>
  <c r="I2423" i="5" s="1"/>
  <c r="Q1102" i="5"/>
  <c r="Q2255" i="5" s="1"/>
  <c r="I2255" i="5" s="1"/>
  <c r="Q851" i="5"/>
  <c r="Q2131" i="5" s="1"/>
  <c r="Q1463" i="5"/>
  <c r="Q2410" i="5" s="1"/>
  <c r="I2410" i="5" s="1"/>
  <c r="Q1133" i="5"/>
  <c r="Q2265" i="5" s="1"/>
  <c r="Q361" i="5"/>
  <c r="Q1890" i="5" s="1"/>
  <c r="Q373" i="5"/>
  <c r="Q1896" i="5" s="1"/>
  <c r="Q744" i="5"/>
  <c r="Q2078" i="5" s="1"/>
  <c r="O1885" i="5"/>
  <c r="O83" i="8" s="1"/>
  <c r="Q267" i="5"/>
  <c r="Q1844" i="5" s="1"/>
  <c r="I1844" i="5" s="1"/>
  <c r="N2495" i="5"/>
  <c r="N346" i="8" s="1"/>
  <c r="H1890" i="5"/>
  <c r="M2379" i="5"/>
  <c r="M302" i="8" s="1"/>
  <c r="Q699" i="5"/>
  <c r="Q2054" i="5" s="1"/>
  <c r="I2054" i="5" s="1"/>
  <c r="Q423" i="5"/>
  <c r="Q1918" i="5" s="1"/>
  <c r="Q391" i="5"/>
  <c r="Q1903" i="5" s="1"/>
  <c r="I1903" i="5" s="1"/>
  <c r="M2403" i="5"/>
  <c r="M312" i="8" s="1"/>
  <c r="Q1240" i="5"/>
  <c r="Q2315" i="5" s="1"/>
  <c r="I2315" i="5" s="1"/>
  <c r="O2242" i="5"/>
  <c r="O244" i="8" s="1"/>
  <c r="O2143" i="5"/>
  <c r="O201" i="8" s="1"/>
  <c r="Q1354" i="5"/>
  <c r="Q2364" i="5" s="1"/>
  <c r="I2364" i="5" s="1"/>
  <c r="Q1332" i="5"/>
  <c r="Q2355" i="5" s="1"/>
  <c r="O1803" i="5"/>
  <c r="O50" i="8" s="1"/>
  <c r="Q497" i="5"/>
  <c r="Q1952" i="5" s="1"/>
  <c r="I1952" i="5" s="1"/>
  <c r="Q858" i="5"/>
  <c r="Q2135" i="5" s="1"/>
  <c r="I2135" i="5" s="1"/>
  <c r="Q1520" i="5"/>
  <c r="Q2438" i="5" s="1"/>
  <c r="I2438" i="5" s="1"/>
  <c r="AA2438" i="5" s="1"/>
  <c r="Q1114" i="5"/>
  <c r="Q2259" i="5" s="1"/>
  <c r="Q2258" i="5" s="1"/>
  <c r="Q251" i="8" s="1"/>
  <c r="Q1079" i="5"/>
  <c r="Q2243" i="5" s="1"/>
  <c r="Q483" i="5"/>
  <c r="Q1945" i="5" s="1"/>
  <c r="E2339" i="5"/>
  <c r="E285" i="8" s="1"/>
  <c r="M2338" i="5"/>
  <c r="E2336" i="5" s="1"/>
  <c r="E283" i="8" s="1"/>
  <c r="E2122" i="5"/>
  <c r="M2121" i="5"/>
  <c r="M192" i="8" s="1"/>
  <c r="E2488" i="5"/>
  <c r="M2487" i="5"/>
  <c r="H2228" i="5"/>
  <c r="P2227" i="5"/>
  <c r="P239" i="8" s="1"/>
  <c r="D1723" i="5"/>
  <c r="W1723" i="5"/>
  <c r="L1722" i="5"/>
  <c r="L14" i="8" s="1"/>
  <c r="D1804" i="5"/>
  <c r="W1804" i="5"/>
  <c r="L1803" i="5"/>
  <c r="L50" i="8" s="1"/>
  <c r="I2466" i="5"/>
  <c r="I1972" i="5"/>
  <c r="Q1971" i="5"/>
  <c r="Q119" i="8" s="1"/>
  <c r="N741" i="5"/>
  <c r="N739" i="5" s="1"/>
  <c r="N2075" i="5" s="1"/>
  <c r="I741" i="5"/>
  <c r="P741" i="5" s="1"/>
  <c r="P739" i="5" s="1"/>
  <c r="P2075" i="5" s="1"/>
  <c r="H741" i="5"/>
  <c r="O741" i="5" s="1"/>
  <c r="O739" i="5" s="1"/>
  <c r="O2075" i="5" s="1"/>
  <c r="D2159" i="5"/>
  <c r="W2159" i="5"/>
  <c r="X2159" i="5" s="1"/>
  <c r="W2330" i="5"/>
  <c r="G2363" i="5"/>
  <c r="O2362" i="5"/>
  <c r="O296" i="8" s="1"/>
  <c r="F2158" i="5"/>
  <c r="N2157" i="5"/>
  <c r="N208" i="8" s="1"/>
  <c r="E2386" i="5"/>
  <c r="M2385" i="5"/>
  <c r="M305" i="8" s="1"/>
  <c r="D2144" i="5"/>
  <c r="W2144" i="5"/>
  <c r="L2143" i="5"/>
  <c r="L201" i="8" s="1"/>
  <c r="D2389" i="5"/>
  <c r="W2389" i="5"/>
  <c r="L2388" i="5"/>
  <c r="L306" i="8" s="1"/>
  <c r="E2040" i="5"/>
  <c r="M2039" i="5"/>
  <c r="M153" i="8" s="1"/>
  <c r="H2394" i="5"/>
  <c r="P2393" i="5"/>
  <c r="P307" i="8" s="1"/>
  <c r="H1847" i="5"/>
  <c r="F2355" i="5"/>
  <c r="N2354" i="5"/>
  <c r="D1918" i="5"/>
  <c r="W1918" i="5"/>
  <c r="E1827" i="5"/>
  <c r="D1953" i="5"/>
  <c r="W1953" i="5"/>
  <c r="H2261" i="5"/>
  <c r="P2260" i="5"/>
  <c r="P252" i="8" s="1"/>
  <c r="I2177" i="5"/>
  <c r="Q2176" i="5"/>
  <c r="Q217" i="8" s="1"/>
  <c r="Q422" i="8" s="1"/>
  <c r="Q1789" i="5"/>
  <c r="X1789" i="5" s="1"/>
  <c r="V161" i="5"/>
  <c r="G1823" i="5"/>
  <c r="H2035" i="5"/>
  <c r="P2034" i="5"/>
  <c r="H1793" i="5"/>
  <c r="D2050" i="5"/>
  <c r="L2049" i="5"/>
  <c r="L158" i="8" s="1"/>
  <c r="W2050" i="5"/>
  <c r="X2050" i="5" s="1"/>
  <c r="D2131" i="5"/>
  <c r="W2131" i="5"/>
  <c r="M2371" i="5"/>
  <c r="H1965" i="5"/>
  <c r="P1964" i="5"/>
  <c r="P116" i="8" s="1"/>
  <c r="D2004" i="5"/>
  <c r="W2004" i="5"/>
  <c r="X2004" i="5" s="1"/>
  <c r="I1937" i="5"/>
  <c r="Q1936" i="5"/>
  <c r="Q102" i="8" s="1"/>
  <c r="D2149" i="5"/>
  <c r="L2148" i="5"/>
  <c r="L204" i="8" s="1"/>
  <c r="F1987" i="5"/>
  <c r="N1986" i="5"/>
  <c r="N127" i="8" s="1"/>
  <c r="G2199" i="5"/>
  <c r="G2203" i="5"/>
  <c r="O2202" i="5"/>
  <c r="O229" i="8" s="1"/>
  <c r="O1741" i="5"/>
  <c r="O23" i="8" s="1"/>
  <c r="G1742" i="5"/>
  <c r="G2404" i="5"/>
  <c r="O2403" i="5"/>
  <c r="O312" i="8" s="1"/>
  <c r="F2464" i="5"/>
  <c r="N2463" i="5"/>
  <c r="N335" i="8" s="1"/>
  <c r="E1904" i="5"/>
  <c r="E1732" i="5"/>
  <c r="D2182" i="5"/>
  <c r="W2182" i="5"/>
  <c r="X2182" i="5" s="1"/>
  <c r="G1770" i="5"/>
  <c r="I2161" i="5"/>
  <c r="Q2160" i="5"/>
  <c r="Q209" i="8" s="1"/>
  <c r="D2353" i="5"/>
  <c r="W2353" i="5"/>
  <c r="X2353" i="5" s="1"/>
  <c r="L2352" i="5"/>
  <c r="Q1154" i="5"/>
  <c r="Q2272" i="5" s="1"/>
  <c r="I2272" i="5" s="1"/>
  <c r="F2109" i="5"/>
  <c r="E1836" i="5"/>
  <c r="F2504" i="5"/>
  <c r="F349" i="8" s="1"/>
  <c r="H1886" i="5"/>
  <c r="P1885" i="5"/>
  <c r="P83" i="8" s="1"/>
  <c r="D1840" i="5"/>
  <c r="L1839" i="5"/>
  <c r="L63" i="8" s="1"/>
  <c r="W1840" i="5"/>
  <c r="X1840" i="5" s="1"/>
  <c r="E2098" i="5"/>
  <c r="D1814" i="5"/>
  <c r="W1814" i="5"/>
  <c r="X1814" i="5" s="1"/>
  <c r="L1813" i="5"/>
  <c r="L54" i="8" s="1"/>
  <c r="E2313" i="5"/>
  <c r="M2312" i="5"/>
  <c r="M272" i="8" s="1"/>
  <c r="E2112" i="5"/>
  <c r="M2111" i="5"/>
  <c r="M187" i="8" s="1"/>
  <c r="H1991" i="5"/>
  <c r="P1990" i="5"/>
  <c r="P129" i="8" s="1"/>
  <c r="Q379" i="5"/>
  <c r="Q1898" i="5" s="1"/>
  <c r="Q1319" i="5"/>
  <c r="Q2349" i="5" s="1"/>
  <c r="E2432" i="5"/>
  <c r="E322" i="8" s="1"/>
  <c r="M2426" i="5"/>
  <c r="M319" i="8" s="1"/>
  <c r="M450" i="8" s="1"/>
  <c r="E222" i="14" s="1"/>
  <c r="H1833" i="5"/>
  <c r="H2176" i="5"/>
  <c r="D2231" i="5"/>
  <c r="W2231" i="5"/>
  <c r="X2231" i="5" s="1"/>
  <c r="I2270" i="5"/>
  <c r="D1989" i="5"/>
  <c r="W1989" i="5"/>
  <c r="L1988" i="5"/>
  <c r="L128" i="8" s="1"/>
  <c r="F2493" i="5"/>
  <c r="N2492" i="5"/>
  <c r="N345" i="8" s="1"/>
  <c r="E2176" i="5"/>
  <c r="D1721" i="5"/>
  <c r="W1721" i="5"/>
  <c r="L1719" i="5"/>
  <c r="L13" i="8" s="1"/>
  <c r="E1917" i="5"/>
  <c r="M1916" i="5"/>
  <c r="M96" i="8" s="1"/>
  <c r="Q2478" i="5"/>
  <c r="Q340" i="8" s="1"/>
  <c r="I2479" i="5"/>
  <c r="P2483" i="5"/>
  <c r="P342" i="8" s="1"/>
  <c r="H2485" i="5"/>
  <c r="E2053" i="5"/>
  <c r="G1944" i="5"/>
  <c r="L1712" i="5"/>
  <c r="L541" i="8" s="1"/>
  <c r="F1954" i="5"/>
  <c r="I2357" i="5"/>
  <c r="AA2357" i="5" s="1"/>
  <c r="Q2356" i="5"/>
  <c r="G2112" i="5"/>
  <c r="O2111" i="5"/>
  <c r="O187" i="8" s="1"/>
  <c r="V13" i="5"/>
  <c r="Q12" i="5"/>
  <c r="E2264" i="5"/>
  <c r="M2263" i="5"/>
  <c r="M253" i="8" s="1"/>
  <c r="F1804" i="5"/>
  <c r="N1803" i="5"/>
  <c r="N50" i="8" s="1"/>
  <c r="F1931" i="5"/>
  <c r="N1929" i="5"/>
  <c r="N99" i="8" s="1"/>
  <c r="E1913" i="5"/>
  <c r="Q932" i="5"/>
  <c r="Q2174" i="5" s="1"/>
  <c r="H2158" i="5"/>
  <c r="P2157" i="5"/>
  <c r="P208" i="8" s="1"/>
  <c r="D2386" i="5"/>
  <c r="W2386" i="5"/>
  <c r="L2385" i="5"/>
  <c r="H2283" i="5"/>
  <c r="P2282" i="5"/>
  <c r="P260" i="8" s="1"/>
  <c r="F2040" i="5"/>
  <c r="N2039" i="5"/>
  <c r="N153" i="8" s="1"/>
  <c r="D2237" i="5"/>
  <c r="W2237" i="5"/>
  <c r="L2236" i="5"/>
  <c r="L242" i="8" s="1"/>
  <c r="F1847" i="5"/>
  <c r="G2355" i="5"/>
  <c r="O2354" i="5"/>
  <c r="D1828" i="5"/>
  <c r="L1827" i="5"/>
  <c r="L59" i="8" s="1"/>
  <c r="W1828" i="5"/>
  <c r="X1828" i="5" s="1"/>
  <c r="D1857" i="5"/>
  <c r="L1856" i="5"/>
  <c r="L68" i="8" s="1"/>
  <c r="W1857" i="5"/>
  <c r="D2177" i="5"/>
  <c r="W2177" i="5"/>
  <c r="X2177" i="5" s="1"/>
  <c r="L2176" i="5"/>
  <c r="L217" i="8" s="1"/>
  <c r="D1743" i="5"/>
  <c r="W1743" i="5"/>
  <c r="G1934" i="5"/>
  <c r="O1933" i="5"/>
  <c r="O100" i="8" s="1"/>
  <c r="O387" i="8" s="1"/>
  <c r="G84" i="14" s="1"/>
  <c r="D1794" i="5"/>
  <c r="W1794" i="5"/>
  <c r="L1793" i="5"/>
  <c r="L46" i="8" s="1"/>
  <c r="G2470" i="5"/>
  <c r="G337" i="8" s="1"/>
  <c r="E2502" i="5"/>
  <c r="E348" i="8" s="1"/>
  <c r="G2131" i="5"/>
  <c r="D2138" i="5"/>
  <c r="W2138" i="5"/>
  <c r="L2137" i="5"/>
  <c r="L199" i="8" s="1"/>
  <c r="D1727" i="5"/>
  <c r="W1727" i="5"/>
  <c r="L1726" i="5"/>
  <c r="L16" i="8" s="1"/>
  <c r="E1936" i="5"/>
  <c r="I2412" i="5"/>
  <c r="H886" i="5"/>
  <c r="N886" i="5"/>
  <c r="D1853" i="5"/>
  <c r="W1853" i="5"/>
  <c r="X1853" i="5" s="1"/>
  <c r="D1987" i="5"/>
  <c r="W1987" i="5"/>
  <c r="L1986" i="5"/>
  <c r="L127" i="8" s="1"/>
  <c r="D2288" i="5"/>
  <c r="L2287" i="5"/>
  <c r="L262" i="8" s="1"/>
  <c r="W2288" i="5"/>
  <c r="G1983" i="5"/>
  <c r="O1982" i="5"/>
  <c r="O125" i="8" s="1"/>
  <c r="E2343" i="5"/>
  <c r="E286" i="8" s="1"/>
  <c r="F2396" i="5"/>
  <c r="F309" i="8" s="1"/>
  <c r="E1927" i="5"/>
  <c r="M1926" i="5"/>
  <c r="M98" i="8" s="1"/>
  <c r="D2464" i="5"/>
  <c r="W2464" i="5"/>
  <c r="L2463" i="5"/>
  <c r="L335" i="8" s="1"/>
  <c r="E1830" i="5"/>
  <c r="F1959" i="5"/>
  <c r="N1958" i="5"/>
  <c r="N112" i="8" s="1"/>
  <c r="N390" i="8" s="1"/>
  <c r="F87" i="14" s="1"/>
  <c r="D2210" i="5"/>
  <c r="W2210" i="5"/>
  <c r="X2210" i="5" s="1"/>
  <c r="G2401" i="5"/>
  <c r="G311" i="8" s="1"/>
  <c r="G2060" i="5"/>
  <c r="H1989" i="5"/>
  <c r="P1988" i="5"/>
  <c r="P128" i="8" s="1"/>
  <c r="H2493" i="5"/>
  <c r="P2492" i="5"/>
  <c r="P345" i="8" s="1"/>
  <c r="F1998" i="5"/>
  <c r="N1997" i="5"/>
  <c r="N133" i="8" s="1"/>
  <c r="G2380" i="5"/>
  <c r="O2379" i="5"/>
  <c r="O302" i="8" s="1"/>
  <c r="F1813" i="5"/>
  <c r="N1812" i="5"/>
  <c r="N53" i="8" s="1"/>
  <c r="N376" i="8" s="1"/>
  <c r="F56" i="14" s="1"/>
  <c r="H2448" i="5"/>
  <c r="H328" i="8" s="1"/>
  <c r="F2112" i="5"/>
  <c r="N2111" i="5"/>
  <c r="N187" i="8" s="1"/>
  <c r="E2280" i="5"/>
  <c r="H2430" i="5"/>
  <c r="H321" i="8" s="1"/>
  <c r="P2426" i="5"/>
  <c r="P319" i="8" s="1"/>
  <c r="P450" i="8" s="1"/>
  <c r="H222" i="14" s="1"/>
  <c r="N181" i="5"/>
  <c r="E1808" i="5"/>
  <c r="M1807" i="5"/>
  <c r="M51" i="8" s="1"/>
  <c r="F2312" i="5"/>
  <c r="F272" i="8" s="1"/>
  <c r="P1779" i="5"/>
  <c r="P41" i="8" s="1"/>
  <c r="H1780" i="5"/>
  <c r="D2221" i="5"/>
  <c r="W2221" i="5"/>
  <c r="L2220" i="5"/>
  <c r="L236" i="8" s="1"/>
  <c r="G1967" i="5"/>
  <c r="F2339" i="5"/>
  <c r="F285" i="8" s="1"/>
  <c r="N2338" i="5"/>
  <c r="F2336" i="5" s="1"/>
  <c r="F283" i="8" s="1"/>
  <c r="N2121" i="5"/>
  <c r="N192" i="8" s="1"/>
  <c r="H1971" i="5"/>
  <c r="P1970" i="5"/>
  <c r="P118" i="8" s="1"/>
  <c r="P392" i="8" s="1"/>
  <c r="H89" i="14" s="1"/>
  <c r="F1809" i="5"/>
  <c r="W1809" i="5"/>
  <c r="E2158" i="5"/>
  <c r="M2157" i="5"/>
  <c r="M208" i="8" s="1"/>
  <c r="E1847" i="5"/>
  <c r="Q1137" i="5"/>
  <c r="Q2266" i="5" s="1"/>
  <c r="I2266" i="5" s="1"/>
  <c r="F2452" i="5"/>
  <c r="F330" i="8" s="1"/>
  <c r="D2193" i="5"/>
  <c r="W2193" i="5"/>
  <c r="X2193" i="5" s="1"/>
  <c r="D2259" i="5"/>
  <c r="W2259" i="5"/>
  <c r="L2258" i="5"/>
  <c r="L251" i="8" s="1"/>
  <c r="D1921" i="5"/>
  <c r="W1921" i="5"/>
  <c r="D1965" i="5"/>
  <c r="W1965" i="5"/>
  <c r="L1964" i="5"/>
  <c r="L116" i="8" s="1"/>
  <c r="D2440" i="5"/>
  <c r="W2440" i="5"/>
  <c r="X2440" i="5" s="1"/>
  <c r="L2439" i="5"/>
  <c r="L325" i="8" s="1"/>
  <c r="D2200" i="5"/>
  <c r="W2200" i="5"/>
  <c r="L2199" i="5"/>
  <c r="L228" i="8" s="1"/>
  <c r="D2257" i="5"/>
  <c r="W2257" i="5"/>
  <c r="L2256" i="5"/>
  <c r="L250" i="8" s="1"/>
  <c r="G1911" i="5"/>
  <c r="O1910" i="5"/>
  <c r="O92" i="8" s="1"/>
  <c r="O385" i="8" s="1"/>
  <c r="G82" i="14" s="1"/>
  <c r="E2360" i="5"/>
  <c r="M2359" i="5"/>
  <c r="D1831" i="5"/>
  <c r="L1830" i="5"/>
  <c r="L60" i="8" s="1"/>
  <c r="W1831" i="5"/>
  <c r="X1831" i="5" s="1"/>
  <c r="G1988" i="5"/>
  <c r="H1813" i="5"/>
  <c r="P1812" i="5"/>
  <c r="P53" i="8" s="1"/>
  <c r="P376" i="8" s="1"/>
  <c r="H56" i="14" s="1"/>
  <c r="D2313" i="5"/>
  <c r="L2312" i="5"/>
  <c r="L272" i="8" s="1"/>
  <c r="W2313" i="5"/>
  <c r="D2422" i="5"/>
  <c r="W2422" i="5"/>
  <c r="L2421" i="5"/>
  <c r="L318" i="8" s="1"/>
  <c r="E2478" i="5"/>
  <c r="E340" i="8" s="1"/>
  <c r="F1975" i="5"/>
  <c r="N1974" i="5"/>
  <c r="N120" i="8" s="1"/>
  <c r="N393" i="8" s="1"/>
  <c r="F90" i="14" s="1"/>
  <c r="F1946" i="5"/>
  <c r="P2269" i="5"/>
  <c r="P255" i="8" s="1"/>
  <c r="F1962" i="5"/>
  <c r="D1968" i="5"/>
  <c r="W1968" i="5"/>
  <c r="X1968" i="5" s="1"/>
  <c r="L1967" i="5"/>
  <c r="L117" i="8" s="1"/>
  <c r="F2250" i="5"/>
  <c r="D2340" i="5"/>
  <c r="W2340" i="5"/>
  <c r="X2340" i="5" s="1"/>
  <c r="L2339" i="5"/>
  <c r="Q831" i="5"/>
  <c r="Q2122" i="5" s="1"/>
  <c r="H2488" i="5"/>
  <c r="P2487" i="5"/>
  <c r="H2457" i="5"/>
  <c r="P2456" i="5"/>
  <c r="P332" i="8" s="1"/>
  <c r="I2318" i="5"/>
  <c r="AA2318" i="5" s="1"/>
  <c r="D2342" i="5"/>
  <c r="W2342" i="5"/>
  <c r="X2342" i="5" s="1"/>
  <c r="Q840" i="5"/>
  <c r="Q2124" i="5" s="1"/>
  <c r="I2124" i="5" s="1"/>
  <c r="D2243" i="5"/>
  <c r="L2242" i="5"/>
  <c r="L244" i="8" s="1"/>
  <c r="W2243" i="5"/>
  <c r="G1985" i="5"/>
  <c r="O1984" i="5"/>
  <c r="O126" i="8" s="1"/>
  <c r="G2386" i="5"/>
  <c r="O2385" i="5"/>
  <c r="O305" i="8" s="1"/>
  <c r="F2144" i="5"/>
  <c r="N2143" i="5"/>
  <c r="N201" i="8" s="1"/>
  <c r="H1739" i="5"/>
  <c r="E2237" i="5"/>
  <c r="M2236" i="5"/>
  <c r="M242" i="8" s="1"/>
  <c r="G2394" i="5"/>
  <c r="O2393" i="5"/>
  <c r="O307" i="8" s="1"/>
  <c r="D1848" i="5"/>
  <c r="W1848" i="5"/>
  <c r="X1848" i="5" s="1"/>
  <c r="L1847" i="5"/>
  <c r="L66" i="8" s="1"/>
  <c r="F1924" i="5"/>
  <c r="N1923" i="5"/>
  <c r="N97" i="8" s="1"/>
  <c r="D2181" i="5"/>
  <c r="W2181" i="5"/>
  <c r="X2181" i="5" s="1"/>
  <c r="L2180" i="5"/>
  <c r="L220" i="8" s="1"/>
  <c r="D2053" i="5"/>
  <c r="W2053" i="5"/>
  <c r="H2496" i="5"/>
  <c r="P2495" i="5"/>
  <c r="P346" i="8" s="1"/>
  <c r="H2160" i="5"/>
  <c r="E2023" i="5"/>
  <c r="M2022" i="5"/>
  <c r="M143" i="8" s="1"/>
  <c r="M400" i="8" s="1"/>
  <c r="E114" i="14" s="1"/>
  <c r="H2382" i="5"/>
  <c r="H303" i="8" s="1"/>
  <c r="F2035" i="5"/>
  <c r="N2034" i="5"/>
  <c r="G2259" i="5"/>
  <c r="O2258" i="5"/>
  <c r="O251" i="8" s="1"/>
  <c r="G2117" i="5"/>
  <c r="I2500" i="5"/>
  <c r="AA2500" i="5" s="1"/>
  <c r="D2503" i="5"/>
  <c r="W2503" i="5"/>
  <c r="X2503" i="5" s="1"/>
  <c r="L2502" i="5"/>
  <c r="L348" i="8" s="1"/>
  <c r="G1767" i="5"/>
  <c r="M2435" i="5"/>
  <c r="E1727" i="5"/>
  <c r="M1726" i="5"/>
  <c r="M16" i="8" s="1"/>
  <c r="G1936" i="5"/>
  <c r="N2411" i="5"/>
  <c r="N315" i="8" s="1"/>
  <c r="D1822" i="5"/>
  <c r="W1822" i="5"/>
  <c r="X1822" i="5" s="1"/>
  <c r="E2408" i="5"/>
  <c r="M2407" i="5"/>
  <c r="M314" i="8" s="1"/>
  <c r="D2203" i="5"/>
  <c r="W2203" i="5"/>
  <c r="L2202" i="5"/>
  <c r="L229" i="8" s="1"/>
  <c r="V72" i="5"/>
  <c r="Q71" i="5"/>
  <c r="Q969" i="5"/>
  <c r="Q2196" i="5" s="1"/>
  <c r="F2404" i="5"/>
  <c r="N2403" i="5"/>
  <c r="N312" i="8" s="1"/>
  <c r="F2343" i="5"/>
  <c r="F286" i="8" s="1"/>
  <c r="E2396" i="5"/>
  <c r="E309" i="8" s="1"/>
  <c r="F1927" i="5"/>
  <c r="N1926" i="5"/>
  <c r="N98" i="8" s="1"/>
  <c r="Q1342" i="5"/>
  <c r="Q2360" i="5" s="1"/>
  <c r="G1830" i="5"/>
  <c r="I1905" i="5"/>
  <c r="Q1904" i="5"/>
  <c r="Q90" i="8" s="1"/>
  <c r="H1770" i="5"/>
  <c r="E2368" i="5"/>
  <c r="E299" i="8" s="1"/>
  <c r="V46" i="5"/>
  <c r="Q45" i="5"/>
  <c r="V45" i="5" s="1"/>
  <c r="H1967" i="5"/>
  <c r="D2217" i="5"/>
  <c r="L2216" i="5"/>
  <c r="L235" i="8" s="1"/>
  <c r="W2217" i="5"/>
  <c r="Q1562" i="5"/>
  <c r="Q2457" i="5" s="1"/>
  <c r="I2211" i="5"/>
  <c r="Q1349" i="5"/>
  <c r="Q2363" i="5" s="1"/>
  <c r="H2386" i="5"/>
  <c r="P2385" i="5"/>
  <c r="P305" i="8" s="1"/>
  <c r="D2283" i="5"/>
  <c r="L2282" i="5"/>
  <c r="L260" i="8" s="1"/>
  <c r="W2283" i="5"/>
  <c r="G1739" i="5"/>
  <c r="H2180" i="5"/>
  <c r="P2179" i="5"/>
  <c r="P219" i="8" s="1"/>
  <c r="P423" i="8" s="1"/>
  <c r="H177" i="14" s="1"/>
  <c r="F2260" i="5"/>
  <c r="Q94" i="5"/>
  <c r="V95" i="5"/>
  <c r="L2160" i="5"/>
  <c r="L209" i="8" s="1"/>
  <c r="D2162" i="5"/>
  <c r="W2162" i="5"/>
  <c r="X2162" i="5" s="1"/>
  <c r="G1819" i="5"/>
  <c r="I2118" i="5"/>
  <c r="Q2117" i="5"/>
  <c r="Q190" i="8" s="1"/>
  <c r="F2502" i="5"/>
  <c r="F348" i="8" s="1"/>
  <c r="V116" i="5"/>
  <c r="Q115" i="5"/>
  <c r="D1945" i="5"/>
  <c r="L1944" i="5"/>
  <c r="L106" i="8" s="1"/>
  <c r="W1945" i="5"/>
  <c r="D2207" i="5"/>
  <c r="W2207" i="5"/>
  <c r="L2206" i="5"/>
  <c r="L231" i="8" s="1"/>
  <c r="D2408" i="5"/>
  <c r="L2407" i="5"/>
  <c r="L314" i="8" s="1"/>
  <c r="W2408" i="5"/>
  <c r="E2461" i="5"/>
  <c r="E334" i="8" s="1"/>
  <c r="H2396" i="5"/>
  <c r="H309" i="8" s="1"/>
  <c r="H1959" i="5"/>
  <c r="P1958" i="5"/>
  <c r="P112" i="8" s="1"/>
  <c r="P390" i="8" s="1"/>
  <c r="H87" i="14" s="1"/>
  <c r="I12" i="3"/>
  <c r="H69" i="5"/>
  <c r="O69" i="5" s="1"/>
  <c r="O68" i="5" s="1"/>
  <c r="O1740" i="5" s="1"/>
  <c r="G1740" i="5" s="1"/>
  <c r="H54" i="5"/>
  <c r="O54" i="5" s="1"/>
  <c r="O53" i="5" s="1"/>
  <c r="O1733" i="5" s="1"/>
  <c r="D1901" i="5"/>
  <c r="W1901" i="5"/>
  <c r="L1900" i="5"/>
  <c r="L88" i="8" s="1"/>
  <c r="D1894" i="5"/>
  <c r="L1893" i="5"/>
  <c r="L85" i="8" s="1"/>
  <c r="W1894" i="5"/>
  <c r="X1894" i="5" s="1"/>
  <c r="I2369" i="5"/>
  <c r="Z2369" i="5" s="1"/>
  <c r="Q2368" i="5"/>
  <c r="G2352" i="5"/>
  <c r="G291" i="8" s="1"/>
  <c r="D1761" i="5"/>
  <c r="W1761" i="5"/>
  <c r="L1760" i="5"/>
  <c r="L33" i="8" s="1"/>
  <c r="D2493" i="5"/>
  <c r="W2493" i="5"/>
  <c r="L2492" i="5"/>
  <c r="L345" i="8" s="1"/>
  <c r="G1997" i="5"/>
  <c r="O1996" i="5"/>
  <c r="O132" i="8" s="1"/>
  <c r="O397" i="8" s="1"/>
  <c r="G111" i="14" s="1"/>
  <c r="G1719" i="5"/>
  <c r="I2433" i="5"/>
  <c r="Q2432" i="5"/>
  <c r="Q322" i="8" s="1"/>
  <c r="F2430" i="5"/>
  <c r="F321" i="8" s="1"/>
  <c r="W2430" i="5"/>
  <c r="N2426" i="5"/>
  <c r="N319" i="8" s="1"/>
  <c r="N450" i="8" s="1"/>
  <c r="F222" i="14" s="1"/>
  <c r="I1798" i="5"/>
  <c r="G2459" i="5"/>
  <c r="G333" i="8" s="1"/>
  <c r="Q720" i="5"/>
  <c r="Q2065" i="5" s="1"/>
  <c r="H2264" i="5"/>
  <c r="P2263" i="5"/>
  <c r="P253" i="8" s="1"/>
  <c r="V35" i="5"/>
  <c r="Q33" i="5"/>
  <c r="D2466" i="5"/>
  <c r="W2466" i="5"/>
  <c r="X2466" i="5" s="1"/>
  <c r="D1972" i="5"/>
  <c r="W1972" i="5"/>
  <c r="X1972" i="5" s="1"/>
  <c r="L1971" i="5"/>
  <c r="L119" i="8" s="1"/>
  <c r="G1931" i="5"/>
  <c r="O1929" i="5"/>
  <c r="O99" i="8" s="1"/>
  <c r="F1913" i="5"/>
  <c r="E2363" i="5"/>
  <c r="M2362" i="5"/>
  <c r="M296" i="8" s="1"/>
  <c r="G2255" i="5"/>
  <c r="O2254" i="5"/>
  <c r="O249" i="8" s="1"/>
  <c r="G2141" i="5"/>
  <c r="O2140" i="5"/>
  <c r="O200" i="8" s="1"/>
  <c r="D2394" i="5"/>
  <c r="L2393" i="5"/>
  <c r="L307" i="8" s="1"/>
  <c r="W2394" i="5"/>
  <c r="I2453" i="5"/>
  <c r="Q2452" i="5"/>
  <c r="E2180" i="5"/>
  <c r="M2179" i="5"/>
  <c r="M219" i="8" s="1"/>
  <c r="M423" i="8" s="1"/>
  <c r="E177" i="14" s="1"/>
  <c r="D2319" i="5"/>
  <c r="W2319" i="5"/>
  <c r="X2319" i="5" s="1"/>
  <c r="F1934" i="5"/>
  <c r="N1933" i="5"/>
  <c r="N100" i="8" s="1"/>
  <c r="N387" i="8" s="1"/>
  <c r="F84" i="14" s="1"/>
  <c r="I2186" i="5"/>
  <c r="Q2183" i="5"/>
  <c r="Q221" i="8" s="1"/>
  <c r="Q424" i="8" s="1"/>
  <c r="D2125" i="5"/>
  <c r="W2125" i="5"/>
  <c r="X2125" i="5" s="1"/>
  <c r="D2240" i="5"/>
  <c r="W2240" i="5"/>
  <c r="L2239" i="5"/>
  <c r="L243" i="8" s="1"/>
  <c r="N2137" i="5"/>
  <c r="N199" i="8" s="1"/>
  <c r="F2138" i="5"/>
  <c r="I2004" i="5"/>
  <c r="D1937" i="5"/>
  <c r="W1937" i="5"/>
  <c r="X1937" i="5" s="1"/>
  <c r="L1936" i="5"/>
  <c r="L102" i="8" s="1"/>
  <c r="V127" i="5"/>
  <c r="Q126" i="5"/>
  <c r="D2437" i="5"/>
  <c r="W2437" i="5"/>
  <c r="X2437" i="5" s="1"/>
  <c r="H2207" i="5"/>
  <c r="P2206" i="5"/>
  <c r="P231" i="8" s="1"/>
  <c r="E1742" i="5"/>
  <c r="M1741" i="5"/>
  <c r="M23" i="8" s="1"/>
  <c r="F2257" i="5"/>
  <c r="N2256" i="5"/>
  <c r="N250" i="8" s="1"/>
  <c r="H2462" i="5"/>
  <c r="P2461" i="5"/>
  <c r="P334" i="8" s="1"/>
  <c r="D2397" i="5"/>
  <c r="W2397" i="5"/>
  <c r="X2397" i="5" s="1"/>
  <c r="L2396" i="5"/>
  <c r="H1927" i="5"/>
  <c r="P1926" i="5"/>
  <c r="P98" i="8" s="1"/>
  <c r="D1922" i="5"/>
  <c r="W1922" i="5"/>
  <c r="D1903" i="5"/>
  <c r="L1902" i="5"/>
  <c r="L89" i="8" s="1"/>
  <c r="W1903" i="5"/>
  <c r="E2183" i="5"/>
  <c r="I2353" i="5"/>
  <c r="Q2352" i="5"/>
  <c r="E1760" i="5"/>
  <c r="E1988" i="5"/>
  <c r="H2191" i="5"/>
  <c r="P2190" i="5"/>
  <c r="P224" i="8" s="1"/>
  <c r="P425" i="8" s="1"/>
  <c r="H179" i="14" s="1"/>
  <c r="E2356" i="5"/>
  <c r="E293" i="8" s="1"/>
  <c r="F2448" i="5"/>
  <c r="F328" i="8" s="1"/>
  <c r="D1888" i="5"/>
  <c r="W1888" i="5"/>
  <c r="G2418" i="5"/>
  <c r="G317" i="8" s="1"/>
  <c r="D2225" i="5"/>
  <c r="L2224" i="5"/>
  <c r="L238" i="8" s="1"/>
  <c r="W2225" i="5"/>
  <c r="D2208" i="5"/>
  <c r="W2208" i="5"/>
  <c r="E1719" i="5"/>
  <c r="E2221" i="5"/>
  <c r="M2220" i="5"/>
  <c r="M236" i="8" s="1"/>
  <c r="D1898" i="5"/>
  <c r="W1898" i="5"/>
  <c r="D2265" i="5"/>
  <c r="W2265" i="5"/>
  <c r="F1917" i="5"/>
  <c r="N1916" i="5"/>
  <c r="N96" i="8" s="1"/>
  <c r="D1952" i="5"/>
  <c r="W1952" i="5"/>
  <c r="G2280" i="5"/>
  <c r="G2483" i="5"/>
  <c r="G342" i="8" s="1"/>
  <c r="E2399" i="5"/>
  <c r="E310" i="8" s="1"/>
  <c r="H1908" i="5"/>
  <c r="I1947" i="5"/>
  <c r="Q1946" i="5"/>
  <c r="Q107" i="8" s="1"/>
  <c r="G1939" i="5"/>
  <c r="G1962" i="5"/>
  <c r="G1815" i="5"/>
  <c r="F1967" i="5"/>
  <c r="G2250" i="5"/>
  <c r="Q1766" i="5"/>
  <c r="V111" i="5"/>
  <c r="Q574" i="5"/>
  <c r="Q1989" i="5" s="1"/>
  <c r="D1837" i="5"/>
  <c r="W1837" i="5"/>
  <c r="X1837" i="5" s="1"/>
  <c r="L1836" i="5"/>
  <c r="L62" i="8" s="1"/>
  <c r="D1740" i="5"/>
  <c r="E1991" i="5"/>
  <c r="M1990" i="5"/>
  <c r="M129" i="8" s="1"/>
  <c r="H2432" i="5"/>
  <c r="H322" i="8" s="1"/>
  <c r="G1833" i="5"/>
  <c r="I2281" i="5"/>
  <c r="Q2280" i="5"/>
  <c r="Q259" i="8" s="1"/>
  <c r="H2399" i="5"/>
  <c r="H310" i="8" s="1"/>
  <c r="F1908" i="5"/>
  <c r="E1962" i="5"/>
  <c r="H2020" i="5"/>
  <c r="I2024" i="5"/>
  <c r="I2036" i="5"/>
  <c r="Q2035" i="5"/>
  <c r="Q151" i="8" s="1"/>
  <c r="H2183" i="5"/>
  <c r="V11" i="5"/>
  <c r="Q9" i="5"/>
  <c r="D2357" i="5"/>
  <c r="W2357" i="5"/>
  <c r="X2357" i="5" s="1"/>
  <c r="L2356" i="5"/>
  <c r="D1713" i="5"/>
  <c r="W1713" i="5"/>
  <c r="E1908" i="5"/>
  <c r="Q1667" i="5"/>
  <c r="Q2501" i="5" s="1"/>
  <c r="I2501" i="5" s="1"/>
  <c r="AA2501" i="5" s="1"/>
  <c r="G2217" i="5"/>
  <c r="O2216" i="5"/>
  <c r="O235" i="8" s="1"/>
  <c r="E2457" i="5"/>
  <c r="M2456" i="5"/>
  <c r="M332" i="8" s="1"/>
  <c r="D1943" i="5"/>
  <c r="W1943" i="5"/>
  <c r="L1942" i="5"/>
  <c r="L105" i="8" s="1"/>
  <c r="G1971" i="5"/>
  <c r="O1970" i="5"/>
  <c r="O118" i="8" s="1"/>
  <c r="O392" i="8" s="1"/>
  <c r="G89" i="14" s="1"/>
  <c r="D2276" i="5"/>
  <c r="W2276" i="5"/>
  <c r="X2276" i="5" s="1"/>
  <c r="H2243" i="5"/>
  <c r="P2242" i="5"/>
  <c r="P244" i="8" s="1"/>
  <c r="D2446" i="5"/>
  <c r="W2446" i="5"/>
  <c r="L2445" i="5"/>
  <c r="L327" i="8" s="1"/>
  <c r="H2255" i="5"/>
  <c r="P2254" i="5"/>
  <c r="P249" i="8" s="1"/>
  <c r="F2283" i="5"/>
  <c r="N2282" i="5"/>
  <c r="N260" i="8" s="1"/>
  <c r="H2141" i="5"/>
  <c r="P2140" i="5"/>
  <c r="P200" i="8" s="1"/>
  <c r="H2355" i="5"/>
  <c r="P2354" i="5"/>
  <c r="G2180" i="5"/>
  <c r="O2179" i="5"/>
  <c r="O219" i="8" s="1"/>
  <c r="O423" i="8" s="1"/>
  <c r="G177" i="14" s="1"/>
  <c r="I1828" i="5"/>
  <c r="Q1827" i="5"/>
  <c r="Q59" i="8" s="1"/>
  <c r="D2261" i="5"/>
  <c r="W2261" i="5"/>
  <c r="L2260" i="5"/>
  <c r="L252" i="8" s="1"/>
  <c r="D1787" i="5"/>
  <c r="W1787" i="5"/>
  <c r="D1852" i="5"/>
  <c r="W1852" i="5"/>
  <c r="X1852" i="5" s="1"/>
  <c r="G2160" i="5"/>
  <c r="D2370" i="5"/>
  <c r="W2370" i="5"/>
  <c r="X2370" i="5" s="1"/>
  <c r="D1820" i="5"/>
  <c r="W1820" i="5"/>
  <c r="X1820" i="5" s="1"/>
  <c r="L1819" i="5"/>
  <c r="L56" i="8" s="1"/>
  <c r="E1823" i="5"/>
  <c r="N1767" i="5"/>
  <c r="N36" i="8" s="1"/>
  <c r="F1768" i="5"/>
  <c r="D2436" i="5"/>
  <c r="L2435" i="5"/>
  <c r="W2436" i="5"/>
  <c r="X2436" i="5" s="1"/>
  <c r="G1965" i="5"/>
  <c r="O1964" i="5"/>
  <c r="O116" i="8" s="1"/>
  <c r="E2131" i="5"/>
  <c r="G2415" i="5"/>
  <c r="G316" i="8" s="1"/>
  <c r="D2247" i="5"/>
  <c r="W2247" i="5"/>
  <c r="H1954" i="5"/>
  <c r="D2414" i="5"/>
  <c r="W2414" i="5"/>
  <c r="X2414" i="5" s="1"/>
  <c r="F2207" i="5"/>
  <c r="N2206" i="5"/>
  <c r="N231" i="8" s="1"/>
  <c r="F2408" i="5"/>
  <c r="N2407" i="5"/>
  <c r="N314" i="8" s="1"/>
  <c r="E2203" i="5"/>
  <c r="M2202" i="5"/>
  <c r="M229" i="8" s="1"/>
  <c r="D2108" i="5"/>
  <c r="L2107" i="5"/>
  <c r="L185" i="8" s="1"/>
  <c r="W2108" i="5"/>
  <c r="D2201" i="5"/>
  <c r="W2201" i="5"/>
  <c r="X2201" i="5" s="1"/>
  <c r="Q749" i="5"/>
  <c r="Q2080" i="5" s="1"/>
  <c r="D1896" i="5"/>
  <c r="L1895" i="5"/>
  <c r="L86" i="8" s="1"/>
  <c r="W1896" i="5"/>
  <c r="H1808" i="5"/>
  <c r="P1807" i="5"/>
  <c r="P51" i="8" s="1"/>
  <c r="H1836" i="5"/>
  <c r="G2504" i="5"/>
  <c r="G349" i="8" s="1"/>
  <c r="Q1482" i="5"/>
  <c r="Q2419" i="5" s="1"/>
  <c r="Q631" i="8" s="1"/>
  <c r="Q579" i="5"/>
  <c r="Q1991" i="5" s="1"/>
  <c r="F1951" i="5"/>
  <c r="N1950" i="5"/>
  <c r="N109" i="8" s="1"/>
  <c r="G2432" i="5"/>
  <c r="G322" i="8" s="1"/>
  <c r="E1833" i="5"/>
  <c r="F2399" i="5"/>
  <c r="F310" i="8" s="1"/>
  <c r="I1909" i="5"/>
  <c r="Q1908" i="5"/>
  <c r="Q91" i="8" s="1"/>
  <c r="I1940" i="5"/>
  <c r="Q1939" i="5"/>
  <c r="Q103" i="8" s="1"/>
  <c r="I1963" i="5"/>
  <c r="Q1962" i="5"/>
  <c r="Q115" i="8" s="1"/>
  <c r="E1967" i="5"/>
  <c r="H2250" i="5"/>
  <c r="H849" i="5"/>
  <c r="N849" i="5"/>
  <c r="N848" i="5" s="1"/>
  <c r="N2129" i="5" s="1"/>
  <c r="E1813" i="5"/>
  <c r="M1812" i="5"/>
  <c r="M53" i="8" s="1"/>
  <c r="M376" i="8" s="1"/>
  <c r="E56" i="14" s="1"/>
  <c r="F2356" i="5"/>
  <c r="F293" i="8" s="1"/>
  <c r="D1878" i="5"/>
  <c r="Q307" i="5"/>
  <c r="Q1864" i="5" s="1"/>
  <c r="I1864" i="5" s="1"/>
  <c r="D2455" i="5"/>
  <c r="W2455" i="5"/>
  <c r="L2454" i="5"/>
  <c r="L331" i="8" s="1"/>
  <c r="E1951" i="5"/>
  <c r="M1950" i="5"/>
  <c r="M109" i="8" s="1"/>
  <c r="F2432" i="5"/>
  <c r="F322" i="8" s="1"/>
  <c r="G2176" i="5"/>
  <c r="D2482" i="5"/>
  <c r="W2482" i="5"/>
  <c r="X2482" i="5" s="1"/>
  <c r="D2460" i="5"/>
  <c r="W2460" i="5"/>
  <c r="X2460" i="5" s="1"/>
  <c r="L2459" i="5"/>
  <c r="L333" i="8" s="1"/>
  <c r="N2263" i="5"/>
  <c r="N253" i="8" s="1"/>
  <c r="F1942" i="5"/>
  <c r="F2183" i="5"/>
  <c r="Q1913" i="5"/>
  <c r="Q94" i="8" s="1"/>
  <c r="I1914" i="5"/>
  <c r="G2039" i="5"/>
  <c r="O2038" i="5"/>
  <c r="O152" i="8" s="1"/>
  <c r="O404" i="8" s="1"/>
  <c r="G132" i="14" s="1"/>
  <c r="G1734" i="5"/>
  <c r="I1935" i="5"/>
  <c r="Q1934" i="5"/>
  <c r="Q101" i="8" s="1"/>
  <c r="H1823" i="5"/>
  <c r="F1793" i="5"/>
  <c r="P1726" i="5"/>
  <c r="P16" i="8" s="1"/>
  <c r="O2206" i="5"/>
  <c r="O231" i="8" s="1"/>
  <c r="D1735" i="5"/>
  <c r="W1735" i="5"/>
  <c r="L1734" i="5"/>
  <c r="L20" i="8" s="1"/>
  <c r="F1742" i="5"/>
  <c r="N1741" i="5"/>
  <c r="N23" i="8" s="1"/>
  <c r="Q1108" i="5"/>
  <c r="Q2257" i="5" s="1"/>
  <c r="F1904" i="5"/>
  <c r="V125" i="5"/>
  <c r="Q123" i="5"/>
  <c r="X1938" i="5"/>
  <c r="M2073" i="5"/>
  <c r="M168" i="8" s="1"/>
  <c r="H2504" i="5"/>
  <c r="H349" i="8" s="1"/>
  <c r="I1968" i="5"/>
  <c r="Q1967" i="5"/>
  <c r="Q117" i="8" s="1"/>
  <c r="I2340" i="5"/>
  <c r="Q2339" i="5"/>
  <c r="D2122" i="5"/>
  <c r="W2122" i="5"/>
  <c r="L2121" i="5"/>
  <c r="L192" i="8" s="1"/>
  <c r="F2488" i="5"/>
  <c r="N2487" i="5"/>
  <c r="F2228" i="5"/>
  <c r="N2227" i="5"/>
  <c r="N239" i="8" s="1"/>
  <c r="P1942" i="5"/>
  <c r="P105" i="8" s="1"/>
  <c r="H1943" i="5"/>
  <c r="E1804" i="5"/>
  <c r="M1803" i="5"/>
  <c r="M50" i="8" s="1"/>
  <c r="N2465" i="5"/>
  <c r="N336" i="8" s="1"/>
  <c r="D2318" i="5"/>
  <c r="W2318" i="5"/>
  <c r="X2318" i="5" s="1"/>
  <c r="D1715" i="5"/>
  <c r="W1715" i="5"/>
  <c r="D2124" i="5"/>
  <c r="W2124" i="5"/>
  <c r="F2174" i="5"/>
  <c r="N2172" i="5"/>
  <c r="N215" i="8" s="1"/>
  <c r="F2363" i="5"/>
  <c r="N2362" i="5"/>
  <c r="N296" i="8" s="1"/>
  <c r="D2158" i="5"/>
  <c r="L2157" i="5"/>
  <c r="L208" i="8" s="1"/>
  <c r="W2158" i="5"/>
  <c r="G2283" i="5"/>
  <c r="O2282" i="5"/>
  <c r="O260" i="8" s="1"/>
  <c r="Q673" i="5"/>
  <c r="Q2040" i="5" s="1"/>
  <c r="Q536" i="8" s="1"/>
  <c r="G2237" i="5"/>
  <c r="O2236" i="5"/>
  <c r="O242" i="8" s="1"/>
  <c r="I1848" i="5"/>
  <c r="Q1847" i="5"/>
  <c r="Q66" i="8" s="1"/>
  <c r="D2355" i="5"/>
  <c r="W2355" i="5"/>
  <c r="L2354" i="5"/>
  <c r="E2452" i="5"/>
  <c r="E330" i="8" s="1"/>
  <c r="I2181" i="5"/>
  <c r="Q2180" i="5"/>
  <c r="Q220" i="8" s="1"/>
  <c r="D2494" i="5"/>
  <c r="W2494" i="5"/>
  <c r="E2261" i="5"/>
  <c r="M2260" i="5"/>
  <c r="M252" i="8" s="1"/>
  <c r="Q1652" i="5"/>
  <c r="Q2496" i="5" s="1"/>
  <c r="F1890" i="5"/>
  <c r="N1889" i="5"/>
  <c r="N84" i="8" s="1"/>
  <c r="H1934" i="5"/>
  <c r="P1933" i="5"/>
  <c r="P100" i="8" s="1"/>
  <c r="P387" i="8" s="1"/>
  <c r="H84" i="14" s="1"/>
  <c r="D2500" i="5"/>
  <c r="W2500" i="5"/>
  <c r="X2500" i="5" s="1"/>
  <c r="L2499" i="5"/>
  <c r="L347" i="8" s="1"/>
  <c r="N2049" i="5"/>
  <c r="N158" i="8" s="1"/>
  <c r="E2470" i="5"/>
  <c r="E337" i="8" s="1"/>
  <c r="H2502" i="5"/>
  <c r="H348" i="8" s="1"/>
  <c r="E2239" i="5"/>
  <c r="E2443" i="5"/>
  <c r="M2442" i="5"/>
  <c r="M326" i="8" s="1"/>
  <c r="F1727" i="5"/>
  <c r="N1726" i="5"/>
  <c r="N16" i="8" s="1"/>
  <c r="G895" i="5"/>
  <c r="M895" i="5"/>
  <c r="F896" i="5"/>
  <c r="M896" i="5" s="1"/>
  <c r="G2285" i="5"/>
  <c r="I1955" i="5"/>
  <c r="Q1954" i="5"/>
  <c r="Q110" i="8" s="1"/>
  <c r="D2262" i="5"/>
  <c r="W2262" i="5"/>
  <c r="X2262" i="5" s="1"/>
  <c r="H1987" i="5"/>
  <c r="P1986" i="5"/>
  <c r="P127" i="8" s="1"/>
  <c r="M1734" i="5"/>
  <c r="M20" i="8" s="1"/>
  <c r="E1735" i="5"/>
  <c r="G2108" i="5"/>
  <c r="O2107" i="5"/>
  <c r="O185" i="8" s="1"/>
  <c r="D2196" i="5"/>
  <c r="W2196" i="5"/>
  <c r="L2195" i="5"/>
  <c r="L226" i="8" s="1"/>
  <c r="O2461" i="5"/>
  <c r="O334" i="8" s="1"/>
  <c r="G2462" i="5"/>
  <c r="G2359" i="5"/>
  <c r="G295" i="8" s="1"/>
  <c r="D1905" i="5"/>
  <c r="L1904" i="5"/>
  <c r="L90" i="8" s="1"/>
  <c r="W1905" i="5"/>
  <c r="X1905" i="5" s="1"/>
  <c r="P1900" i="5"/>
  <c r="P88" i="8" s="1"/>
  <c r="H1901" i="5"/>
  <c r="E2352" i="5"/>
  <c r="E291" i="8" s="1"/>
  <c r="D1728" i="5"/>
  <c r="W1728" i="5"/>
  <c r="H1760" i="5"/>
  <c r="D2129" i="5"/>
  <c r="L2128" i="5"/>
  <c r="H93" i="3"/>
  <c r="H102" i="3"/>
  <c r="I90" i="3"/>
  <c r="H96" i="3"/>
  <c r="H98" i="3" s="1"/>
  <c r="Q1020" i="5"/>
  <c r="Q2217" i="5" s="1"/>
  <c r="E1971" i="5"/>
  <c r="M1970" i="5"/>
  <c r="M118" i="8" s="1"/>
  <c r="M392" i="8" s="1"/>
  <c r="E89" i="14" s="1"/>
  <c r="D2363" i="5"/>
  <c r="W2363" i="5"/>
  <c r="L2362" i="5"/>
  <c r="L296" i="8" s="1"/>
  <c r="Q1179" i="5"/>
  <c r="Q2283" i="5" s="1"/>
  <c r="Q871" i="5"/>
  <c r="Q2141" i="5" s="1"/>
  <c r="Q573" i="8" s="1"/>
  <c r="D1757" i="5"/>
  <c r="W1757" i="5"/>
  <c r="L1756" i="5"/>
  <c r="L32" i="8" s="1"/>
  <c r="D2118" i="5"/>
  <c r="L2117" i="5"/>
  <c r="L190" i="8" s="1"/>
  <c r="W2118" i="5"/>
  <c r="X2118" i="5" s="1"/>
  <c r="D1768" i="5"/>
  <c r="L1767" i="5"/>
  <c r="L36" i="8" s="1"/>
  <c r="W1768" i="5"/>
  <c r="H1936" i="5"/>
  <c r="E2285" i="5"/>
  <c r="Q385" i="5"/>
  <c r="Q1901" i="5" s="1"/>
  <c r="Q1470" i="5"/>
  <c r="Q2413" i="5" s="1"/>
  <c r="I2413" i="5" s="1"/>
  <c r="I1894" i="5"/>
  <c r="Q1893" i="5"/>
  <c r="Q85" i="8" s="1"/>
  <c r="D2369" i="5"/>
  <c r="W2369" i="5"/>
  <c r="X2369" i="5" s="1"/>
  <c r="L2368" i="5"/>
  <c r="E2314" i="5"/>
  <c r="E273" i="8" s="1"/>
  <c r="F1836" i="5"/>
  <c r="E2191" i="5"/>
  <c r="D2441" i="5"/>
  <c r="W2441" i="5"/>
  <c r="X2441" i="5" s="1"/>
  <c r="F1783" i="5"/>
  <c r="G2478" i="5"/>
  <c r="G340" i="8" s="1"/>
  <c r="G1975" i="5"/>
  <c r="O1974" i="5"/>
  <c r="O120" i="8" s="1"/>
  <c r="O393" i="8" s="1"/>
  <c r="G90" i="14" s="1"/>
  <c r="D1806" i="5"/>
  <c r="W1806" i="5"/>
  <c r="X1806" i="5" s="1"/>
  <c r="D1798" i="5"/>
  <c r="W1798" i="5"/>
  <c r="X1798" i="5" s="1"/>
  <c r="L1797" i="5"/>
  <c r="L48" i="8" s="1"/>
  <c r="D2065" i="5"/>
  <c r="W2065" i="5"/>
  <c r="F1815" i="5"/>
  <c r="G2339" i="5"/>
  <c r="G285" i="8" s="1"/>
  <c r="O2338" i="5"/>
  <c r="G2336" i="5" s="1"/>
  <c r="G283" i="8" s="1"/>
  <c r="D2423" i="5"/>
  <c r="W2423" i="5"/>
  <c r="G2457" i="5"/>
  <c r="O2456" i="5"/>
  <c r="O332" i="8" s="1"/>
  <c r="G1943" i="5"/>
  <c r="O1942" i="5"/>
  <c r="O105" i="8" s="1"/>
  <c r="D2350" i="5"/>
  <c r="W2350" i="5"/>
  <c r="X2350" i="5" s="1"/>
  <c r="H1804" i="5"/>
  <c r="P1803" i="5"/>
  <c r="P50" i="8" s="1"/>
  <c r="G2317" i="5"/>
  <c r="G275" i="8" s="1"/>
  <c r="O2316" i="5"/>
  <c r="O274" i="8" s="1"/>
  <c r="O439" i="8" s="1"/>
  <c r="G211" i="14" s="1"/>
  <c r="P460" i="5"/>
  <c r="P459" i="5" s="1"/>
  <c r="P1931" i="5" s="1"/>
  <c r="P592" i="8" s="1"/>
  <c r="H2174" i="5"/>
  <c r="P2172" i="5"/>
  <c r="P215" i="8" s="1"/>
  <c r="G2446" i="5"/>
  <c r="O2445" i="5"/>
  <c r="O327" i="8" s="1"/>
  <c r="D2489" i="5"/>
  <c r="W2489" i="5"/>
  <c r="E2144" i="5"/>
  <c r="M2143" i="5"/>
  <c r="M201" i="8" s="1"/>
  <c r="F1739" i="5"/>
  <c r="F2237" i="5"/>
  <c r="N2236" i="5"/>
  <c r="N242" i="8" s="1"/>
  <c r="D2054" i="5"/>
  <c r="W2054" i="5"/>
  <c r="H1924" i="5"/>
  <c r="P1923" i="5"/>
  <c r="P97" i="8" s="1"/>
  <c r="D2453" i="5"/>
  <c r="W2453" i="5"/>
  <c r="X2453" i="5" s="1"/>
  <c r="L2452" i="5"/>
  <c r="G1827" i="5"/>
  <c r="H2053" i="5"/>
  <c r="F1756" i="5"/>
  <c r="N1755" i="5"/>
  <c r="N31" i="8" s="1"/>
  <c r="N371" i="8" s="1"/>
  <c r="F51" i="14" s="1"/>
  <c r="E1890" i="5"/>
  <c r="M1889" i="5"/>
  <c r="M84" i="8" s="1"/>
  <c r="F2160" i="5"/>
  <c r="F2382" i="5"/>
  <c r="F303" i="8" s="1"/>
  <c r="I1824" i="5"/>
  <c r="Q1823" i="5"/>
  <c r="Q57" i="8" s="1"/>
  <c r="H2259" i="5"/>
  <c r="P2258" i="5"/>
  <c r="P251" i="8" s="1"/>
  <c r="H2117" i="5"/>
  <c r="F2470" i="5"/>
  <c r="F337" i="8" s="1"/>
  <c r="Q1071" i="5"/>
  <c r="Q2240" i="5" s="1"/>
  <c r="Q621" i="8" s="1"/>
  <c r="Q684" i="8" s="1"/>
  <c r="G1727" i="5"/>
  <c r="O1726" i="5"/>
  <c r="O16" i="8" s="1"/>
  <c r="F1936" i="5"/>
  <c r="H2415" i="5"/>
  <c r="H316" i="8" s="1"/>
  <c r="I2286" i="5"/>
  <c r="Q2285" i="5"/>
  <c r="Q261" i="8" s="1"/>
  <c r="D1772" i="5"/>
  <c r="W1772" i="5"/>
  <c r="E2439" i="5"/>
  <c r="E325" i="8" s="1"/>
  <c r="F1735" i="5"/>
  <c r="N1734" i="5"/>
  <c r="N20" i="8" s="1"/>
  <c r="H2288" i="5"/>
  <c r="P2287" i="5"/>
  <c r="P262" i="8" s="1"/>
  <c r="D1983" i="5"/>
  <c r="W1983" i="5"/>
  <c r="L1982" i="5"/>
  <c r="L125" i="8" s="1"/>
  <c r="E2108" i="5"/>
  <c r="M2107" i="5"/>
  <c r="M185" i="8" s="1"/>
  <c r="F1886" i="5"/>
  <c r="N1885" i="5"/>
  <c r="N83" i="8" s="1"/>
  <c r="I2397" i="5"/>
  <c r="Q2396" i="5"/>
  <c r="G1927" i="5"/>
  <c r="O1926" i="5"/>
  <c r="O98" i="8" s="1"/>
  <c r="F1830" i="5"/>
  <c r="I1960" i="5"/>
  <c r="Q1959" i="5"/>
  <c r="Q113" i="8" s="1"/>
  <c r="G1901" i="5"/>
  <c r="O1900" i="5"/>
  <c r="O88" i="8" s="1"/>
  <c r="I2402" i="5"/>
  <c r="Q2401" i="5"/>
  <c r="Q311" i="8" s="1"/>
  <c r="E1770" i="5"/>
  <c r="D2498" i="5"/>
  <c r="W2498" i="5"/>
  <c r="D1998" i="5"/>
  <c r="W1998" i="5"/>
  <c r="L1997" i="5"/>
  <c r="L133" i="8" s="1"/>
  <c r="I2505" i="5"/>
  <c r="Q2504" i="5"/>
  <c r="Q349" i="8" s="1"/>
  <c r="D2000" i="5"/>
  <c r="W2000" i="5"/>
  <c r="X2000" i="5" s="1"/>
  <c r="D2380" i="5"/>
  <c r="L2379" i="5"/>
  <c r="L302" i="8" s="1"/>
  <c r="W2380" i="5"/>
  <c r="E2135" i="5"/>
  <c r="M2134" i="5"/>
  <c r="M198" i="8" s="1"/>
  <c r="D1951" i="5"/>
  <c r="W1951" i="5"/>
  <c r="L1950" i="5"/>
  <c r="L109" i="8" s="1"/>
  <c r="D2267" i="5"/>
  <c r="W2267" i="5"/>
  <c r="Q1621" i="5"/>
  <c r="Q2485" i="5" s="1"/>
  <c r="Q533" i="8" s="1"/>
  <c r="P1786" i="5"/>
  <c r="P43" i="8" s="1"/>
  <c r="P374" i="8" s="1"/>
  <c r="H54" i="14" s="1"/>
  <c r="D1947" i="5"/>
  <c r="W1947" i="5"/>
  <c r="X1947" i="5" s="1"/>
  <c r="L1946" i="5"/>
  <c r="L107" i="8" s="1"/>
  <c r="E2459" i="5"/>
  <c r="E333" i="8" s="1"/>
  <c r="I1837" i="5"/>
  <c r="Q1836" i="5"/>
  <c r="Q62" i="8" s="1"/>
  <c r="E2504" i="5"/>
  <c r="E349" i="8" s="1"/>
  <c r="D2281" i="5"/>
  <c r="W2281" i="5"/>
  <c r="X2281" i="5" s="1"/>
  <c r="L2280" i="5"/>
  <c r="L259" i="8" s="1"/>
  <c r="D2024" i="5"/>
  <c r="W2024" i="5"/>
  <c r="X2024" i="5" s="1"/>
  <c r="D2036" i="5"/>
  <c r="W2036" i="5"/>
  <c r="X2036" i="5" s="1"/>
  <c r="L2035" i="5"/>
  <c r="L151" i="8" s="1"/>
  <c r="H1917" i="5"/>
  <c r="P1916" i="5"/>
  <c r="P96" i="8" s="1"/>
  <c r="D2501" i="5"/>
  <c r="W2501" i="5"/>
  <c r="E2217" i="5"/>
  <c r="M2216" i="5"/>
  <c r="M235" i="8" s="1"/>
  <c r="D2228" i="5"/>
  <c r="W2228" i="5"/>
  <c r="L2227" i="5"/>
  <c r="L239" i="8" s="1"/>
  <c r="Q478" i="5"/>
  <c r="Q1943" i="5" s="1"/>
  <c r="D2139" i="5"/>
  <c r="W2139" i="5"/>
  <c r="X2139" i="5" s="1"/>
  <c r="D2420" i="5"/>
  <c r="W2420" i="5"/>
  <c r="X2420" i="5" s="1"/>
  <c r="D1928" i="5"/>
  <c r="W1928" i="5"/>
  <c r="H2363" i="5"/>
  <c r="P2362" i="5"/>
  <c r="P296" i="8" s="1"/>
  <c r="Q564" i="5"/>
  <c r="Q1985" i="5" s="1"/>
  <c r="F2386" i="5"/>
  <c r="N2385" i="5"/>
  <c r="N305" i="8" s="1"/>
  <c r="E1774" i="5"/>
  <c r="M1773" i="5"/>
  <c r="M39" i="8" s="1"/>
  <c r="F2389" i="5"/>
  <c r="N2388" i="5"/>
  <c r="N306" i="8" s="1"/>
  <c r="F2141" i="5"/>
  <c r="N2140" i="5"/>
  <c r="N200" i="8" s="1"/>
  <c r="E2394" i="5"/>
  <c r="M2393" i="5"/>
  <c r="M307" i="8" s="1"/>
  <c r="H2452" i="5"/>
  <c r="H330" i="8" s="1"/>
  <c r="E2496" i="5"/>
  <c r="M2495" i="5"/>
  <c r="M346" i="8" s="1"/>
  <c r="D2204" i="5"/>
  <c r="W2204" i="5"/>
  <c r="X2204" i="5" s="1"/>
  <c r="G1890" i="5"/>
  <c r="O1889" i="5"/>
  <c r="O84" i="8" s="1"/>
  <c r="I1820" i="5"/>
  <c r="Q1819" i="5"/>
  <c r="Q56" i="8" s="1"/>
  <c r="I2383" i="5"/>
  <c r="Z2383" i="5" s="1"/>
  <c r="Q2382" i="5"/>
  <c r="Q303" i="8" s="1"/>
  <c r="F2259" i="5"/>
  <c r="N2258" i="5"/>
  <c r="N251" i="8" s="1"/>
  <c r="F2117" i="5"/>
  <c r="I2471" i="5"/>
  <c r="AA2471" i="5" s="1"/>
  <c r="Q2470" i="5"/>
  <c r="Q337" i="8" s="1"/>
  <c r="I2125" i="5"/>
  <c r="D2341" i="5"/>
  <c r="W2341" i="5"/>
  <c r="X2341" i="5" s="1"/>
  <c r="G2239" i="5"/>
  <c r="N2371" i="5"/>
  <c r="I2436" i="5"/>
  <c r="AA2436" i="5" s="1"/>
  <c r="E1965" i="5"/>
  <c r="M1964" i="5"/>
  <c r="M116" i="8" s="1"/>
  <c r="H2285" i="5"/>
  <c r="D2413" i="5"/>
  <c r="W2413" i="5"/>
  <c r="H1734" i="5"/>
  <c r="F2288" i="5"/>
  <c r="N2287" i="5"/>
  <c r="N262" i="8" s="1"/>
  <c r="Q1634" i="5"/>
  <c r="Q2490" i="5" s="1"/>
  <c r="I2490" i="5" s="1"/>
  <c r="H2203" i="5"/>
  <c r="P2202" i="5"/>
  <c r="P229" i="8" s="1"/>
  <c r="H1742" i="5"/>
  <c r="P1741" i="5"/>
  <c r="P23" i="8" s="1"/>
  <c r="E2196" i="5"/>
  <c r="M2195" i="5"/>
  <c r="M226" i="8" s="1"/>
  <c r="D2404" i="5"/>
  <c r="W2404" i="5"/>
  <c r="L2403" i="5"/>
  <c r="D1886" i="5"/>
  <c r="L1885" i="5"/>
  <c r="L83" i="8" s="1"/>
  <c r="W1886" i="5"/>
  <c r="H2343" i="5"/>
  <c r="H286" i="8" s="1"/>
  <c r="H2360" i="5"/>
  <c r="P2359" i="5"/>
  <c r="H1830" i="5"/>
  <c r="H1904" i="5"/>
  <c r="N1900" i="5"/>
  <c r="N88" i="8" s="1"/>
  <c r="F1901" i="5"/>
  <c r="N1902" i="5"/>
  <c r="N89" i="8" s="1"/>
  <c r="F1903" i="5"/>
  <c r="W2391" i="5"/>
  <c r="X2391" i="5" s="1"/>
  <c r="E2401" i="5"/>
  <c r="E311" i="8" s="1"/>
  <c r="Q148" i="5"/>
  <c r="V149" i="5"/>
  <c r="F1770" i="5"/>
  <c r="E1893" i="5"/>
  <c r="W2513" i="5"/>
  <c r="F2352" i="5"/>
  <c r="F291" i="8" s="1"/>
  <c r="D2110" i="5"/>
  <c r="L2109" i="5"/>
  <c r="L186" i="8" s="1"/>
  <c r="W2110" i="5"/>
  <c r="D2315" i="5"/>
  <c r="L2314" i="5"/>
  <c r="L273" i="8" s="1"/>
  <c r="W2315" i="5"/>
  <c r="I2074" i="5"/>
  <c r="D2192" i="5"/>
  <c r="L2191" i="5"/>
  <c r="L225" i="8" s="1"/>
  <c r="W2192" i="5"/>
  <c r="X2192" i="5" s="1"/>
  <c r="G2356" i="5"/>
  <c r="G293" i="8" s="1"/>
  <c r="D2419" i="5"/>
  <c r="L2418" i="5"/>
  <c r="L317" i="8" s="1"/>
  <c r="W2419" i="5"/>
  <c r="G1779" i="5"/>
  <c r="D1991" i="5"/>
  <c r="L1990" i="5"/>
  <c r="L129" i="8" s="1"/>
  <c r="W1991" i="5"/>
  <c r="H2454" i="5"/>
  <c r="H331" i="8" s="1"/>
  <c r="G2134" i="5"/>
  <c r="M2421" i="5"/>
  <c r="M318" i="8" s="1"/>
  <c r="D1784" i="5"/>
  <c r="W1784" i="5"/>
  <c r="L1783" i="5"/>
  <c r="L42" i="8" s="1"/>
  <c r="F2280" i="5"/>
  <c r="D1909" i="5"/>
  <c r="W1909" i="5"/>
  <c r="X1909" i="5" s="1"/>
  <c r="L1908" i="5"/>
  <c r="L91" i="8" s="1"/>
  <c r="D1940" i="5"/>
  <c r="L1939" i="5"/>
  <c r="L103" i="8" s="1"/>
  <c r="W1940" i="5"/>
  <c r="X1940" i="5" s="1"/>
  <c r="D1963" i="5"/>
  <c r="L1962" i="5"/>
  <c r="L115" i="8" s="1"/>
  <c r="W1963" i="5"/>
  <c r="X1963" i="5" s="1"/>
  <c r="Q890" i="5"/>
  <c r="Q2152" i="5" s="1"/>
  <c r="E2129" i="5"/>
  <c r="M2128" i="5"/>
  <c r="M195" i="8" s="1"/>
  <c r="E2109" i="5"/>
  <c r="E1998" i="5"/>
  <c r="M1997" i="5"/>
  <c r="M133" i="8" s="1"/>
  <c r="D2101" i="5"/>
  <c r="L2098" i="5"/>
  <c r="L179" i="8" s="1"/>
  <c r="D2218" i="5"/>
  <c r="W2218" i="5"/>
  <c r="X2218" i="5" s="1"/>
  <c r="H2379" i="5"/>
  <c r="H302" i="8" s="1"/>
  <c r="E1779" i="5"/>
  <c r="Q1558" i="5"/>
  <c r="Q2455" i="5" s="1"/>
  <c r="G2430" i="5"/>
  <c r="G321" i="8" s="1"/>
  <c r="O2426" i="5"/>
  <c r="O319" i="8" s="1"/>
  <c r="O450" i="8" s="1"/>
  <c r="G222" i="14" s="1"/>
  <c r="E1946" i="5"/>
  <c r="H1939" i="5"/>
  <c r="I2460" i="5"/>
  <c r="AA2460" i="5" s="1"/>
  <c r="Q2459" i="5"/>
  <c r="Q333" i="8" s="1"/>
  <c r="H2122" i="5"/>
  <c r="P2121" i="5"/>
  <c r="P192" i="8" s="1"/>
  <c r="D2008" i="5"/>
  <c r="W2008" i="5"/>
  <c r="D1914" i="5"/>
  <c r="W1914" i="5"/>
  <c r="X1914" i="5" s="1"/>
  <c r="L1913" i="5"/>
  <c r="L94" i="8" s="1"/>
  <c r="D2425" i="5"/>
  <c r="W2425" i="5"/>
  <c r="X2425" i="5" s="1"/>
  <c r="V65" i="5"/>
  <c r="Q64" i="5"/>
  <c r="D2458" i="5"/>
  <c r="W2458" i="5"/>
  <c r="D1935" i="5"/>
  <c r="L1934" i="5"/>
  <c r="L101" i="8" s="1"/>
  <c r="W1935" i="5"/>
  <c r="X1935" i="5" s="1"/>
  <c r="D1925" i="5"/>
  <c r="W1925" i="5"/>
  <c r="G1712" i="5"/>
  <c r="O1711" i="5"/>
  <c r="O10" i="8" s="1"/>
  <c r="V57" i="5"/>
  <c r="Q56" i="5"/>
  <c r="D1912" i="5"/>
  <c r="W1912" i="5"/>
  <c r="X1912" i="5" s="1"/>
  <c r="L1911" i="5"/>
  <c r="L93" i="8" s="1"/>
  <c r="D2472" i="5"/>
  <c r="W2472" i="5"/>
  <c r="X2472" i="5" s="1"/>
  <c r="D1771" i="5"/>
  <c r="L1770" i="5"/>
  <c r="L38" i="8" s="1"/>
  <c r="W1771" i="5"/>
  <c r="G2191" i="5"/>
  <c r="D2449" i="5"/>
  <c r="W2449" i="5"/>
  <c r="X2449" i="5" s="1"/>
  <c r="L2448" i="5"/>
  <c r="L328" i="8" s="1"/>
  <c r="Q798" i="5"/>
  <c r="Q2106" i="5" s="1"/>
  <c r="D1780" i="5"/>
  <c r="L1779" i="5"/>
  <c r="L41" i="8" s="1"/>
  <c r="W1780" i="5"/>
  <c r="H2220" i="5"/>
  <c r="Q431" i="5"/>
  <c r="Q1920" i="5" s="1"/>
  <c r="D1834" i="5"/>
  <c r="W1834" i="5"/>
  <c r="X1834" i="5" s="1"/>
  <c r="L1833" i="5"/>
  <c r="L61" i="8" s="1"/>
  <c r="H2280" i="5"/>
  <c r="I2400" i="5"/>
  <c r="Q2399" i="5"/>
  <c r="Q310" i="8" s="1"/>
  <c r="F1939" i="5"/>
  <c r="Q1378" i="5"/>
  <c r="Q2373" i="5" s="1"/>
  <c r="I2373" i="5" s="1"/>
  <c r="E1723" i="5"/>
  <c r="M1722" i="5"/>
  <c r="M14" i="8" s="1"/>
  <c r="F1971" i="5"/>
  <c r="N1970" i="5"/>
  <c r="N118" i="8" s="1"/>
  <c r="N392" i="8" s="1"/>
  <c r="F89" i="14" s="1"/>
  <c r="J202" i="5"/>
  <c r="H1913" i="5"/>
  <c r="V20" i="5"/>
  <c r="Q19" i="5"/>
  <c r="G2174" i="5"/>
  <c r="O2172" i="5"/>
  <c r="O215" i="8" s="1"/>
  <c r="E2446" i="5"/>
  <c r="M2445" i="5"/>
  <c r="M327" i="8" s="1"/>
  <c r="Q902" i="5"/>
  <c r="Q2158" i="5" s="1"/>
  <c r="H2389" i="5"/>
  <c r="P2388" i="5"/>
  <c r="P306" i="8" s="1"/>
  <c r="D2040" i="5"/>
  <c r="W2040" i="5"/>
  <c r="L2039" i="5"/>
  <c r="L153" i="8" s="1"/>
  <c r="Q321" i="5"/>
  <c r="G1847" i="5"/>
  <c r="F1827" i="5"/>
  <c r="D2496" i="5"/>
  <c r="W2496" i="5"/>
  <c r="L2495" i="5"/>
  <c r="L346" i="8" s="1"/>
  <c r="F1819" i="5"/>
  <c r="F1823" i="5"/>
  <c r="G2035" i="5"/>
  <c r="O2034" i="5"/>
  <c r="G1793" i="5"/>
  <c r="E2117" i="5"/>
  <c r="P2499" i="5"/>
  <c r="P347" i="8" s="1"/>
  <c r="D1795" i="5"/>
  <c r="W1795" i="5"/>
  <c r="X1795" i="5" s="1"/>
  <c r="P2371" i="5"/>
  <c r="E1944" i="5"/>
  <c r="F1965" i="5"/>
  <c r="N1964" i="5"/>
  <c r="N116" i="8" s="1"/>
  <c r="L2415" i="5"/>
  <c r="L316" i="8" s="1"/>
  <c r="D2417" i="5"/>
  <c r="W2417" i="5"/>
  <c r="X2417" i="5" s="1"/>
  <c r="L896" i="5"/>
  <c r="L894" i="5" s="1"/>
  <c r="L2153" i="5" s="1"/>
  <c r="D1955" i="5"/>
  <c r="W1955" i="5"/>
  <c r="X1955" i="5" s="1"/>
  <c r="L1954" i="5"/>
  <c r="L110" i="8" s="1"/>
  <c r="E2207" i="5"/>
  <c r="M2206" i="5"/>
  <c r="M231" i="8" s="1"/>
  <c r="Q710" i="5"/>
  <c r="Q2060" i="5" s="1"/>
  <c r="G2288" i="5"/>
  <c r="O2287" i="5"/>
  <c r="O262" i="8" s="1"/>
  <c r="E1983" i="5"/>
  <c r="M1982" i="5"/>
  <c r="M125" i="8" s="1"/>
  <c r="E2257" i="5"/>
  <c r="M2256" i="5"/>
  <c r="M250" i="8" s="1"/>
  <c r="F2462" i="5"/>
  <c r="N2461" i="5"/>
  <c r="N334" i="8" s="1"/>
  <c r="G2396" i="5"/>
  <c r="G309" i="8" s="1"/>
  <c r="H1911" i="5"/>
  <c r="P1910" i="5"/>
  <c r="P92" i="8" s="1"/>
  <c r="P385" i="8" s="1"/>
  <c r="H82" i="14" s="1"/>
  <c r="G1904" i="5"/>
  <c r="G1959" i="5"/>
  <c r="O1958" i="5"/>
  <c r="O112" i="8" s="1"/>
  <c r="O390" i="8" s="1"/>
  <c r="G87" i="14" s="1"/>
  <c r="P1902" i="5"/>
  <c r="P89" i="8" s="1"/>
  <c r="H1903" i="5"/>
  <c r="H2401" i="5"/>
  <c r="H311" i="8" s="1"/>
  <c r="D1844" i="5"/>
  <c r="W1844" i="5"/>
  <c r="H1893" i="5"/>
  <c r="G2368" i="5"/>
  <c r="G299" i="8" s="1"/>
  <c r="D2410" i="5"/>
  <c r="W2410" i="5"/>
  <c r="D1816" i="5"/>
  <c r="W1816" i="5"/>
  <c r="X1816" i="5" s="1"/>
  <c r="L1815" i="5"/>
  <c r="L55" i="8" s="1"/>
  <c r="I2251" i="5"/>
  <c r="Q2250" i="5"/>
  <c r="Q247" i="8" s="1"/>
  <c r="F2011" i="5"/>
  <c r="N2010" i="5"/>
  <c r="N138" i="8" s="1"/>
  <c r="G2264" i="5"/>
  <c r="O2263" i="5"/>
  <c r="O253" i="8" s="1"/>
  <c r="E1943" i="5"/>
  <c r="M1942" i="5"/>
  <c r="M105" i="8" s="1"/>
  <c r="G1913" i="5"/>
  <c r="E2242" i="5"/>
  <c r="F1985" i="5"/>
  <c r="N1984" i="5"/>
  <c r="N126" i="8" s="1"/>
  <c r="V132" i="5"/>
  <c r="Q131" i="5"/>
  <c r="G2388" i="5"/>
  <c r="G306" i="8" s="1"/>
  <c r="D2141" i="5"/>
  <c r="L2140" i="5"/>
  <c r="L200" i="8" s="1"/>
  <c r="W2141" i="5"/>
  <c r="H1827" i="5"/>
  <c r="G2382" i="5"/>
  <c r="G303" i="8" s="1"/>
  <c r="E1793" i="5"/>
  <c r="F2239" i="5"/>
  <c r="Q1372" i="5"/>
  <c r="Q2372" i="5" s="1"/>
  <c r="I2372" i="5" s="1"/>
  <c r="D2443" i="5"/>
  <c r="W2443" i="5"/>
  <c r="L2442" i="5"/>
  <c r="L326" i="8" s="1"/>
  <c r="G2256" i="5"/>
  <c r="D2344" i="5"/>
  <c r="W2344" i="5"/>
  <c r="X2344" i="5" s="1"/>
  <c r="L2343" i="5"/>
  <c r="N69" i="5"/>
  <c r="F2176" i="5"/>
  <c r="F2401" i="5"/>
  <c r="F311" i="8" s="1"/>
  <c r="D2007" i="5"/>
  <c r="W2007" i="5"/>
  <c r="Q316" i="5"/>
  <c r="Q757" i="5"/>
  <c r="Q2083" i="5" s="1"/>
  <c r="Q625" i="8" s="1"/>
  <c r="I2481" i="5"/>
  <c r="Q2480" i="5"/>
  <c r="Q341" i="8" s="1"/>
  <c r="G1946" i="5"/>
  <c r="F2217" i="5"/>
  <c r="N2216" i="5"/>
  <c r="N235" i="8" s="1"/>
  <c r="F2457" i="5"/>
  <c r="N2456" i="5"/>
  <c r="N332" i="8" s="1"/>
  <c r="H1723" i="5"/>
  <c r="P1722" i="5"/>
  <c r="P14" i="8" s="1"/>
  <c r="D1733" i="5"/>
  <c r="L1732" i="5"/>
  <c r="L19" i="8" s="1"/>
  <c r="D2211" i="5"/>
  <c r="W2211" i="5"/>
  <c r="D2123" i="5"/>
  <c r="W2123" i="5"/>
  <c r="X2123" i="5" s="1"/>
  <c r="F2243" i="5"/>
  <c r="N2242" i="5"/>
  <c r="N244" i="8" s="1"/>
  <c r="E1985" i="5"/>
  <c r="M1984" i="5"/>
  <c r="M126" i="8" s="1"/>
  <c r="D2255" i="5"/>
  <c r="L2254" i="5"/>
  <c r="L249" i="8" s="1"/>
  <c r="W2255" i="5"/>
  <c r="F1774" i="5"/>
  <c r="N1773" i="5"/>
  <c r="N39" i="8" s="1"/>
  <c r="E2283" i="5"/>
  <c r="M2282" i="5"/>
  <c r="M260" i="8" s="1"/>
  <c r="H2040" i="5"/>
  <c r="P2039" i="5"/>
  <c r="P153" i="8" s="1"/>
  <c r="E2200" i="5"/>
  <c r="M2199" i="5"/>
  <c r="M228" i="8" s="1"/>
  <c r="F2180" i="5"/>
  <c r="N2179" i="5"/>
  <c r="N219" i="8" s="1"/>
  <c r="N423" i="8" s="1"/>
  <c r="F177" i="14" s="1"/>
  <c r="G2261" i="5"/>
  <c r="O2260" i="5"/>
  <c r="O252" i="8" s="1"/>
  <c r="G2496" i="5"/>
  <c r="O2495" i="5"/>
  <c r="O346" i="8" s="1"/>
  <c r="E2419" i="5"/>
  <c r="M2418" i="5"/>
  <c r="M317" i="8" s="1"/>
  <c r="H1819" i="5"/>
  <c r="G2023" i="5"/>
  <c r="O2022" i="5"/>
  <c r="O143" i="8" s="1"/>
  <c r="O400" i="8" s="1"/>
  <c r="G114" i="14" s="1"/>
  <c r="D1824" i="5"/>
  <c r="L1823" i="5"/>
  <c r="L57" i="8" s="1"/>
  <c r="W1824" i="5"/>
  <c r="X1824" i="5" s="1"/>
  <c r="E2259" i="5"/>
  <c r="M2258" i="5"/>
  <c r="M251" i="8" s="1"/>
  <c r="D1843" i="5"/>
  <c r="W1843" i="5"/>
  <c r="X1843" i="5" s="1"/>
  <c r="L1842" i="5"/>
  <c r="L64" i="8" s="1"/>
  <c r="I2050" i="5"/>
  <c r="G2502" i="5"/>
  <c r="G348" i="8" s="1"/>
  <c r="O2371" i="5"/>
  <c r="D2424" i="5"/>
  <c r="W2424" i="5"/>
  <c r="X2424" i="5" s="1"/>
  <c r="H1712" i="5"/>
  <c r="P1711" i="5"/>
  <c r="P10" i="8" s="1"/>
  <c r="D2286" i="5"/>
  <c r="L2285" i="5"/>
  <c r="L261" i="8" s="1"/>
  <c r="W2286" i="5"/>
  <c r="X2286" i="5" s="1"/>
  <c r="D2409" i="5"/>
  <c r="W2409" i="5"/>
  <c r="X2409" i="5" s="1"/>
  <c r="L647" i="5"/>
  <c r="L2025" i="5" s="1"/>
  <c r="L2023" i="5" s="1"/>
  <c r="L144" i="8" s="1"/>
  <c r="E1954" i="5"/>
  <c r="D2271" i="5"/>
  <c r="W2271" i="5"/>
  <c r="F2060" i="5"/>
  <c r="G2408" i="5"/>
  <c r="O2407" i="5"/>
  <c r="O314" i="8" s="1"/>
  <c r="H1983" i="5"/>
  <c r="P1982" i="5"/>
  <c r="P125" i="8" s="1"/>
  <c r="H2443" i="5"/>
  <c r="P2442" i="5"/>
  <c r="P326" i="8" s="1"/>
  <c r="H2195" i="5"/>
  <c r="G2343" i="5"/>
  <c r="G286" i="8" s="1"/>
  <c r="F1911" i="5"/>
  <c r="N1910" i="5"/>
  <c r="N92" i="8" s="1"/>
  <c r="N385" i="8" s="1"/>
  <c r="F82" i="14" s="1"/>
  <c r="F2360" i="5"/>
  <c r="N2359" i="5"/>
  <c r="D1960" i="5"/>
  <c r="L1959" i="5"/>
  <c r="L113" i="8" s="1"/>
  <c r="W1960" i="5"/>
  <c r="X1960" i="5" s="1"/>
  <c r="E1901" i="5"/>
  <c r="M1900" i="5"/>
  <c r="M88" i="8" s="1"/>
  <c r="D2402" i="5"/>
  <c r="W2402" i="5"/>
  <c r="X2402" i="5" s="1"/>
  <c r="L2401" i="5"/>
  <c r="L311" i="8" s="1"/>
  <c r="D2161" i="5"/>
  <c r="W2161" i="5"/>
  <c r="X2161" i="5" s="1"/>
  <c r="G1893" i="5"/>
  <c r="F2368" i="5"/>
  <c r="F299" i="8" s="1"/>
  <c r="G1760" i="5"/>
  <c r="D2272" i="5"/>
  <c r="W2272" i="5"/>
  <c r="F1988" i="5"/>
  <c r="D1808" i="5"/>
  <c r="W1808" i="5"/>
  <c r="L1807" i="5"/>
  <c r="L51" i="8" s="1"/>
  <c r="G2493" i="5"/>
  <c r="O2492" i="5"/>
  <c r="O345" i="8" s="1"/>
  <c r="Q594" i="5"/>
  <c r="Q1998" i="5" s="1"/>
  <c r="Q629" i="8" s="1"/>
  <c r="D2505" i="5"/>
  <c r="W2505" i="5"/>
  <c r="X2505" i="5" s="1"/>
  <c r="L2504" i="5"/>
  <c r="L349" i="8" s="1"/>
  <c r="N648" i="5"/>
  <c r="N647" i="5" s="1"/>
  <c r="N2025" i="5" s="1"/>
  <c r="I648" i="5"/>
  <c r="I1814" i="5"/>
  <c r="Q1813" i="5"/>
  <c r="Q54" i="8" s="1"/>
  <c r="G2448" i="5"/>
  <c r="G328" i="8" s="1"/>
  <c r="D2284" i="5"/>
  <c r="W2284" i="5"/>
  <c r="X2284" i="5" s="1"/>
  <c r="F2106" i="5"/>
  <c r="N2105" i="5"/>
  <c r="N184" i="8" s="1"/>
  <c r="F1780" i="5"/>
  <c r="N1779" i="5"/>
  <c r="N41" i="8" s="1"/>
  <c r="G1991" i="5"/>
  <c r="O1990" i="5"/>
  <c r="O129" i="8" s="1"/>
  <c r="F2455" i="5"/>
  <c r="N2454" i="5"/>
  <c r="N331" i="8" s="1"/>
  <c r="D2219" i="5"/>
  <c r="W2219" i="5"/>
  <c r="X2219" i="5" s="1"/>
  <c r="D2349" i="5"/>
  <c r="W2349" i="5"/>
  <c r="L2348" i="5"/>
  <c r="H1783" i="5"/>
  <c r="H2478" i="5"/>
  <c r="H340" i="8" s="1"/>
  <c r="E1975" i="5"/>
  <c r="M1974" i="5"/>
  <c r="M120" i="8" s="1"/>
  <c r="M393" i="8" s="1"/>
  <c r="E90" i="14" s="1"/>
  <c r="L2483" i="5"/>
  <c r="L342" i="8" s="1"/>
  <c r="D2485" i="5"/>
  <c r="W2485" i="5"/>
  <c r="F2480" i="5"/>
  <c r="F341" i="8" s="1"/>
  <c r="G1908" i="5"/>
  <c r="D2270" i="5"/>
  <c r="W2270" i="5"/>
  <c r="X2270" i="5" s="1"/>
  <c r="L2269" i="5"/>
  <c r="L255" i="8" s="1"/>
  <c r="F2065" i="5"/>
  <c r="H1815" i="5"/>
  <c r="V29" i="5"/>
  <c r="Q28" i="5"/>
  <c r="D2135" i="5"/>
  <c r="W2135" i="5"/>
  <c r="L2134" i="5"/>
  <c r="L198" i="8" s="1"/>
  <c r="D2479" i="5"/>
  <c r="L2478" i="5"/>
  <c r="L340" i="8" s="1"/>
  <c r="W2479" i="5"/>
  <c r="X2479" i="5" s="1"/>
  <c r="D1976" i="5"/>
  <c r="W1976" i="5"/>
  <c r="L1975" i="5"/>
  <c r="L121" i="8" s="1"/>
  <c r="I2431" i="5"/>
  <c r="Q2430" i="5"/>
  <c r="Q321" i="8" s="1"/>
  <c r="H2480" i="5"/>
  <c r="H341" i="8" s="1"/>
  <c r="E1939" i="5"/>
  <c r="E1797" i="5"/>
  <c r="E1819" i="5"/>
  <c r="E2382" i="5"/>
  <c r="E303" i="8" s="1"/>
  <c r="D1948" i="5"/>
  <c r="W1948" i="5"/>
  <c r="X1948" i="5" s="1"/>
  <c r="E2454" i="5"/>
  <c r="E331" i="8" s="1"/>
  <c r="G1783" i="5"/>
  <c r="F2459" i="5"/>
  <c r="F333" i="8" s="1"/>
  <c r="H2339" i="5"/>
  <c r="H285" i="8" s="1"/>
  <c r="P2338" i="5"/>
  <c r="H2336" i="5" s="1"/>
  <c r="H283" i="8" s="1"/>
  <c r="G2122" i="5"/>
  <c r="O2121" i="5"/>
  <c r="O192" i="8" s="1"/>
  <c r="G2488" i="5"/>
  <c r="O2487" i="5"/>
  <c r="F1723" i="5"/>
  <c r="N1722" i="5"/>
  <c r="N14" i="8" s="1"/>
  <c r="D1818" i="5"/>
  <c r="W1818" i="5"/>
  <c r="X1818" i="5" s="1"/>
  <c r="D2174" i="5"/>
  <c r="L2172" i="5"/>
  <c r="L215" i="8" s="1"/>
  <c r="W2174" i="5"/>
  <c r="H2446" i="5"/>
  <c r="P2445" i="5"/>
  <c r="P327" i="8" s="1"/>
  <c r="D1985" i="5"/>
  <c r="L1984" i="5"/>
  <c r="L126" i="8" s="1"/>
  <c r="W1985" i="5"/>
  <c r="Q1406" i="5"/>
  <c r="Q2386" i="5" s="1"/>
  <c r="Q641" i="8" s="1"/>
  <c r="P2143" i="5"/>
  <c r="P201" i="8" s="1"/>
  <c r="H2144" i="5"/>
  <c r="E1739" i="5"/>
  <c r="M1738" i="5"/>
  <c r="M22" i="8" s="1"/>
  <c r="D1924" i="5"/>
  <c r="L1923" i="5"/>
  <c r="L97" i="8" s="1"/>
  <c r="W1924" i="5"/>
  <c r="F2053" i="5"/>
  <c r="D1890" i="5"/>
  <c r="W1890" i="5"/>
  <c r="L1889" i="5"/>
  <c r="L84" i="8" s="1"/>
  <c r="E2160" i="5"/>
  <c r="Q75" i="5"/>
  <c r="V76" i="5"/>
  <c r="E1934" i="5"/>
  <c r="M1933" i="5"/>
  <c r="M100" i="8" s="1"/>
  <c r="M387" i="8" s="1"/>
  <c r="E84" i="14" s="1"/>
  <c r="D2383" i="5"/>
  <c r="L2382" i="5"/>
  <c r="L303" i="8" s="1"/>
  <c r="W2383" i="5"/>
  <c r="X2383" i="5" s="1"/>
  <c r="E2035" i="5"/>
  <c r="M2034" i="5"/>
  <c r="Q1794" i="5"/>
  <c r="V169" i="5"/>
  <c r="D2186" i="5"/>
  <c r="L2183" i="5"/>
  <c r="L221" i="8" s="1"/>
  <c r="W2186" i="5"/>
  <c r="X2186" i="5" s="1"/>
  <c r="D2471" i="5"/>
  <c r="W2471" i="5"/>
  <c r="X2471" i="5" s="1"/>
  <c r="L2470" i="5"/>
  <c r="L337" i="8" s="1"/>
  <c r="V43" i="5"/>
  <c r="Q42" i="5"/>
  <c r="E1712" i="5"/>
  <c r="M1711" i="5"/>
  <c r="M10" i="8" s="1"/>
  <c r="D2412" i="5"/>
  <c r="W2412" i="5"/>
  <c r="X2412" i="5" s="1"/>
  <c r="L2411" i="5"/>
  <c r="L315" i="8" s="1"/>
  <c r="E2149" i="5"/>
  <c r="M2148" i="5"/>
  <c r="M204" i="8" s="1"/>
  <c r="G1954" i="5"/>
  <c r="F2439" i="5"/>
  <c r="F325" i="8" s="1"/>
  <c r="Q569" i="5"/>
  <c r="Q1987" i="5" s="1"/>
  <c r="E2060" i="5"/>
  <c r="Q1192" i="5"/>
  <c r="Q2288" i="5" s="1"/>
  <c r="D2490" i="5"/>
  <c r="W2490" i="5"/>
  <c r="H2108" i="5"/>
  <c r="P2107" i="5"/>
  <c r="P185" i="8" s="1"/>
  <c r="H2257" i="5"/>
  <c r="P2256" i="5"/>
  <c r="P250" i="8" s="1"/>
  <c r="D2462" i="5"/>
  <c r="L2461" i="5"/>
  <c r="L334" i="8" s="1"/>
  <c r="W2462" i="5"/>
  <c r="E1911" i="5"/>
  <c r="M1910" i="5"/>
  <c r="M92" i="8" s="1"/>
  <c r="M385" i="8" s="1"/>
  <c r="E82" i="14" s="1"/>
  <c r="D2438" i="5"/>
  <c r="W2438" i="5"/>
  <c r="D1781" i="5"/>
  <c r="W1781" i="5"/>
  <c r="D2405" i="5"/>
  <c r="W2405" i="5"/>
  <c r="F1893" i="5"/>
  <c r="H2368" i="5"/>
  <c r="H299" i="8" s="1"/>
  <c r="F1760" i="5"/>
  <c r="G1896" i="5"/>
  <c r="O1895" i="5"/>
  <c r="O86" i="8" s="1"/>
  <c r="Q808" i="5"/>
  <c r="Q2110" i="5" s="1"/>
  <c r="H2314" i="5"/>
  <c r="H273" i="8" s="1"/>
  <c r="D2074" i="5"/>
  <c r="L2073" i="5"/>
  <c r="L168" i="8" s="1"/>
  <c r="W2074" i="5"/>
  <c r="X2074" i="5" s="1"/>
  <c r="D1992" i="5"/>
  <c r="W1992" i="5"/>
  <c r="X1992" i="5" s="1"/>
  <c r="I2192" i="5"/>
  <c r="Q2191" i="5"/>
  <c r="Q225" i="8" s="1"/>
  <c r="D2491" i="5"/>
  <c r="W2491" i="5"/>
  <c r="E2106" i="5"/>
  <c r="M2105" i="5"/>
  <c r="M184" i="8" s="1"/>
  <c r="G2221" i="5"/>
  <c r="O2220" i="5"/>
  <c r="O236" i="8" s="1"/>
  <c r="H2134" i="5"/>
  <c r="D1917" i="5"/>
  <c r="W1917" i="5"/>
  <c r="L1916" i="5"/>
  <c r="L96" i="8" s="1"/>
  <c r="V154" i="5"/>
  <c r="Q152" i="5"/>
  <c r="F2478" i="5"/>
  <c r="F340" i="8" s="1"/>
  <c r="F1833" i="5"/>
  <c r="G2399" i="5"/>
  <c r="G310" i="8" s="1"/>
  <c r="E2480" i="5"/>
  <c r="E341" i="8" s="1"/>
  <c r="H1946" i="5"/>
  <c r="N2269" i="5"/>
  <c r="N255" i="8" s="1"/>
  <c r="H1962" i="5"/>
  <c r="H2459" i="5"/>
  <c r="H333" i="8" s="1"/>
  <c r="D2152" i="5"/>
  <c r="W2152" i="5"/>
  <c r="E1815" i="5"/>
  <c r="E2020" i="5"/>
  <c r="E2250" i="5"/>
  <c r="G2183" i="5"/>
  <c r="H181" i="5"/>
  <c r="O181" i="5" s="1"/>
  <c r="O180" i="5" s="1"/>
  <c r="O1799" i="5" s="1"/>
  <c r="I13" i="3"/>
  <c r="I181" i="5" s="1"/>
  <c r="P181" i="5" s="1"/>
  <c r="P180" i="5" s="1"/>
  <c r="P1799" i="5" s="1"/>
  <c r="L1587" i="5"/>
  <c r="L2467" i="5" s="1"/>
  <c r="L553" i="8" s="1"/>
  <c r="Q1588" i="5"/>
  <c r="Q1587" i="5" s="1"/>
  <c r="Q2467" i="5" s="1"/>
  <c r="I2467" i="5" s="1"/>
  <c r="F2191" i="5"/>
  <c r="P649" i="5"/>
  <c r="Q649" i="5" s="1"/>
  <c r="J649" i="5"/>
  <c r="G1813" i="5"/>
  <c r="O1812" i="5"/>
  <c r="O53" i="8" s="1"/>
  <c r="O376" i="8" s="1"/>
  <c r="G56" i="14" s="1"/>
  <c r="E2448" i="5"/>
  <c r="E328" i="8" s="1"/>
  <c r="H2106" i="5"/>
  <c r="P2105" i="5"/>
  <c r="P184" i="8" s="1"/>
  <c r="D2112" i="5"/>
  <c r="L2111" i="5"/>
  <c r="L187" i="8" s="1"/>
  <c r="W2112" i="5"/>
  <c r="Q1032" i="5"/>
  <c r="Q2221" i="5" s="1"/>
  <c r="E1783" i="5"/>
  <c r="G2480" i="5"/>
  <c r="G341" i="8" s="1"/>
  <c r="D2075" i="5"/>
  <c r="D2488" i="5"/>
  <c r="W2488" i="5"/>
  <c r="L2487" i="5"/>
  <c r="E2228" i="5"/>
  <c r="M2227" i="5"/>
  <c r="M239" i="8" s="1"/>
  <c r="Q613" i="5"/>
  <c r="Q2008" i="5" s="1"/>
  <c r="Q202" i="5"/>
  <c r="Q201" i="5" s="1"/>
  <c r="Q1809" i="5" s="1"/>
  <c r="I1809" i="5" s="1"/>
  <c r="E2174" i="5"/>
  <c r="M2172" i="5"/>
  <c r="M215" i="8" s="1"/>
  <c r="G1774" i="5"/>
  <c r="O1773" i="5"/>
  <c r="O39" i="8" s="1"/>
  <c r="D1739" i="5"/>
  <c r="W1739" i="5"/>
  <c r="L1738" i="5"/>
  <c r="L22" i="8" s="1"/>
  <c r="Q1566" i="5"/>
  <c r="Q2458" i="5" s="1"/>
  <c r="D2266" i="5"/>
  <c r="W2266" i="5"/>
  <c r="O2499" i="5"/>
  <c r="O347" i="8" s="1"/>
  <c r="H2470" i="5"/>
  <c r="H337" i="8" s="1"/>
  <c r="Q434" i="5"/>
  <c r="Q1921" i="5" s="1"/>
  <c r="I1921" i="5" s="1"/>
  <c r="F2415" i="5"/>
  <c r="F316" i="8" s="1"/>
  <c r="I2440" i="5"/>
  <c r="AA2440" i="5" s="1"/>
  <c r="Q2439" i="5"/>
  <c r="Q325" i="8" s="1"/>
  <c r="I1912" i="5"/>
  <c r="Q1911" i="5"/>
  <c r="Q93" i="8" s="1"/>
  <c r="G2463" i="5"/>
  <c r="G335" i="8" s="1"/>
  <c r="I1831" i="5"/>
  <c r="Q1830" i="5"/>
  <c r="Q60" i="8" s="1"/>
  <c r="E1959" i="5"/>
  <c r="M1958" i="5"/>
  <c r="M112" i="8" s="1"/>
  <c r="M390" i="8" s="1"/>
  <c r="E87" i="14" s="1"/>
  <c r="H2352" i="5"/>
  <c r="H291" i="8" s="1"/>
  <c r="D2364" i="5"/>
  <c r="W2364" i="5"/>
  <c r="G1836" i="5"/>
  <c r="I2000" i="5"/>
  <c r="I2449" i="5"/>
  <c r="AA2449" i="5" s="1"/>
  <c r="Q2448" i="5"/>
  <c r="Q328" i="8" s="1"/>
  <c r="D2106" i="5"/>
  <c r="L2105" i="5"/>
  <c r="L184" i="8" s="1"/>
  <c r="W2106" i="5"/>
  <c r="V145" i="5"/>
  <c r="Q144" i="5"/>
  <c r="D2447" i="5"/>
  <c r="W2447" i="5"/>
  <c r="X2447" i="5" s="1"/>
  <c r="D1920" i="5"/>
  <c r="W1920" i="5"/>
  <c r="I1834" i="5"/>
  <c r="Q1833" i="5"/>
  <c r="Q61" i="8" s="1"/>
  <c r="D2400" i="5"/>
  <c r="W2400" i="5"/>
  <c r="X2400" i="5" s="1"/>
  <c r="L2399" i="5"/>
  <c r="L310" i="8" s="1"/>
  <c r="D1906" i="5"/>
  <c r="W1906" i="5"/>
  <c r="X1906" i="5" s="1"/>
  <c r="D2020" i="5"/>
  <c r="W2020" i="5"/>
  <c r="H2217" i="5"/>
  <c r="P2216" i="5"/>
  <c r="P235" i="8" s="1"/>
  <c r="D2264" i="5"/>
  <c r="W2264" i="5"/>
  <c r="L2263" i="5"/>
  <c r="L253" i="8" s="1"/>
  <c r="W2373" i="5"/>
  <c r="D1850" i="5"/>
  <c r="W1850" i="5"/>
  <c r="X1850" i="5" s="1"/>
  <c r="P2465" i="5"/>
  <c r="P336" i="8" s="1"/>
  <c r="H1985" i="5"/>
  <c r="P1984" i="5"/>
  <c r="P126" i="8" s="1"/>
  <c r="F2255" i="5"/>
  <c r="N2254" i="5"/>
  <c r="N249" i="8" s="1"/>
  <c r="H1774" i="5"/>
  <c r="P1773" i="5"/>
  <c r="P39" i="8" s="1"/>
  <c r="E2389" i="5"/>
  <c r="M2388" i="5"/>
  <c r="M306" i="8" s="1"/>
  <c r="E2141" i="5"/>
  <c r="M2140" i="5"/>
  <c r="M200" i="8" s="1"/>
  <c r="G2452" i="5"/>
  <c r="G330" i="8" s="1"/>
  <c r="Q696" i="5"/>
  <c r="Q2053" i="5" s="1"/>
  <c r="H1756" i="5"/>
  <c r="P1755" i="5"/>
  <c r="P31" i="8" s="1"/>
  <c r="P371" i="8" s="1"/>
  <c r="H51" i="14" s="1"/>
  <c r="H69" i="3"/>
  <c r="H694" i="5" s="1"/>
  <c r="O694" i="5" s="1"/>
  <c r="O693" i="5" s="1"/>
  <c r="O2051" i="5" s="1"/>
  <c r="I49" i="3"/>
  <c r="H50" i="3"/>
  <c r="I2503" i="5"/>
  <c r="Q2502" i="5"/>
  <c r="Q348" i="8" s="1"/>
  <c r="H2131" i="5"/>
  <c r="E2138" i="5"/>
  <c r="M2137" i="5"/>
  <c r="M199" i="8" s="1"/>
  <c r="F1712" i="5"/>
  <c r="N1711" i="5"/>
  <c r="N10" i="8" s="1"/>
  <c r="I2417" i="5"/>
  <c r="Q2415" i="5"/>
  <c r="Q316" i="8" s="1"/>
  <c r="F2285" i="5"/>
  <c r="G2439" i="5"/>
  <c r="G325" i="8" s="1"/>
  <c r="D2060" i="5"/>
  <c r="W2060" i="5"/>
  <c r="H2408" i="5"/>
  <c r="P2407" i="5"/>
  <c r="P314" i="8" s="1"/>
  <c r="Q985" i="5"/>
  <c r="Q2203" i="5" s="1"/>
  <c r="D1742" i="5"/>
  <c r="W1742" i="5"/>
  <c r="L1741" i="5"/>
  <c r="L23" i="8" s="1"/>
  <c r="E1886" i="5"/>
  <c r="M1885" i="5"/>
  <c r="M83" i="8" s="1"/>
  <c r="D2360" i="5"/>
  <c r="L2359" i="5"/>
  <c r="W2360" i="5"/>
  <c r="E2464" i="5"/>
  <c r="M2463" i="5"/>
  <c r="M335" i="8" s="1"/>
  <c r="G1903" i="5"/>
  <c r="O1902" i="5"/>
  <c r="O89" i="8" s="1"/>
  <c r="W2392" i="5"/>
  <c r="X2392" i="5" s="1"/>
  <c r="E1799" i="5"/>
  <c r="O2246" i="5"/>
  <c r="O245" i="8" s="1"/>
  <c r="O431" i="8" s="1"/>
  <c r="G185" i="14" s="1"/>
  <c r="D2275" i="5"/>
  <c r="W2275" i="5"/>
  <c r="X2275" i="5" s="1"/>
  <c r="Q1815" i="5"/>
  <c r="Q55" i="8" s="1"/>
  <c r="I1816" i="5"/>
  <c r="D2251" i="5"/>
  <c r="W2251" i="5"/>
  <c r="X2251" i="5" s="1"/>
  <c r="L2250" i="5"/>
  <c r="L247" i="8" s="1"/>
  <c r="E621" i="5"/>
  <c r="M621" i="5"/>
  <c r="M620" i="5" s="1"/>
  <c r="M2011" i="5" s="1"/>
  <c r="D2457" i="5"/>
  <c r="W2457" i="5"/>
  <c r="L2456" i="5"/>
  <c r="L332" i="8" s="1"/>
  <c r="O2465" i="5"/>
  <c r="O336" i="8" s="1"/>
  <c r="G2158" i="5"/>
  <c r="O2157" i="5"/>
  <c r="O208" i="8" s="1"/>
  <c r="D1774" i="5"/>
  <c r="W1774" i="5"/>
  <c r="L1773" i="5"/>
  <c r="L39" i="8" s="1"/>
  <c r="M693" i="5"/>
  <c r="M2051" i="5" s="1"/>
  <c r="W2372" i="5"/>
  <c r="E2415" i="5"/>
  <c r="E316" i="8" s="1"/>
  <c r="H2439" i="5"/>
  <c r="H325" i="8" s="1"/>
  <c r="Q995" i="5"/>
  <c r="Q2207" i="5" s="1"/>
  <c r="Q1453" i="5"/>
  <c r="Q2408" i="5" s="1"/>
  <c r="Q1532" i="5"/>
  <c r="Q2443" i="5" s="1"/>
  <c r="I2344" i="5"/>
  <c r="Q2343" i="5"/>
  <c r="D1927" i="5"/>
  <c r="L1926" i="5"/>
  <c r="L98" i="8" s="1"/>
  <c r="W1927" i="5"/>
  <c r="N54" i="5"/>
  <c r="E1902" i="5"/>
  <c r="D2016" i="5"/>
  <c r="W2016" i="5"/>
  <c r="X2016" i="5" s="1"/>
  <c r="V104" i="5"/>
  <c r="Q102" i="5"/>
  <c r="G1807" i="5"/>
  <c r="Q1643" i="5"/>
  <c r="Q2493" i="5" s="1"/>
  <c r="H2356" i="5"/>
  <c r="H293" i="8" s="1"/>
  <c r="G2454" i="5"/>
  <c r="G331" i="8" s="1"/>
  <c r="O1916" i="5"/>
  <c r="O96" i="8" s="1"/>
  <c r="D2433" i="5"/>
  <c r="W2433" i="5"/>
  <c r="X2433" i="5" s="1"/>
  <c r="L2432" i="5"/>
  <c r="L322" i="8" s="1"/>
  <c r="D1919" i="5"/>
  <c r="W1919" i="5"/>
  <c r="X2431" i="5"/>
  <c r="D2481" i="5"/>
  <c r="W2481" i="5"/>
  <c r="X2481" i="5" s="1"/>
  <c r="L2480" i="5"/>
  <c r="L341" i="8" s="1"/>
  <c r="O1842" i="5"/>
  <c r="O64" i="8" s="1"/>
  <c r="G1845" i="5"/>
  <c r="O1753" i="5"/>
  <c r="O30" i="8" s="1"/>
  <c r="G1754" i="5"/>
  <c r="N1751" i="5"/>
  <c r="N29" i="8" s="1"/>
  <c r="F1752" i="5"/>
  <c r="O1839" i="5"/>
  <c r="O63" i="8" s="1"/>
  <c r="G1841" i="5"/>
  <c r="P1753" i="5"/>
  <c r="P30" i="8" s="1"/>
  <c r="H1754" i="5"/>
  <c r="O1751" i="5"/>
  <c r="O29" i="8" s="1"/>
  <c r="G1752" i="5"/>
  <c r="O1854" i="5"/>
  <c r="O67" i="8" s="1"/>
  <c r="G1855" i="5"/>
  <c r="N1753" i="5"/>
  <c r="N30" i="8" s="1"/>
  <c r="F1754" i="5"/>
  <c r="P1751" i="5"/>
  <c r="P29" i="8" s="1"/>
  <c r="H1752" i="5"/>
  <c r="M1753" i="5"/>
  <c r="M30" i="8" s="1"/>
  <c r="E1754" i="5"/>
  <c r="M1751" i="5"/>
  <c r="M29" i="8" s="1"/>
  <c r="E1752" i="5"/>
  <c r="W1765" i="5"/>
  <c r="L90" i="5"/>
  <c r="L1754" i="5" s="1"/>
  <c r="D1754" i="5" s="1"/>
  <c r="Q91" i="5"/>
  <c r="N591" i="5"/>
  <c r="N590" i="5" s="1"/>
  <c r="N1995" i="5" s="1"/>
  <c r="M591" i="5"/>
  <c r="M590" i="5" s="1"/>
  <c r="M1995" i="5" s="1"/>
  <c r="P591" i="5"/>
  <c r="P590" i="5" s="1"/>
  <c r="P1995" i="5" s="1"/>
  <c r="O591" i="5"/>
  <c r="O590" i="5" s="1"/>
  <c r="O1995" i="5" s="1"/>
  <c r="L591" i="5"/>
  <c r="P1159" i="5"/>
  <c r="P1158" i="5" s="1"/>
  <c r="P2274" i="5" s="1"/>
  <c r="P626" i="8" s="1"/>
  <c r="L1159" i="5"/>
  <c r="M1159" i="5"/>
  <c r="M1158" i="5" s="1"/>
  <c r="M2274" i="5" s="1"/>
  <c r="M626" i="8" s="1"/>
  <c r="O1159" i="5"/>
  <c r="O1158" i="5" s="1"/>
  <c r="O2274" i="5" s="1"/>
  <c r="O626" i="8" s="1"/>
  <c r="N1159" i="5"/>
  <c r="N1158" i="5" s="1"/>
  <c r="N2274" i="5" s="1"/>
  <c r="N626" i="8" s="1"/>
  <c r="L87" i="5"/>
  <c r="L1752" i="5" s="1"/>
  <c r="Q88" i="5"/>
  <c r="O687" i="5"/>
  <c r="O686" i="5" s="1"/>
  <c r="O2047" i="5" s="1"/>
  <c r="L687" i="5"/>
  <c r="M687" i="5"/>
  <c r="M686" i="5" s="1"/>
  <c r="M2047" i="5" s="1"/>
  <c r="N687" i="5"/>
  <c r="N686" i="5" s="1"/>
  <c r="N2047" i="5" s="1"/>
  <c r="P687" i="5"/>
  <c r="P686" i="5" s="1"/>
  <c r="P2047" i="5" s="1"/>
  <c r="I272" i="5"/>
  <c r="I292" i="5"/>
  <c r="I262" i="5"/>
  <c r="P262" i="5" s="1"/>
  <c r="P261" i="5" s="1"/>
  <c r="P1841" i="5" s="1"/>
  <c r="P550" i="8" s="1"/>
  <c r="E22" i="3"/>
  <c r="M1854" i="5"/>
  <c r="M67" i="8" s="1"/>
  <c r="M1839" i="5"/>
  <c r="M63" i="8" s="1"/>
  <c r="M1842" i="5"/>
  <c r="M64" i="8" s="1"/>
  <c r="H71" i="3"/>
  <c r="H82" i="3" s="1"/>
  <c r="H83" i="3" s="1"/>
  <c r="I60" i="3"/>
  <c r="J58" i="3"/>
  <c r="I52" i="3"/>
  <c r="I54" i="3" s="1"/>
  <c r="H70" i="3"/>
  <c r="I17" i="3"/>
  <c r="X2366" i="5" l="1"/>
  <c r="Q2331" i="5"/>
  <c r="X2335" i="5"/>
  <c r="I2323" i="5"/>
  <c r="AA2323" i="5" s="1"/>
  <c r="E247" i="8"/>
  <c r="F33" i="8"/>
  <c r="E121" i="8"/>
  <c r="H59" i="8"/>
  <c r="G66" i="8"/>
  <c r="H261" i="8"/>
  <c r="I193" i="8"/>
  <c r="G59" i="8"/>
  <c r="Z2089" i="5"/>
  <c r="H107" i="8"/>
  <c r="G110" i="8"/>
  <c r="E101" i="8"/>
  <c r="E56" i="8"/>
  <c r="Z1814" i="5"/>
  <c r="F128" i="8"/>
  <c r="G250" i="8"/>
  <c r="G113" i="8"/>
  <c r="H259" i="8"/>
  <c r="D181" i="8"/>
  <c r="F259" i="8"/>
  <c r="F38" i="8"/>
  <c r="H190" i="8"/>
  <c r="E225" i="8"/>
  <c r="G261" i="8"/>
  <c r="E243" i="8"/>
  <c r="H101" i="8"/>
  <c r="F46" i="8"/>
  <c r="Z1864" i="5"/>
  <c r="E54" i="8"/>
  <c r="E117" i="8"/>
  <c r="E61" i="8"/>
  <c r="G220" i="8"/>
  <c r="F91" i="8"/>
  <c r="G61" i="8"/>
  <c r="F117" i="8"/>
  <c r="H225" i="8"/>
  <c r="I223" i="8"/>
  <c r="G133" i="8"/>
  <c r="H113" i="8"/>
  <c r="G102" i="8"/>
  <c r="G36" i="8"/>
  <c r="E144" i="8"/>
  <c r="F247" i="8"/>
  <c r="F115" i="8"/>
  <c r="F121" i="8"/>
  <c r="H71" i="14"/>
  <c r="F113" i="8"/>
  <c r="G101" i="8"/>
  <c r="E94" i="8"/>
  <c r="AA2270" i="5"/>
  <c r="H61" i="8"/>
  <c r="Z2161" i="5"/>
  <c r="H66" i="8"/>
  <c r="AA2271" i="5"/>
  <c r="AA2267" i="5"/>
  <c r="E69" i="14"/>
  <c r="G69" i="14"/>
  <c r="F261" i="8"/>
  <c r="I134" i="8"/>
  <c r="E48" i="8"/>
  <c r="H55" i="8"/>
  <c r="G85" i="8"/>
  <c r="H226" i="8"/>
  <c r="F243" i="8"/>
  <c r="E244" i="8"/>
  <c r="H85" i="8"/>
  <c r="G90" i="8"/>
  <c r="E106" i="8"/>
  <c r="G151" i="8"/>
  <c r="F119" i="8"/>
  <c r="F103" i="8"/>
  <c r="H236" i="8"/>
  <c r="G225" i="8"/>
  <c r="G198" i="8"/>
  <c r="H90" i="8"/>
  <c r="G243" i="8"/>
  <c r="H69" i="14"/>
  <c r="F60" i="8"/>
  <c r="AA2286" i="5"/>
  <c r="F66" i="14"/>
  <c r="F42" i="8"/>
  <c r="F62" i="8"/>
  <c r="H57" i="8"/>
  <c r="F221" i="8"/>
  <c r="G217" i="8"/>
  <c r="D78" i="8"/>
  <c r="L486" i="8" s="1"/>
  <c r="D246" i="8"/>
  <c r="G209" i="8"/>
  <c r="D44" i="8"/>
  <c r="G119" i="8"/>
  <c r="Z2024" i="5"/>
  <c r="G55" i="8"/>
  <c r="G259" i="8"/>
  <c r="E128" i="8"/>
  <c r="E221" i="8"/>
  <c r="G56" i="8"/>
  <c r="H220" i="8"/>
  <c r="Z2211" i="5"/>
  <c r="G60" i="8"/>
  <c r="G190" i="8"/>
  <c r="F151" i="8"/>
  <c r="H209" i="8"/>
  <c r="H54" i="8"/>
  <c r="G93" i="8"/>
  <c r="H119" i="8"/>
  <c r="G117" i="8"/>
  <c r="E259" i="8"/>
  <c r="F71" i="14"/>
  <c r="E60" i="8"/>
  <c r="D218" i="8"/>
  <c r="F110" i="8"/>
  <c r="E62" i="8"/>
  <c r="G38" i="8"/>
  <c r="E90" i="8"/>
  <c r="H151" i="8"/>
  <c r="Z1952" i="5"/>
  <c r="Z1866" i="5"/>
  <c r="AA2264" i="5"/>
  <c r="D35" i="8"/>
  <c r="F69" i="14"/>
  <c r="D75" i="14"/>
  <c r="F246" i="8"/>
  <c r="G246" i="8"/>
  <c r="Z1870" i="5"/>
  <c r="F173" i="8"/>
  <c r="E173" i="8"/>
  <c r="H174" i="8"/>
  <c r="E174" i="8"/>
  <c r="E89" i="8"/>
  <c r="H66" i="14"/>
  <c r="G62" i="8"/>
  <c r="E42" i="8"/>
  <c r="G71" i="14"/>
  <c r="F225" i="8"/>
  <c r="E55" i="8"/>
  <c r="H115" i="8"/>
  <c r="H198" i="8"/>
  <c r="F85" i="8"/>
  <c r="E93" i="8"/>
  <c r="E103" i="8"/>
  <c r="G91" i="8"/>
  <c r="H42" i="8"/>
  <c r="E46" i="8"/>
  <c r="G94" i="8"/>
  <c r="E190" i="8"/>
  <c r="F57" i="8"/>
  <c r="H94" i="8"/>
  <c r="H103" i="8"/>
  <c r="G41" i="8"/>
  <c r="Z2074" i="5"/>
  <c r="H60" i="8"/>
  <c r="F209" i="8"/>
  <c r="F32" i="8"/>
  <c r="F55" i="8"/>
  <c r="E261" i="8"/>
  <c r="G153" i="8"/>
  <c r="E91" i="8"/>
  <c r="E33" i="8"/>
  <c r="F107" i="8"/>
  <c r="G128" i="8"/>
  <c r="AA2266" i="5"/>
  <c r="F54" i="8"/>
  <c r="E102" i="8"/>
  <c r="F66" i="8"/>
  <c r="G67" i="14"/>
  <c r="Z2082" i="5"/>
  <c r="Z1852" i="5"/>
  <c r="G144" i="8"/>
  <c r="D232" i="8"/>
  <c r="D134" i="8"/>
  <c r="E38" i="8"/>
  <c r="F105" i="8"/>
  <c r="AA1963" i="5"/>
  <c r="H221" i="8"/>
  <c r="G115" i="8"/>
  <c r="H91" i="8"/>
  <c r="D193" i="8"/>
  <c r="F101" i="8"/>
  <c r="E220" i="8"/>
  <c r="F94" i="8"/>
  <c r="H117" i="8"/>
  <c r="H38" i="8"/>
  <c r="E217" i="8"/>
  <c r="E179" i="8"/>
  <c r="M498" i="8" s="1"/>
  <c r="F186" i="8"/>
  <c r="G228" i="8"/>
  <c r="G57" i="8"/>
  <c r="I218" i="8"/>
  <c r="AA2261" i="5"/>
  <c r="Z2087" i="5"/>
  <c r="G51" i="8"/>
  <c r="H32" i="8"/>
  <c r="E113" i="8"/>
  <c r="G54" i="8"/>
  <c r="G221" i="8"/>
  <c r="F61" i="8"/>
  <c r="D223" i="8"/>
  <c r="E151" i="8"/>
  <c r="E209" i="8"/>
  <c r="G42" i="8"/>
  <c r="G33" i="8"/>
  <c r="F93" i="8"/>
  <c r="E110" i="8"/>
  <c r="H56" i="8"/>
  <c r="F220" i="8"/>
  <c r="G107" i="8"/>
  <c r="F217" i="8"/>
  <c r="H93" i="8"/>
  <c r="G46" i="8"/>
  <c r="F56" i="8"/>
  <c r="F59" i="8"/>
  <c r="E107" i="8"/>
  <c r="E41" i="8"/>
  <c r="E186" i="8"/>
  <c r="E85" i="8"/>
  <c r="F190" i="8"/>
  <c r="F102" i="8"/>
  <c r="G121" i="8"/>
  <c r="H102" i="8"/>
  <c r="E119" i="8"/>
  <c r="H33" i="8"/>
  <c r="Z1955" i="5"/>
  <c r="Z1848" i="5"/>
  <c r="F90" i="8"/>
  <c r="Z1914" i="5"/>
  <c r="E71" i="14"/>
  <c r="H247" i="8"/>
  <c r="H62" i="8"/>
  <c r="H110" i="8"/>
  <c r="E57" i="8"/>
  <c r="E115" i="8"/>
  <c r="AA2281" i="5"/>
  <c r="G247" i="8"/>
  <c r="G103" i="8"/>
  <c r="F252" i="8"/>
  <c r="E66" i="8"/>
  <c r="G106" i="8"/>
  <c r="H217" i="8"/>
  <c r="H46" i="8"/>
  <c r="E59" i="8"/>
  <c r="AA2255" i="5"/>
  <c r="F63" i="8"/>
  <c r="F67" i="8"/>
  <c r="H246" i="8"/>
  <c r="H173" i="8"/>
  <c r="G173" i="8"/>
  <c r="E172" i="8"/>
  <c r="F174" i="8"/>
  <c r="G174" i="8"/>
  <c r="Z1850" i="5"/>
  <c r="G2365" i="5"/>
  <c r="G297" i="8" s="1"/>
  <c r="O297" i="8"/>
  <c r="O281" i="8"/>
  <c r="G2331" i="5"/>
  <c r="G281" i="8" s="1"/>
  <c r="Q281" i="8"/>
  <c r="I2331" i="5"/>
  <c r="I281" i="8" s="1"/>
  <c r="L351" i="8"/>
  <c r="W2507" i="5"/>
  <c r="D2507" i="5"/>
  <c r="D351" i="8" s="1"/>
  <c r="E2365" i="5"/>
  <c r="E297" i="8" s="1"/>
  <c r="M297" i="8"/>
  <c r="D2365" i="5"/>
  <c r="D297" i="8" s="1"/>
  <c r="L297" i="8"/>
  <c r="W2365" i="5"/>
  <c r="I2509" i="5"/>
  <c r="AA2509" i="5" s="1"/>
  <c r="Q2507" i="5"/>
  <c r="Q278" i="8"/>
  <c r="I2324" i="5"/>
  <c r="M351" i="8"/>
  <c r="E2507" i="5"/>
  <c r="E351" i="8" s="1"/>
  <c r="O277" i="8"/>
  <c r="O2321" i="5"/>
  <c r="O276" i="8" s="1"/>
  <c r="O440" i="8" s="1"/>
  <c r="G212" i="14" s="1"/>
  <c r="G2322" i="5"/>
  <c r="G277" i="8" s="1"/>
  <c r="L281" i="8"/>
  <c r="D2331" i="5"/>
  <c r="D281" i="8" s="1"/>
  <c r="W2331" i="5"/>
  <c r="X2331" i="5" s="1"/>
  <c r="E2334" i="5"/>
  <c r="E282" i="8" s="1"/>
  <c r="M282" i="8"/>
  <c r="H2334" i="5"/>
  <c r="H282" i="8" s="1"/>
  <c r="P282" i="8"/>
  <c r="P352" i="8"/>
  <c r="H2510" i="5"/>
  <c r="H352" i="8" s="1"/>
  <c r="X2509" i="5"/>
  <c r="I2510" i="5"/>
  <c r="Q352" i="8"/>
  <c r="H2324" i="5"/>
  <c r="H278" i="8" s="1"/>
  <c r="P278" i="8"/>
  <c r="G2334" i="5"/>
  <c r="G282" i="8" s="1"/>
  <c r="O282" i="8"/>
  <c r="N277" i="8"/>
  <c r="F2322" i="5"/>
  <c r="F277" i="8" s="1"/>
  <c r="N2321" i="5"/>
  <c r="N276" i="8" s="1"/>
  <c r="N440" i="8" s="1"/>
  <c r="F212" i="14" s="1"/>
  <c r="F2365" i="5"/>
  <c r="F297" i="8" s="1"/>
  <c r="N297" i="8"/>
  <c r="P351" i="8"/>
  <c r="H2507" i="5"/>
  <c r="H351" i="8" s="1"/>
  <c r="L282" i="8"/>
  <c r="D2334" i="5"/>
  <c r="D282" i="8" s="1"/>
  <c r="W2334" i="5"/>
  <c r="X2334" i="5" s="1"/>
  <c r="E2324" i="5"/>
  <c r="E278" i="8" s="1"/>
  <c r="M278" i="8"/>
  <c r="C182" i="12"/>
  <c r="E2331" i="5"/>
  <c r="E281" i="8" s="1"/>
  <c r="M281" i="8"/>
  <c r="C235" i="12"/>
  <c r="N282" i="8"/>
  <c r="F2334" i="5"/>
  <c r="F282" i="8" s="1"/>
  <c r="N281" i="8"/>
  <c r="F2331" i="5"/>
  <c r="F281" i="8" s="1"/>
  <c r="F2324" i="5"/>
  <c r="F278" i="8" s="1"/>
  <c r="N278" i="8"/>
  <c r="L277" i="8"/>
  <c r="D2322" i="5"/>
  <c r="D277" i="8" s="1"/>
  <c r="L2321" i="5"/>
  <c r="L276" i="8" s="1"/>
  <c r="L440" i="8" s="1"/>
  <c r="D212" i="14" s="1"/>
  <c r="C185" i="12"/>
  <c r="I2334" i="5"/>
  <c r="I282" i="8" s="1"/>
  <c r="Q282" i="8"/>
  <c r="Q2365" i="5"/>
  <c r="I2366" i="5"/>
  <c r="Q277" i="8"/>
  <c r="I2322" i="5"/>
  <c r="Q2321" i="5"/>
  <c r="Q276" i="8" s="1"/>
  <c r="Q440" i="8" s="1"/>
  <c r="H20" i="8"/>
  <c r="G20" i="8"/>
  <c r="E2483" i="5"/>
  <c r="E342" i="8" s="1"/>
  <c r="G2105" i="5"/>
  <c r="E13" i="8"/>
  <c r="B63" i="12"/>
  <c r="F1719" i="5"/>
  <c r="E19" i="8"/>
  <c r="H1719" i="5"/>
  <c r="B52" i="12"/>
  <c r="G13" i="8"/>
  <c r="C66" i="12"/>
  <c r="B89" i="12"/>
  <c r="C224" i="12"/>
  <c r="C228" i="12"/>
  <c r="C207" i="12"/>
  <c r="C140" i="12"/>
  <c r="B97" i="12"/>
  <c r="B28" i="12"/>
  <c r="C169" i="12"/>
  <c r="B56" i="12"/>
  <c r="AA2272" i="5"/>
  <c r="Q527" i="8"/>
  <c r="C218" i="12"/>
  <c r="C205" i="12"/>
  <c r="B202" i="12"/>
  <c r="B24" i="12"/>
  <c r="C229" i="12"/>
  <c r="B77" i="12"/>
  <c r="Z1947" i="5"/>
  <c r="B199" i="12"/>
  <c r="B133" i="12"/>
  <c r="C196" i="12"/>
  <c r="C155" i="12"/>
  <c r="B119" i="12"/>
  <c r="Z1972" i="5"/>
  <c r="C156" i="12"/>
  <c r="C152" i="12"/>
  <c r="C193" i="12"/>
  <c r="B104" i="12"/>
  <c r="C237" i="12"/>
  <c r="B26" i="12"/>
  <c r="B60" i="12"/>
  <c r="B42" i="12"/>
  <c r="C149" i="12"/>
  <c r="B46" i="12"/>
  <c r="C179" i="12"/>
  <c r="B21" i="12"/>
  <c r="C209" i="12"/>
  <c r="C222" i="12"/>
  <c r="C171" i="12"/>
  <c r="Q602" i="8"/>
  <c r="B40" i="12"/>
  <c r="C166" i="12"/>
  <c r="C177" i="12"/>
  <c r="C151" i="12"/>
  <c r="C146" i="12"/>
  <c r="B102" i="12"/>
  <c r="I232" i="8"/>
  <c r="F1807" i="5"/>
  <c r="D2320" i="5"/>
  <c r="H1889" i="5"/>
  <c r="P1764" i="5"/>
  <c r="P34" i="8" s="1"/>
  <c r="P372" i="8" s="1"/>
  <c r="H52" i="14" s="1"/>
  <c r="H1767" i="5"/>
  <c r="Q643" i="8"/>
  <c r="O661" i="8"/>
  <c r="N688" i="8"/>
  <c r="P688" i="8"/>
  <c r="M688" i="8"/>
  <c r="M662" i="8"/>
  <c r="M661" i="8"/>
  <c r="Q632" i="8"/>
  <c r="Q611" i="8"/>
  <c r="Q600" i="8"/>
  <c r="P689" i="8"/>
  <c r="L674" i="8"/>
  <c r="L672" i="8" s="1"/>
  <c r="M680" i="8"/>
  <c r="I2458" i="5"/>
  <c r="Q634" i="8"/>
  <c r="I1920" i="5"/>
  <c r="Q604" i="8"/>
  <c r="I1918" i="5"/>
  <c r="Q603" i="8"/>
  <c r="I1896" i="5"/>
  <c r="Q593" i="8"/>
  <c r="I2131" i="5"/>
  <c r="I2422" i="5"/>
  <c r="Q637" i="8"/>
  <c r="I2488" i="5"/>
  <c r="Q633" i="8"/>
  <c r="I1983" i="5"/>
  <c r="Q548" i="8"/>
  <c r="I1804" i="5"/>
  <c r="Q559" i="8"/>
  <c r="I1976" i="5"/>
  <c r="Q585" i="8"/>
  <c r="I2446" i="5"/>
  <c r="AA2446" i="5" s="1"/>
  <c r="Q537" i="8"/>
  <c r="I2008" i="5"/>
  <c r="Q547" i="8"/>
  <c r="Q575" i="8"/>
  <c r="Q614" i="8"/>
  <c r="X1766" i="5"/>
  <c r="Q564" i="8"/>
  <c r="Q640" i="8"/>
  <c r="H1856" i="5"/>
  <c r="I1890" i="5"/>
  <c r="Q588" i="8"/>
  <c r="I1886" i="5"/>
  <c r="Q587" i="8"/>
  <c r="I2108" i="5"/>
  <c r="I1965" i="5"/>
  <c r="Q581" i="8"/>
  <c r="Q673" i="8" s="1"/>
  <c r="I1919" i="5"/>
  <c r="Q605" i="8"/>
  <c r="N680" i="8"/>
  <c r="O680" i="8"/>
  <c r="Q630" i="8"/>
  <c r="Q687" i="8" s="1"/>
  <c r="Q682" i="8"/>
  <c r="Q553" i="8"/>
  <c r="O565" i="8"/>
  <c r="O662" i="8" s="1"/>
  <c r="L529" i="8"/>
  <c r="L689" i="8" s="1"/>
  <c r="Q534" i="8"/>
  <c r="O688" i="8"/>
  <c r="O674" i="8"/>
  <c r="O672" i="8" s="1"/>
  <c r="Q601" i="8"/>
  <c r="P674" i="8"/>
  <c r="L556" i="8"/>
  <c r="L657" i="8" s="1"/>
  <c r="M689" i="8"/>
  <c r="N689" i="8"/>
  <c r="L640" i="8"/>
  <c r="L688" i="8" s="1"/>
  <c r="I1898" i="5"/>
  <c r="Q586" i="8"/>
  <c r="Q1944" i="5"/>
  <c r="Q106" i="8" s="1"/>
  <c r="Q596" i="8"/>
  <c r="I2265" i="5"/>
  <c r="Q619" i="8"/>
  <c r="Q679" i="8" s="1"/>
  <c r="I2228" i="5"/>
  <c r="Q610" i="8"/>
  <c r="Q683" i="8" s="1"/>
  <c r="I1951" i="5"/>
  <c r="Q595" i="8"/>
  <c r="I2112" i="5"/>
  <c r="Q571" i="8"/>
  <c r="I2404" i="5"/>
  <c r="Q535" i="8"/>
  <c r="I1953" i="5"/>
  <c r="Q597" i="8"/>
  <c r="I2200" i="5"/>
  <c r="Q613" i="8"/>
  <c r="I1857" i="5"/>
  <c r="M674" i="8"/>
  <c r="M672" i="8" s="1"/>
  <c r="L664" i="8"/>
  <c r="L565" i="8"/>
  <c r="L662" i="8" s="1"/>
  <c r="P680" i="8"/>
  <c r="P661" i="8"/>
  <c r="L655" i="8"/>
  <c r="Q529" i="8"/>
  <c r="N674" i="8"/>
  <c r="N672" i="8" s="1"/>
  <c r="P655" i="8"/>
  <c r="D1752" i="5"/>
  <c r="Q2242" i="5"/>
  <c r="Q244" i="8" s="1"/>
  <c r="Q612" i="8"/>
  <c r="Q650" i="8"/>
  <c r="I1917" i="5"/>
  <c r="Q594" i="8"/>
  <c r="I2464" i="5"/>
  <c r="Q638" i="8"/>
  <c r="Q639" i="8"/>
  <c r="P675" i="8"/>
  <c r="O689" i="8"/>
  <c r="M677" i="8"/>
  <c r="P295" i="8"/>
  <c r="P2358" i="5"/>
  <c r="P294" i="8" s="1"/>
  <c r="P445" i="8" s="1"/>
  <c r="H217" i="14" s="1"/>
  <c r="D1862" i="5"/>
  <c r="L71" i="8"/>
  <c r="E2079" i="5"/>
  <c r="M171" i="8"/>
  <c r="F2077" i="5"/>
  <c r="N170" i="8"/>
  <c r="G2079" i="5"/>
  <c r="O171" i="8"/>
  <c r="I2085" i="5"/>
  <c r="Q173" i="8"/>
  <c r="H2079" i="5"/>
  <c r="P171" i="8"/>
  <c r="G2081" i="5"/>
  <c r="O172" i="8"/>
  <c r="D2088" i="5"/>
  <c r="L174" i="8"/>
  <c r="G2375" i="5"/>
  <c r="G301" i="8" s="1"/>
  <c r="O301" i="8"/>
  <c r="M295" i="8"/>
  <c r="M2358" i="5"/>
  <c r="M294" i="8" s="1"/>
  <c r="M445" i="8" s="1"/>
  <c r="E217" i="14" s="1"/>
  <c r="F2375" i="5"/>
  <c r="F301" i="8" s="1"/>
  <c r="N301" i="8"/>
  <c r="I2088" i="5"/>
  <c r="Q174" i="8"/>
  <c r="D2077" i="5"/>
  <c r="L170" i="8"/>
  <c r="F2081" i="5"/>
  <c r="N172" i="8"/>
  <c r="H2077" i="5"/>
  <c r="P170" i="8"/>
  <c r="G2077" i="5"/>
  <c r="O170" i="8"/>
  <c r="D2085" i="5"/>
  <c r="L173" i="8"/>
  <c r="F2079" i="5"/>
  <c r="N171" i="8"/>
  <c r="E2077" i="5"/>
  <c r="M170" i="8"/>
  <c r="E2375" i="5"/>
  <c r="E301" i="8" s="1"/>
  <c r="M301" i="8"/>
  <c r="O2358" i="5"/>
  <c r="O294" i="8" s="1"/>
  <c r="O445" i="8" s="1"/>
  <c r="G217" i="14" s="1"/>
  <c r="L295" i="8"/>
  <c r="L2358" i="5"/>
  <c r="L294" i="8" s="1"/>
  <c r="N295" i="8"/>
  <c r="N2358" i="5"/>
  <c r="N294" i="8" s="1"/>
  <c r="N445" i="8" s="1"/>
  <c r="F217" i="14" s="1"/>
  <c r="D2081" i="5"/>
  <c r="L172" i="8"/>
  <c r="H2375" i="5"/>
  <c r="H301" i="8" s="1"/>
  <c r="P301" i="8"/>
  <c r="H2081" i="5"/>
  <c r="P172" i="8"/>
  <c r="N150" i="8"/>
  <c r="N403" i="8" s="1"/>
  <c r="F131" i="14" s="1"/>
  <c r="M150" i="8"/>
  <c r="M403" i="8" s="1"/>
  <c r="E131" i="14" s="1"/>
  <c r="P150" i="8"/>
  <c r="P403" i="8" s="1"/>
  <c r="H131" i="14" s="1"/>
  <c r="O150" i="8"/>
  <c r="O403" i="8" s="1"/>
  <c r="G131" i="14" s="1"/>
  <c r="D2512" i="5"/>
  <c r="D353" i="8" s="1"/>
  <c r="L2506" i="5"/>
  <c r="L350" i="8" s="1"/>
  <c r="I2512" i="5"/>
  <c r="Q2506" i="5"/>
  <c r="Q350" i="8" s="1"/>
  <c r="Q454" i="8" s="1"/>
  <c r="F2317" i="5"/>
  <c r="F275" i="8" s="1"/>
  <c r="O2367" i="5"/>
  <c r="O298" i="8" s="1"/>
  <c r="O446" i="8" s="1"/>
  <c r="G218" i="14" s="1"/>
  <c r="H2236" i="5"/>
  <c r="P2316" i="5"/>
  <c r="P274" i="8" s="1"/>
  <c r="P439" i="8" s="1"/>
  <c r="H211" i="14" s="1"/>
  <c r="Q353" i="8"/>
  <c r="G1856" i="5"/>
  <c r="M2345" i="5"/>
  <c r="M287" i="8" s="1"/>
  <c r="M443" i="8" s="1"/>
  <c r="E215" i="14" s="1"/>
  <c r="X2513" i="5"/>
  <c r="P344" i="8"/>
  <c r="P2486" i="5"/>
  <c r="P343" i="8" s="1"/>
  <c r="P453" i="8" s="1"/>
  <c r="H225" i="14" s="1"/>
  <c r="O344" i="8"/>
  <c r="O2486" i="5"/>
  <c r="O343" i="8" s="1"/>
  <c r="O453" i="8" s="1"/>
  <c r="G225" i="14" s="1"/>
  <c r="M344" i="8"/>
  <c r="M2486" i="5"/>
  <c r="M343" i="8" s="1"/>
  <c r="M453" i="8" s="1"/>
  <c r="E225" i="14" s="1"/>
  <c r="L344" i="8"/>
  <c r="L2486" i="5"/>
  <c r="L343" i="8" s="1"/>
  <c r="N344" i="8"/>
  <c r="N2486" i="5"/>
  <c r="N343" i="8" s="1"/>
  <c r="N453" i="8" s="1"/>
  <c r="F225" i="14" s="1"/>
  <c r="O2451" i="5"/>
  <c r="O329" i="8" s="1"/>
  <c r="O452" i="8" s="1"/>
  <c r="G224" i="14" s="1"/>
  <c r="N2451" i="5"/>
  <c r="N329" i="8" s="1"/>
  <c r="N452" i="8" s="1"/>
  <c r="F224" i="14" s="1"/>
  <c r="P2451" i="5"/>
  <c r="P329" i="8" s="1"/>
  <c r="P452" i="8" s="1"/>
  <c r="H224" i="14" s="1"/>
  <c r="M2451" i="5"/>
  <c r="M329" i="8" s="1"/>
  <c r="M452" i="8" s="1"/>
  <c r="E224" i="14" s="1"/>
  <c r="N1826" i="5"/>
  <c r="N58" i="8" s="1"/>
  <c r="N377" i="8" s="1"/>
  <c r="F57" i="14" s="1"/>
  <c r="L2371" i="5"/>
  <c r="L300" i="8" s="1"/>
  <c r="N324" i="8"/>
  <c r="N2434" i="5"/>
  <c r="N323" i="8" s="1"/>
  <c r="N451" i="8" s="1"/>
  <c r="F223" i="14" s="1"/>
  <c r="L324" i="8"/>
  <c r="L2434" i="5"/>
  <c r="L323" i="8" s="1"/>
  <c r="P324" i="8"/>
  <c r="P2434" i="5"/>
  <c r="P323" i="8" s="1"/>
  <c r="P451" i="8" s="1"/>
  <c r="H223" i="14" s="1"/>
  <c r="L330" i="8"/>
  <c r="O324" i="8"/>
  <c r="O2434" i="5"/>
  <c r="O323" i="8" s="1"/>
  <c r="O451" i="8" s="1"/>
  <c r="G223" i="14" s="1"/>
  <c r="Q330" i="8"/>
  <c r="M324" i="8"/>
  <c r="M2434" i="5"/>
  <c r="M323" i="8" s="1"/>
  <c r="M451" i="8" s="1"/>
  <c r="E223" i="14" s="1"/>
  <c r="G2411" i="5"/>
  <c r="G315" i="8" s="1"/>
  <c r="P2367" i="5"/>
  <c r="P298" i="8" s="1"/>
  <c r="P446" i="8" s="1"/>
  <c r="H218" i="14" s="1"/>
  <c r="W2374" i="5"/>
  <c r="X2374" i="5" s="1"/>
  <c r="X1919" i="5"/>
  <c r="F1842" i="5"/>
  <c r="M2367" i="5"/>
  <c r="M298" i="8" s="1"/>
  <c r="M446" i="8" s="1"/>
  <c r="E218" i="14" s="1"/>
  <c r="N2316" i="5"/>
  <c r="N274" i="8" s="1"/>
  <c r="N439" i="8" s="1"/>
  <c r="F211" i="14" s="1"/>
  <c r="G2195" i="5"/>
  <c r="N2367" i="5"/>
  <c r="N298" i="8" s="1"/>
  <c r="N446" i="8" s="1"/>
  <c r="F218" i="14" s="1"/>
  <c r="L2317" i="5"/>
  <c r="L275" i="8" s="1"/>
  <c r="Q309" i="8"/>
  <c r="O2395" i="5"/>
  <c r="O308" i="8" s="1"/>
  <c r="O448" i="8" s="1"/>
  <c r="G220" i="14" s="1"/>
  <c r="N2395" i="5"/>
  <c r="N308" i="8" s="1"/>
  <c r="N448" i="8" s="1"/>
  <c r="F220" i="14" s="1"/>
  <c r="L309" i="8"/>
  <c r="L2395" i="5"/>
  <c r="L308" i="8" s="1"/>
  <c r="L299" i="8"/>
  <c r="Q299" i="8"/>
  <c r="P2395" i="5"/>
  <c r="P308" i="8" s="1"/>
  <c r="P448" i="8" s="1"/>
  <c r="H220" i="14" s="1"/>
  <c r="M2395" i="5"/>
  <c r="M308" i="8" s="1"/>
  <c r="M448" i="8" s="1"/>
  <c r="E220" i="14" s="1"/>
  <c r="F2348" i="5"/>
  <c r="F289" i="8" s="1"/>
  <c r="H2317" i="5"/>
  <c r="H275" i="8" s="1"/>
  <c r="H1944" i="5"/>
  <c r="E2348" i="5"/>
  <c r="E289" i="8" s="1"/>
  <c r="X1857" i="5"/>
  <c r="L1859" i="5"/>
  <c r="L69" i="8" s="1"/>
  <c r="Q1856" i="5"/>
  <c r="Q68" i="8" s="1"/>
  <c r="O300" i="8"/>
  <c r="G2371" i="5"/>
  <c r="G300" i="8" s="1"/>
  <c r="M2316" i="5"/>
  <c r="M274" i="8" s="1"/>
  <c r="M439" i="8" s="1"/>
  <c r="E211" i="14" s="1"/>
  <c r="N300" i="8"/>
  <c r="F2371" i="5"/>
  <c r="F300" i="8" s="1"/>
  <c r="M300" i="8"/>
  <c r="E2371" i="5"/>
  <c r="E300" i="8" s="1"/>
  <c r="E2317" i="5"/>
  <c r="E275" i="8" s="1"/>
  <c r="P300" i="8"/>
  <c r="H2371" i="5"/>
  <c r="H300" i="8" s="1"/>
  <c r="O2190" i="5"/>
  <c r="O224" i="8" s="1"/>
  <c r="O425" i="8" s="1"/>
  <c r="G179" i="14" s="1"/>
  <c r="D2376" i="5"/>
  <c r="W2376" i="5"/>
  <c r="X2376" i="5" s="1"/>
  <c r="W2377" i="5"/>
  <c r="X2377" i="5" s="1"/>
  <c r="L2375" i="5"/>
  <c r="Q2375" i="5"/>
  <c r="F1856" i="5"/>
  <c r="M2327" i="5"/>
  <c r="E2328" i="5"/>
  <c r="E280" i="8" s="1"/>
  <c r="O2327" i="5"/>
  <c r="G2328" i="5"/>
  <c r="G280" i="8" s="1"/>
  <c r="D2328" i="5"/>
  <c r="D280" i="8" s="1"/>
  <c r="L2327" i="5"/>
  <c r="X2329" i="5"/>
  <c r="Q2328" i="5"/>
  <c r="I2329" i="5"/>
  <c r="AA2329" i="5" s="1"/>
  <c r="F2328" i="5"/>
  <c r="N2327" i="5"/>
  <c r="P2327" i="5"/>
  <c r="H2328" i="5"/>
  <c r="H280" i="8" s="1"/>
  <c r="M2076" i="5"/>
  <c r="Q2081" i="5"/>
  <c r="I2083" i="5"/>
  <c r="P280" i="8"/>
  <c r="N1862" i="5"/>
  <c r="F1863" i="5"/>
  <c r="N1865" i="5"/>
  <c r="F1867" i="5"/>
  <c r="L1865" i="5"/>
  <c r="D1867" i="5"/>
  <c r="O1865" i="5"/>
  <c r="G1867" i="5"/>
  <c r="O2076" i="5"/>
  <c r="Q2079" i="5"/>
  <c r="I2080" i="5"/>
  <c r="P1862" i="5"/>
  <c r="H1863" i="5"/>
  <c r="N1868" i="5"/>
  <c r="F1869" i="5"/>
  <c r="N2076" i="5"/>
  <c r="P2076" i="5"/>
  <c r="M280" i="8"/>
  <c r="O280" i="8"/>
  <c r="N280" i="8"/>
  <c r="F280" i="8"/>
  <c r="Q2077" i="5"/>
  <c r="I2078" i="5"/>
  <c r="O1862" i="5"/>
  <c r="G1863" i="5"/>
  <c r="P1868" i="5"/>
  <c r="H1869" i="5"/>
  <c r="M1865" i="5"/>
  <c r="E1867" i="5"/>
  <c r="M1862" i="5"/>
  <c r="E1863" i="5"/>
  <c r="M1868" i="5"/>
  <c r="E1869" i="5"/>
  <c r="L2076" i="5"/>
  <c r="D2079" i="5"/>
  <c r="L280" i="8"/>
  <c r="O1868" i="5"/>
  <c r="G1869" i="5"/>
  <c r="P1865" i="5"/>
  <c r="H1867" i="5"/>
  <c r="Q2317" i="5"/>
  <c r="Q275" i="8" s="1"/>
  <c r="X2320" i="5"/>
  <c r="H2411" i="5"/>
  <c r="H315" i="8" s="1"/>
  <c r="W2323" i="5"/>
  <c r="X2323" i="5" s="1"/>
  <c r="O2345" i="5"/>
  <c r="G2345" i="5" s="1"/>
  <c r="G287" i="8" s="1"/>
  <c r="E1856" i="5"/>
  <c r="X2078" i="5"/>
  <c r="X2080" i="5"/>
  <c r="G2348" i="5"/>
  <c r="G289" i="8" s="1"/>
  <c r="G2137" i="5"/>
  <c r="X2083" i="5"/>
  <c r="X2089" i="5"/>
  <c r="Q1923" i="5"/>
  <c r="Q97" i="8" s="1"/>
  <c r="W2087" i="5"/>
  <c r="W2086" i="5"/>
  <c r="X2082" i="5"/>
  <c r="X1864" i="5"/>
  <c r="Q1867" i="5"/>
  <c r="Q1863" i="5"/>
  <c r="L1868" i="5"/>
  <c r="L73" i="8" s="1"/>
  <c r="W1869" i="5"/>
  <c r="W1863" i="5"/>
  <c r="Q1869" i="5"/>
  <c r="W1867" i="5"/>
  <c r="W1860" i="5"/>
  <c r="N289" i="8"/>
  <c r="Q2199" i="5"/>
  <c r="Q228" i="8" s="1"/>
  <c r="O1859" i="5"/>
  <c r="O1846" i="5" s="1"/>
  <c r="O65" i="8" s="1"/>
  <c r="O378" i="8" s="1"/>
  <c r="G58" i="14" s="1"/>
  <c r="G1860" i="5"/>
  <c r="M1859" i="5"/>
  <c r="E1860" i="5"/>
  <c r="H1860" i="5"/>
  <c r="P1859" i="5"/>
  <c r="F1860" i="5"/>
  <c r="N1859" i="5"/>
  <c r="Q1860" i="5"/>
  <c r="X1866" i="5"/>
  <c r="W1870" i="5"/>
  <c r="X1870" i="5" s="1"/>
  <c r="E1767" i="5"/>
  <c r="H2421" i="5"/>
  <c r="H318" i="8" s="1"/>
  <c r="F2418" i="5"/>
  <c r="F317" i="8" s="1"/>
  <c r="F2220" i="5"/>
  <c r="H1997" i="5"/>
  <c r="F2246" i="5"/>
  <c r="H2418" i="5"/>
  <c r="H317" i="8" s="1"/>
  <c r="N2190" i="5"/>
  <c r="N224" i="8" s="1"/>
  <c r="N425" i="8" s="1"/>
  <c r="F179" i="14" s="1"/>
  <c r="F2195" i="5"/>
  <c r="P1996" i="5"/>
  <c r="P132" i="8" s="1"/>
  <c r="P397" i="8" s="1"/>
  <c r="H111" i="14" s="1"/>
  <c r="H2109" i="5"/>
  <c r="Q2445" i="5"/>
  <c r="Q327" i="8" s="1"/>
  <c r="P2311" i="5"/>
  <c r="P271" i="8" s="1"/>
  <c r="P438" i="8" s="1"/>
  <c r="H210" i="14" s="1"/>
  <c r="G2314" i="5"/>
  <c r="G273" i="8" s="1"/>
  <c r="H2312" i="5"/>
  <c r="H272" i="8" s="1"/>
  <c r="X2446" i="5"/>
  <c r="G2442" i="5"/>
  <c r="G326" i="8" s="1"/>
  <c r="G2109" i="5"/>
  <c r="F2483" i="5"/>
  <c r="F342" i="8" s="1"/>
  <c r="M1764" i="5"/>
  <c r="M34" i="8" s="1"/>
  <c r="M372" i="8" s="1"/>
  <c r="E52" i="14" s="1"/>
  <c r="X2405" i="5"/>
  <c r="E2499" i="5"/>
  <c r="E347" i="8" s="1"/>
  <c r="X1804" i="5"/>
  <c r="O2311" i="5"/>
  <c r="X2247" i="5"/>
  <c r="G1786" i="5"/>
  <c r="G2227" i="5"/>
  <c r="G2312" i="5"/>
  <c r="G272" i="8" s="1"/>
  <c r="X2200" i="5"/>
  <c r="I2247" i="5"/>
  <c r="L195" i="8"/>
  <c r="P292" i="8"/>
  <c r="I2355" i="5"/>
  <c r="L292" i="8"/>
  <c r="Q291" i="8"/>
  <c r="O292" i="8"/>
  <c r="L293" i="8"/>
  <c r="Q293" i="8"/>
  <c r="L291" i="8"/>
  <c r="N292" i="8"/>
  <c r="M292" i="8"/>
  <c r="L289" i="8"/>
  <c r="N287" i="8"/>
  <c r="N443" i="8" s="1"/>
  <c r="F215" i="14" s="1"/>
  <c r="P287" i="8"/>
  <c r="P443" i="8" s="1"/>
  <c r="H215" i="14" s="1"/>
  <c r="P289" i="8"/>
  <c r="P284" i="8"/>
  <c r="P442" i="8" s="1"/>
  <c r="H214" i="14" s="1"/>
  <c r="O284" i="8"/>
  <c r="O442" i="8" s="1"/>
  <c r="G214" i="14" s="1"/>
  <c r="Q286" i="8"/>
  <c r="Q285" i="8"/>
  <c r="N284" i="8"/>
  <c r="N442" i="8" s="1"/>
  <c r="F214" i="14" s="1"/>
  <c r="L286" i="8"/>
  <c r="L285" i="8"/>
  <c r="M284" i="8"/>
  <c r="M442" i="8" s="1"/>
  <c r="E214" i="14" s="1"/>
  <c r="E1986" i="5"/>
  <c r="O1755" i="5"/>
  <c r="O31" i="8" s="1"/>
  <c r="O371" i="8" s="1"/>
  <c r="G51" i="14" s="1"/>
  <c r="Q2143" i="5"/>
  <c r="Q201" i="8" s="1"/>
  <c r="G1756" i="5"/>
  <c r="F2134" i="5"/>
  <c r="E2224" i="5"/>
  <c r="F2393" i="5"/>
  <c r="F307" i="8" s="1"/>
  <c r="X1965" i="5"/>
  <c r="H1975" i="5"/>
  <c r="F1990" i="5"/>
  <c r="X2264" i="5"/>
  <c r="F2199" i="5"/>
  <c r="G1764" i="5"/>
  <c r="G1986" i="5"/>
  <c r="F2442" i="5"/>
  <c r="F326" i="8" s="1"/>
  <c r="X1953" i="5"/>
  <c r="I1924" i="5"/>
  <c r="E1786" i="5"/>
  <c r="X2313" i="5"/>
  <c r="X2389" i="5"/>
  <c r="L424" i="8"/>
  <c r="D178" i="14" s="1"/>
  <c r="L412" i="8"/>
  <c r="D140" i="14" s="1"/>
  <c r="L312" i="8"/>
  <c r="O2223" i="5"/>
  <c r="O237" i="8" s="1"/>
  <c r="O429" i="8" s="1"/>
  <c r="G183" i="14" s="1"/>
  <c r="X2423" i="5"/>
  <c r="L305" i="8"/>
  <c r="G2224" i="5"/>
  <c r="G2435" i="5"/>
  <c r="G324" i="8" s="1"/>
  <c r="L422" i="8"/>
  <c r="D176" i="14" s="1"/>
  <c r="G2421" i="5"/>
  <c r="G318" i="8" s="1"/>
  <c r="N2311" i="5"/>
  <c r="H2403" i="5"/>
  <c r="H312" i="8" s="1"/>
  <c r="F2499" i="5"/>
  <c r="F347" i="8" s="1"/>
  <c r="F2107" i="5"/>
  <c r="E2354" i="5"/>
  <c r="E292" i="8" s="1"/>
  <c r="H2463" i="5"/>
  <c r="H335" i="8" s="1"/>
  <c r="G1751" i="5"/>
  <c r="G1839" i="5"/>
  <c r="F2202" i="5"/>
  <c r="I1945" i="5"/>
  <c r="E2403" i="5"/>
  <c r="E312" i="8" s="1"/>
  <c r="E2379" i="5"/>
  <c r="E302" i="8" s="1"/>
  <c r="H2224" i="5"/>
  <c r="E1923" i="5"/>
  <c r="H2199" i="5"/>
  <c r="F2421" i="5"/>
  <c r="F318" i="8" s="1"/>
  <c r="E1854" i="5"/>
  <c r="N2351" i="5"/>
  <c r="F2351" i="5" s="1"/>
  <c r="F290" i="8" s="1"/>
  <c r="E1751" i="5"/>
  <c r="H1751" i="5"/>
  <c r="G1854" i="5"/>
  <c r="O1769" i="5"/>
  <c r="O37" i="8" s="1"/>
  <c r="O373" i="8" s="1"/>
  <c r="G53" i="14" s="1"/>
  <c r="Q2246" i="5"/>
  <c r="Q245" i="8" s="1"/>
  <c r="Q431" i="8" s="1"/>
  <c r="X2380" i="5"/>
  <c r="O1961" i="5"/>
  <c r="O114" i="8" s="1"/>
  <c r="O391" i="8" s="1"/>
  <c r="G88" i="14" s="1"/>
  <c r="P2351" i="5"/>
  <c r="Q2379" i="5"/>
  <c r="Q302" i="8" s="1"/>
  <c r="L1786" i="5"/>
  <c r="L43" i="8" s="1"/>
  <c r="F1786" i="5"/>
  <c r="G2143" i="5"/>
  <c r="E2254" i="5"/>
  <c r="G1722" i="5"/>
  <c r="F1944" i="5"/>
  <c r="M2223" i="5"/>
  <c r="M237" i="8" s="1"/>
  <c r="M429" i="8" s="1"/>
  <c r="E183" i="14" s="1"/>
  <c r="N1716" i="5"/>
  <c r="N11" i="8" s="1"/>
  <c r="N364" i="8" s="1"/>
  <c r="F31" i="14" s="1"/>
  <c r="M1769" i="5"/>
  <c r="M37" i="8" s="1"/>
  <c r="M373" i="8" s="1"/>
  <c r="E53" i="14" s="1"/>
  <c r="O2198" i="5"/>
  <c r="O227" i="8" s="1"/>
  <c r="O426" i="8" s="1"/>
  <c r="G180" i="14" s="1"/>
  <c r="P1949" i="5"/>
  <c r="P108" i="8" s="1"/>
  <c r="P389" i="8" s="1"/>
  <c r="H86" i="14" s="1"/>
  <c r="H2435" i="5"/>
  <c r="H324" i="8" s="1"/>
  <c r="E1842" i="5"/>
  <c r="E1839" i="5"/>
  <c r="F1751" i="5"/>
  <c r="P1716" i="5"/>
  <c r="P11" i="8" s="1"/>
  <c r="P364" i="8" s="1"/>
  <c r="H31" i="14" s="1"/>
  <c r="L1764" i="5"/>
  <c r="L34" i="8" s="1"/>
  <c r="E2287" i="5"/>
  <c r="P2232" i="5"/>
  <c r="P240" i="8" s="1"/>
  <c r="P430" i="8" s="1"/>
  <c r="H184" i="14" s="1"/>
  <c r="H2246" i="5"/>
  <c r="N2198" i="5"/>
  <c r="N227" i="8" s="1"/>
  <c r="N426" i="8" s="1"/>
  <c r="F180" i="14" s="1"/>
  <c r="O2351" i="5"/>
  <c r="G2351" i="5" s="1"/>
  <c r="G290" i="8" s="1"/>
  <c r="P1961" i="5"/>
  <c r="P114" i="8" s="1"/>
  <c r="P391" i="8" s="1"/>
  <c r="H88" i="14" s="1"/>
  <c r="X2144" i="5"/>
  <c r="E2246" i="5"/>
  <c r="G2242" i="5"/>
  <c r="H2239" i="5"/>
  <c r="H2137" i="5"/>
  <c r="X1924" i="5"/>
  <c r="X2272" i="5"/>
  <c r="Q2463" i="5"/>
  <c r="Q335" i="8" s="1"/>
  <c r="Q2388" i="5"/>
  <c r="Q306" i="8" s="1"/>
  <c r="H2348" i="5"/>
  <c r="H289" i="8" s="1"/>
  <c r="X1925" i="5"/>
  <c r="F1895" i="5"/>
  <c r="X1945" i="5"/>
  <c r="G1923" i="5"/>
  <c r="X2464" i="5"/>
  <c r="X2020" i="5"/>
  <c r="F2495" i="5"/>
  <c r="F346" i="8" s="1"/>
  <c r="X1886" i="5"/>
  <c r="X2498" i="5"/>
  <c r="Q2312" i="5"/>
  <c r="Q272" i="8" s="1"/>
  <c r="X2330" i="5"/>
  <c r="P2223" i="5"/>
  <c r="P237" i="8" s="1"/>
  <c r="P429" i="8" s="1"/>
  <c r="H183" i="14" s="1"/>
  <c r="F2445" i="5"/>
  <c r="F327" i="8" s="1"/>
  <c r="P2279" i="5"/>
  <c r="P258" i="8" s="1"/>
  <c r="P434" i="8" s="1"/>
  <c r="H188" i="14" s="1"/>
  <c r="F2379" i="5"/>
  <c r="F302" i="8" s="1"/>
  <c r="H1895" i="5"/>
  <c r="X2265" i="5"/>
  <c r="X2208" i="5"/>
  <c r="X2225" i="5"/>
  <c r="Q1803" i="5"/>
  <c r="Q50" i="8" s="1"/>
  <c r="M1755" i="5"/>
  <c r="M31" i="8" s="1"/>
  <c r="M371" i="8" s="1"/>
  <c r="E51" i="14" s="1"/>
  <c r="Q2393" i="5"/>
  <c r="Q307" i="8" s="1"/>
  <c r="X2404" i="5"/>
  <c r="F2224" i="5"/>
  <c r="Q2107" i="5"/>
  <c r="Q185" i="8" s="1"/>
  <c r="E1756" i="5"/>
  <c r="X2457" i="5"/>
  <c r="X2360" i="5"/>
  <c r="Q1964" i="5"/>
  <c r="Q116" i="8" s="1"/>
  <c r="I2259" i="5"/>
  <c r="G2269" i="5"/>
  <c r="X2271" i="5"/>
  <c r="F1982" i="5"/>
  <c r="F2435" i="5"/>
  <c r="F324" i="8" s="1"/>
  <c r="P1974" i="5"/>
  <c r="P120" i="8" s="1"/>
  <c r="P393" i="8" s="1"/>
  <c r="H90" i="14" s="1"/>
  <c r="X1928" i="5"/>
  <c r="X2489" i="5"/>
  <c r="N2223" i="5"/>
  <c r="N237" i="8" s="1"/>
  <c r="N429" i="8" s="1"/>
  <c r="F183" i="14" s="1"/>
  <c r="Q2403" i="5"/>
  <c r="Q312" i="8" s="1"/>
  <c r="Q2111" i="5"/>
  <c r="Q187" i="8" s="1"/>
  <c r="Q2260" i="5"/>
  <c r="Q252" i="8" s="1"/>
  <c r="I2138" i="5"/>
  <c r="N1981" i="5"/>
  <c r="N124" i="8" s="1"/>
  <c r="N395" i="8" s="1"/>
  <c r="F109" i="14" s="1"/>
  <c r="O1716" i="5"/>
  <c r="O11" i="8" s="1"/>
  <c r="O364" i="8" s="1"/>
  <c r="G31" i="14" s="1"/>
  <c r="Q2224" i="5"/>
  <c r="Q238" i="8" s="1"/>
  <c r="X2138" i="5"/>
  <c r="G1950" i="5"/>
  <c r="X2267" i="5"/>
  <c r="X1927" i="5"/>
  <c r="Q1926" i="5"/>
  <c r="Q98" i="8" s="1"/>
  <c r="M2351" i="5"/>
  <c r="H1950" i="5"/>
  <c r="O1949" i="5"/>
  <c r="O108" i="8" s="1"/>
  <c r="O389" i="8" s="1"/>
  <c r="G86" i="14" s="1"/>
  <c r="Q1950" i="5"/>
  <c r="Q109" i="8" s="1"/>
  <c r="Q1902" i="5"/>
  <c r="Q89" i="8" s="1"/>
  <c r="E1895" i="5"/>
  <c r="I2243" i="5"/>
  <c r="X2112" i="5"/>
  <c r="X1976" i="5"/>
  <c r="X1808" i="5"/>
  <c r="X2315" i="5"/>
  <c r="X2494" i="5"/>
  <c r="X2243" i="5"/>
  <c r="E2411" i="5"/>
  <c r="E315" i="8" s="1"/>
  <c r="X2491" i="5"/>
  <c r="X1951" i="5"/>
  <c r="Q1885" i="5"/>
  <c r="Q83" i="8" s="1"/>
  <c r="X2108" i="5"/>
  <c r="X1888" i="5"/>
  <c r="X2394" i="5"/>
  <c r="E2492" i="5"/>
  <c r="E345" i="8" s="1"/>
  <c r="Q1975" i="5"/>
  <c r="Q121" i="8" s="1"/>
  <c r="X2007" i="5"/>
  <c r="N1941" i="5"/>
  <c r="N104" i="8" s="1"/>
  <c r="N388" i="8" s="1"/>
  <c r="F85" i="14" s="1"/>
  <c r="X2261" i="5"/>
  <c r="X2065" i="5"/>
  <c r="X1918" i="5"/>
  <c r="X1985" i="5"/>
  <c r="X2196" i="5"/>
  <c r="X2373" i="5"/>
  <c r="X2438" i="5"/>
  <c r="E2465" i="5"/>
  <c r="E336" i="8" s="1"/>
  <c r="X2141" i="5"/>
  <c r="X2363" i="5"/>
  <c r="O2133" i="5"/>
  <c r="O197" i="8" s="1"/>
  <c r="O417" i="8" s="1"/>
  <c r="G159" i="14" s="1"/>
  <c r="X2488" i="5"/>
  <c r="X2485" i="5"/>
  <c r="X2490" i="5"/>
  <c r="J741" i="5"/>
  <c r="X2060" i="5"/>
  <c r="Q1982" i="5"/>
  <c r="Q125" i="8" s="1"/>
  <c r="X2410" i="5"/>
  <c r="Q2435" i="5"/>
  <c r="F2314" i="5"/>
  <c r="F273" i="8" s="1"/>
  <c r="X1983" i="5"/>
  <c r="X2122" i="5"/>
  <c r="E2269" i="5"/>
  <c r="X1922" i="5"/>
  <c r="X1903" i="5"/>
  <c r="X2422" i="5"/>
  <c r="X2364" i="5"/>
  <c r="G1885" i="5"/>
  <c r="X2372" i="5"/>
  <c r="X2462" i="5"/>
  <c r="X2259" i="5"/>
  <c r="Q2461" i="5"/>
  <c r="Q334" i="8" s="1"/>
  <c r="X1917" i="5"/>
  <c r="X2349" i="5"/>
  <c r="X1991" i="5"/>
  <c r="Q2421" i="5"/>
  <c r="Q318" i="8" s="1"/>
  <c r="Q2236" i="5"/>
  <c r="Q242" i="8" s="1"/>
  <c r="X2228" i="5"/>
  <c r="Q2134" i="5"/>
  <c r="Q198" i="8" s="1"/>
  <c r="G1803" i="5"/>
  <c r="X1896" i="5"/>
  <c r="X2237" i="5"/>
  <c r="Q2227" i="5"/>
  <c r="Q239" i="8" s="1"/>
  <c r="X2135" i="5"/>
  <c r="X2040" i="5"/>
  <c r="Q2263" i="5"/>
  <c r="Q253" i="8" s="1"/>
  <c r="X2124" i="5"/>
  <c r="H2111" i="5"/>
  <c r="X2266" i="5"/>
  <c r="Q741" i="5"/>
  <c r="Q739" i="5" s="1"/>
  <c r="Q2075" i="5" s="1"/>
  <c r="I2075" i="5" s="1"/>
  <c r="X1898" i="5"/>
  <c r="N2279" i="5"/>
  <c r="N258" i="8" s="1"/>
  <c r="N434" i="8" s="1"/>
  <c r="F188" i="14" s="1"/>
  <c r="O1738" i="5"/>
  <c r="O22" i="8" s="1"/>
  <c r="W2075" i="5"/>
  <c r="X1920" i="5"/>
  <c r="X2152" i="5"/>
  <c r="N2133" i="5"/>
  <c r="N197" i="8" s="1"/>
  <c r="N417" i="8" s="1"/>
  <c r="F159" i="14" s="1"/>
  <c r="X2174" i="5"/>
  <c r="X2255" i="5"/>
  <c r="X2419" i="5"/>
  <c r="Q2487" i="5"/>
  <c r="X2413" i="5"/>
  <c r="Q2254" i="5"/>
  <c r="Q249" i="8" s="1"/>
  <c r="Q1889" i="5"/>
  <c r="Q84" i="8" s="1"/>
  <c r="X2106" i="5"/>
  <c r="Q460" i="5"/>
  <c r="Q459" i="5" s="1"/>
  <c r="Q1931" i="5" s="1"/>
  <c r="X2496" i="5"/>
  <c r="Q2354" i="5"/>
  <c r="X2054" i="5"/>
  <c r="O2279" i="5"/>
  <c r="O258" i="8" s="1"/>
  <c r="O434" i="8" s="1"/>
  <c r="G188" i="14" s="1"/>
  <c r="Q2314" i="5"/>
  <c r="Q273" i="8" s="1"/>
  <c r="X1952" i="5"/>
  <c r="Q1895" i="5"/>
  <c r="Q86" i="8" s="1"/>
  <c r="Q2269" i="5"/>
  <c r="Q255" i="8" s="1"/>
  <c r="X2131" i="5"/>
  <c r="X1890" i="5"/>
  <c r="X1844" i="5"/>
  <c r="X2501" i="5"/>
  <c r="X2355" i="5"/>
  <c r="D2023" i="5"/>
  <c r="L2022" i="5"/>
  <c r="L143" i="8" s="1"/>
  <c r="D2153" i="5"/>
  <c r="L2150" i="5"/>
  <c r="L205" i="8" s="1"/>
  <c r="M2273" i="5"/>
  <c r="M256" i="8" s="1"/>
  <c r="E2274" i="5"/>
  <c r="E2051" i="5"/>
  <c r="M2049" i="5"/>
  <c r="M158" i="8" s="1"/>
  <c r="D2456" i="5"/>
  <c r="D332" i="8" s="1"/>
  <c r="W2456" i="5"/>
  <c r="E2463" i="5"/>
  <c r="E335" i="8" s="1"/>
  <c r="E2140" i="5"/>
  <c r="H1773" i="5"/>
  <c r="H1984" i="5"/>
  <c r="D2399" i="5"/>
  <c r="D310" i="8" s="1"/>
  <c r="W2399" i="5"/>
  <c r="X2399" i="5" s="1"/>
  <c r="D2105" i="5"/>
  <c r="W2105" i="5"/>
  <c r="L2104" i="5"/>
  <c r="L183" i="8" s="1"/>
  <c r="I1830" i="5"/>
  <c r="I1911" i="5"/>
  <c r="Q1910" i="5"/>
  <c r="Q92" i="8" s="1"/>
  <c r="Q385" i="8" s="1"/>
  <c r="D1738" i="5"/>
  <c r="L1737" i="5"/>
  <c r="L21" i="8" s="1"/>
  <c r="D2467" i="5"/>
  <c r="W2467" i="5"/>
  <c r="X2467" i="5" s="1"/>
  <c r="D2073" i="5"/>
  <c r="L2072" i="5"/>
  <c r="L167" i="8" s="1"/>
  <c r="I2110" i="5"/>
  <c r="Q2109" i="5"/>
  <c r="Q186" i="8" s="1"/>
  <c r="E1910" i="5"/>
  <c r="D2461" i="5"/>
  <c r="D334" i="8" s="1"/>
  <c r="W2461" i="5"/>
  <c r="H2107" i="5"/>
  <c r="E2148" i="5"/>
  <c r="D2183" i="5"/>
  <c r="W2183" i="5"/>
  <c r="X2183" i="5" s="1"/>
  <c r="E1933" i="5"/>
  <c r="Q1743" i="5"/>
  <c r="I1743" i="5" s="1"/>
  <c r="V75" i="5"/>
  <c r="H2143" i="5"/>
  <c r="D2172" i="5"/>
  <c r="L2165" i="5"/>
  <c r="L211" i="8" s="1"/>
  <c r="W2172" i="5"/>
  <c r="H2338" i="5"/>
  <c r="H284" i="8" s="1"/>
  <c r="Q1721" i="5"/>
  <c r="V28" i="5"/>
  <c r="E1974" i="5"/>
  <c r="G1990" i="5"/>
  <c r="F2105" i="5"/>
  <c r="N2104" i="5"/>
  <c r="N183" i="8" s="1"/>
  <c r="N414" i="8" s="1"/>
  <c r="F156" i="14" s="1"/>
  <c r="P648" i="5"/>
  <c r="J648" i="5"/>
  <c r="D1807" i="5"/>
  <c r="W1807" i="5"/>
  <c r="H2506" i="5"/>
  <c r="H350" i="8" s="1"/>
  <c r="H1982" i="5"/>
  <c r="P1981" i="5"/>
  <c r="P124" i="8" s="1"/>
  <c r="P395" i="8" s="1"/>
  <c r="H109" i="14" s="1"/>
  <c r="D1823" i="5"/>
  <c r="W1823" i="5"/>
  <c r="X1823" i="5" s="1"/>
  <c r="E2282" i="5"/>
  <c r="D1732" i="5"/>
  <c r="L1731" i="5"/>
  <c r="L18" i="8" s="1"/>
  <c r="I2480" i="5"/>
  <c r="I341" i="8" s="1"/>
  <c r="F2506" i="5"/>
  <c r="F350" i="8" s="1"/>
  <c r="X2443" i="5"/>
  <c r="D2140" i="5"/>
  <c r="W2140" i="5"/>
  <c r="Q1774" i="5"/>
  <c r="V131" i="5"/>
  <c r="E1942" i="5"/>
  <c r="M1941" i="5"/>
  <c r="M104" i="8" s="1"/>
  <c r="M388" i="8" s="1"/>
  <c r="E85" i="14" s="1"/>
  <c r="F2010" i="5"/>
  <c r="D1815" i="5"/>
  <c r="W1815" i="5"/>
  <c r="X1815" i="5" s="1"/>
  <c r="H1902" i="5"/>
  <c r="F2461" i="5"/>
  <c r="F334" i="8" s="1"/>
  <c r="G2287" i="5"/>
  <c r="D2415" i="5"/>
  <c r="D316" i="8" s="1"/>
  <c r="W2415" i="5"/>
  <c r="X2415" i="5" s="1"/>
  <c r="F1964" i="5"/>
  <c r="D2495" i="5"/>
  <c r="D346" i="8" s="1"/>
  <c r="W2495" i="5"/>
  <c r="E2445" i="5"/>
  <c r="E327" i="8" s="1"/>
  <c r="Q1715" i="5"/>
  <c r="I1715" i="5" s="1"/>
  <c r="V19" i="5"/>
  <c r="E1722" i="5"/>
  <c r="D1833" i="5"/>
  <c r="W1833" i="5"/>
  <c r="X1833" i="5" s="1"/>
  <c r="Q2105" i="5"/>
  <c r="Q184" i="8" s="1"/>
  <c r="I2106" i="5"/>
  <c r="Q1735" i="5"/>
  <c r="X1735" i="5" s="1"/>
  <c r="V56" i="5"/>
  <c r="D1939" i="5"/>
  <c r="W1939" i="5"/>
  <c r="X1939" i="5" s="1"/>
  <c r="D2191" i="5"/>
  <c r="L2190" i="5"/>
  <c r="L224" i="8" s="1"/>
  <c r="W2191" i="5"/>
  <c r="X2191" i="5" s="1"/>
  <c r="X2110" i="5"/>
  <c r="E2195" i="5"/>
  <c r="H2202" i="5"/>
  <c r="E1964" i="5"/>
  <c r="I2470" i="5"/>
  <c r="F2258" i="5"/>
  <c r="I1943" i="5"/>
  <c r="Q1942" i="5"/>
  <c r="Q105" i="8" s="1"/>
  <c r="E2216" i="5"/>
  <c r="M2215" i="5"/>
  <c r="M234" i="8" s="1"/>
  <c r="M428" i="8" s="1"/>
  <c r="E182" i="14" s="1"/>
  <c r="D2280" i="5"/>
  <c r="W2280" i="5"/>
  <c r="X2280" i="5" s="1"/>
  <c r="L2279" i="5"/>
  <c r="L258" i="8" s="1"/>
  <c r="D2379" i="5"/>
  <c r="D302" i="8" s="1"/>
  <c r="W2379" i="5"/>
  <c r="I2504" i="5"/>
  <c r="I349" i="8" s="1"/>
  <c r="I1959" i="5"/>
  <c r="Q1958" i="5"/>
  <c r="Q112" i="8" s="1"/>
  <c r="Q390" i="8" s="1"/>
  <c r="G1926" i="5"/>
  <c r="F1885" i="5"/>
  <c r="N1884" i="5"/>
  <c r="N82" i="8" s="1"/>
  <c r="N383" i="8" s="1"/>
  <c r="F80" i="14" s="1"/>
  <c r="E2107" i="5"/>
  <c r="O1725" i="5"/>
  <c r="O15" i="8" s="1"/>
  <c r="O365" i="8" s="1"/>
  <c r="G32" i="14" s="1"/>
  <c r="G1726" i="5"/>
  <c r="I1823" i="5"/>
  <c r="F1755" i="5"/>
  <c r="H1923" i="5"/>
  <c r="G2445" i="5"/>
  <c r="G327" i="8" s="1"/>
  <c r="G2338" i="5"/>
  <c r="G284" i="8" s="1"/>
  <c r="M2190" i="5"/>
  <c r="M224" i="8" s="1"/>
  <c r="M425" i="8" s="1"/>
  <c r="E179" i="14" s="1"/>
  <c r="D2362" i="5"/>
  <c r="D296" i="8" s="1"/>
  <c r="W2362" i="5"/>
  <c r="E1970" i="5"/>
  <c r="I2217" i="5"/>
  <c r="Q2216" i="5"/>
  <c r="Q235" i="8" s="1"/>
  <c r="H1900" i="5"/>
  <c r="P1899" i="5"/>
  <c r="P87" i="8" s="1"/>
  <c r="P384" i="8" s="1"/>
  <c r="H81" i="14" s="1"/>
  <c r="G2461" i="5"/>
  <c r="G334" i="8" s="1"/>
  <c r="G2107" i="5"/>
  <c r="H1986" i="5"/>
  <c r="I1954" i="5"/>
  <c r="F2049" i="5"/>
  <c r="H1933" i="5"/>
  <c r="G2236" i="5"/>
  <c r="O2232" i="5"/>
  <c r="O240" i="8" s="1"/>
  <c r="O430" i="8" s="1"/>
  <c r="G184" i="14" s="1"/>
  <c r="F2362" i="5"/>
  <c r="F296" i="8" s="1"/>
  <c r="I1967" i="5"/>
  <c r="I2257" i="5"/>
  <c r="Q2256" i="5"/>
  <c r="Q250" i="8" s="1"/>
  <c r="G2206" i="5"/>
  <c r="O2205" i="5"/>
  <c r="O230" i="8" s="1"/>
  <c r="O427" i="8" s="1"/>
  <c r="G181" i="14" s="1"/>
  <c r="E1812" i="5"/>
  <c r="F2129" i="5"/>
  <c r="N2128" i="5"/>
  <c r="N195" i="8" s="1"/>
  <c r="I1962" i="5"/>
  <c r="I1939" i="5"/>
  <c r="I2419" i="5"/>
  <c r="Q2418" i="5"/>
  <c r="Q317" i="8" s="1"/>
  <c r="D2107" i="5"/>
  <c r="W2107" i="5"/>
  <c r="F2407" i="5"/>
  <c r="F314" i="8" s="1"/>
  <c r="N2406" i="5"/>
  <c r="N313" i="8" s="1"/>
  <c r="N449" i="8" s="1"/>
  <c r="F221" i="14" s="1"/>
  <c r="G1964" i="5"/>
  <c r="H2354" i="5"/>
  <c r="H292" i="8" s="1"/>
  <c r="H2140" i="5"/>
  <c r="H2254" i="5"/>
  <c r="P2253" i="5"/>
  <c r="P248" i="8" s="1"/>
  <c r="P432" i="8" s="1"/>
  <c r="H186" i="14" s="1"/>
  <c r="D1942" i="5"/>
  <c r="W1942" i="5"/>
  <c r="L1941" i="5"/>
  <c r="L104" i="8" s="1"/>
  <c r="Q1712" i="5"/>
  <c r="V9" i="5"/>
  <c r="I2035" i="5"/>
  <c r="Q2034" i="5"/>
  <c r="E1990" i="5"/>
  <c r="Q1765" i="5"/>
  <c r="Q35" i="8" s="1"/>
  <c r="I1766" i="5"/>
  <c r="I1946" i="5"/>
  <c r="D2396" i="5"/>
  <c r="D309" i="8" s="1"/>
  <c r="W2396" i="5"/>
  <c r="X2396" i="5" s="1"/>
  <c r="I2183" i="5"/>
  <c r="G2140" i="5"/>
  <c r="E2362" i="5"/>
  <c r="E296" i="8" s="1"/>
  <c r="D1971" i="5"/>
  <c r="W1971" i="5"/>
  <c r="X1971" i="5" s="1"/>
  <c r="L1970" i="5"/>
  <c r="L118" i="8" s="1"/>
  <c r="L2465" i="5"/>
  <c r="L336" i="8" s="1"/>
  <c r="Q1723" i="5"/>
  <c r="V33" i="5"/>
  <c r="I2065" i="5"/>
  <c r="X2430" i="5"/>
  <c r="G1996" i="5"/>
  <c r="D1900" i="5"/>
  <c r="L1899" i="5"/>
  <c r="L87" i="8" s="1"/>
  <c r="W1900" i="5"/>
  <c r="Q1757" i="5"/>
  <c r="Q562" i="8" s="1"/>
  <c r="V94" i="5"/>
  <c r="H2179" i="5"/>
  <c r="X2283" i="5"/>
  <c r="X2217" i="5"/>
  <c r="Q1728" i="5"/>
  <c r="I1728" i="5" s="1"/>
  <c r="P1769" i="5"/>
  <c r="P37" i="8" s="1"/>
  <c r="P373" i="8" s="1"/>
  <c r="H53" i="14" s="1"/>
  <c r="F1926" i="5"/>
  <c r="X2203" i="5"/>
  <c r="P2198" i="5"/>
  <c r="P227" i="8" s="1"/>
  <c r="P426" i="8" s="1"/>
  <c r="H180" i="14" s="1"/>
  <c r="M1725" i="5"/>
  <c r="M15" i="8" s="1"/>
  <c r="M365" i="8" s="1"/>
  <c r="E32" i="14" s="1"/>
  <c r="E1726" i="5"/>
  <c r="Q2499" i="5"/>
  <c r="Q347" i="8" s="1"/>
  <c r="E2022" i="5"/>
  <c r="X2053" i="5"/>
  <c r="D2180" i="5"/>
  <c r="W2180" i="5"/>
  <c r="X2180" i="5" s="1"/>
  <c r="L2179" i="5"/>
  <c r="L219" i="8" s="1"/>
  <c r="G2393" i="5"/>
  <c r="G307" i="8" s="1"/>
  <c r="G2385" i="5"/>
  <c r="G305" i="8" s="1"/>
  <c r="O2384" i="5"/>
  <c r="O304" i="8" s="1"/>
  <c r="O447" i="8" s="1"/>
  <c r="G219" i="14" s="1"/>
  <c r="H2487" i="5"/>
  <c r="H344" i="8" s="1"/>
  <c r="D1967" i="5"/>
  <c r="W1967" i="5"/>
  <c r="X1967" i="5" s="1"/>
  <c r="D1830" i="5"/>
  <c r="W1830" i="5"/>
  <c r="X1830" i="5" s="1"/>
  <c r="G1910" i="5"/>
  <c r="D1964" i="5"/>
  <c r="W1964" i="5"/>
  <c r="E2157" i="5"/>
  <c r="M2156" i="5"/>
  <c r="M207" i="8" s="1"/>
  <c r="M419" i="8" s="1"/>
  <c r="E161" i="14" s="1"/>
  <c r="X1809" i="5"/>
  <c r="X2221" i="5"/>
  <c r="G2379" i="5"/>
  <c r="G302" i="8" s="1"/>
  <c r="H2492" i="5"/>
  <c r="H345" i="8" s="1"/>
  <c r="G1982" i="5"/>
  <c r="O1981" i="5"/>
  <c r="O124" i="8" s="1"/>
  <c r="O395" i="8" s="1"/>
  <c r="G109" i="14" s="1"/>
  <c r="N885" i="5"/>
  <c r="N2149" i="5" s="1"/>
  <c r="X1794" i="5"/>
  <c r="D1856" i="5"/>
  <c r="W1856" i="5"/>
  <c r="F2039" i="5"/>
  <c r="N2038" i="5"/>
  <c r="N152" i="8" s="1"/>
  <c r="N404" i="8" s="1"/>
  <c r="F132" i="14" s="1"/>
  <c r="D2385" i="5"/>
  <c r="D305" i="8" s="1"/>
  <c r="L2384" i="5"/>
  <c r="L304" i="8" s="1"/>
  <c r="W2385" i="5"/>
  <c r="H2483" i="5"/>
  <c r="H342" i="8" s="1"/>
  <c r="I2478" i="5"/>
  <c r="I340" i="8" s="1"/>
  <c r="F2492" i="5"/>
  <c r="F345" i="8" s="1"/>
  <c r="D1988" i="5"/>
  <c r="W1988" i="5"/>
  <c r="E2111" i="5"/>
  <c r="D1839" i="5"/>
  <c r="Q1807" i="5"/>
  <c r="Q51" i="8" s="1"/>
  <c r="F1986" i="5"/>
  <c r="H1964" i="5"/>
  <c r="D2049" i="5"/>
  <c r="D2143" i="5"/>
  <c r="W2143" i="5"/>
  <c r="H2075" i="5"/>
  <c r="P2073" i="5"/>
  <c r="P168" i="8" s="1"/>
  <c r="D1722" i="5"/>
  <c r="W1722" i="5"/>
  <c r="N2046" i="5"/>
  <c r="N156" i="8" s="1"/>
  <c r="F2047" i="5"/>
  <c r="Q87" i="5"/>
  <c r="V88" i="5"/>
  <c r="O1994" i="5"/>
  <c r="O131" i="8" s="1"/>
  <c r="G1995" i="5"/>
  <c r="D2480" i="5"/>
  <c r="D341" i="8" s="1"/>
  <c r="W2480" i="5"/>
  <c r="X2480" i="5" s="1"/>
  <c r="J621" i="5"/>
  <c r="L621" i="5"/>
  <c r="I69" i="3"/>
  <c r="I694" i="5" s="1"/>
  <c r="P694" i="5" s="1"/>
  <c r="J49" i="3"/>
  <c r="I50" i="3"/>
  <c r="M2046" i="5"/>
  <c r="M156" i="8" s="1"/>
  <c r="E2047" i="5"/>
  <c r="P1994" i="5"/>
  <c r="P131" i="8" s="1"/>
  <c r="H1995" i="5"/>
  <c r="Q90" i="5"/>
  <c r="V91" i="5"/>
  <c r="G1916" i="5"/>
  <c r="O1915" i="5"/>
  <c r="O95" i="8" s="1"/>
  <c r="O386" i="8" s="1"/>
  <c r="G83" i="14" s="1"/>
  <c r="D1926" i="5"/>
  <c r="W1926" i="5"/>
  <c r="I2443" i="5"/>
  <c r="AA2443" i="5" s="1"/>
  <c r="Q2442" i="5"/>
  <c r="Q326" i="8" s="1"/>
  <c r="G2465" i="5"/>
  <c r="G336" i="8" s="1"/>
  <c r="D2250" i="5"/>
  <c r="W2250" i="5"/>
  <c r="X2250" i="5" s="1"/>
  <c r="I1815" i="5"/>
  <c r="E1885" i="5"/>
  <c r="M1884" i="5"/>
  <c r="M82" i="8" s="1"/>
  <c r="M383" i="8" s="1"/>
  <c r="E80" i="14" s="1"/>
  <c r="D1741" i="5"/>
  <c r="W1741" i="5"/>
  <c r="I2415" i="5"/>
  <c r="I316" i="8" s="1"/>
  <c r="E2137" i="5"/>
  <c r="I2502" i="5"/>
  <c r="I348" i="8" s="1"/>
  <c r="G2051" i="5"/>
  <c r="O2049" i="5"/>
  <c r="O158" i="8" s="1"/>
  <c r="I2053" i="5"/>
  <c r="H2465" i="5"/>
  <c r="H336" i="8" s="1"/>
  <c r="H2216" i="5"/>
  <c r="P2215" i="5"/>
  <c r="P234" i="8" s="1"/>
  <c r="P428" i="8" s="1"/>
  <c r="H182" i="14" s="1"/>
  <c r="Q1780" i="5"/>
  <c r="X1780" i="5" s="1"/>
  <c r="V144" i="5"/>
  <c r="G2499" i="5"/>
  <c r="G347" i="8" s="1"/>
  <c r="E2172" i="5"/>
  <c r="M2165" i="5"/>
  <c r="M211" i="8" s="1"/>
  <c r="M420" i="8" s="1"/>
  <c r="E162" i="14" s="1"/>
  <c r="E2227" i="5"/>
  <c r="I2221" i="5"/>
  <c r="Q2220" i="5"/>
  <c r="Q236" i="8" s="1"/>
  <c r="H2105" i="5"/>
  <c r="P2104" i="5"/>
  <c r="P183" i="8" s="1"/>
  <c r="P414" i="8" s="1"/>
  <c r="H156" i="14" s="1"/>
  <c r="H1799" i="5"/>
  <c r="P1797" i="5"/>
  <c r="P48" i="8" s="1"/>
  <c r="D1916" i="5"/>
  <c r="W1916" i="5"/>
  <c r="L1915" i="5"/>
  <c r="L95" i="8" s="1"/>
  <c r="G1895" i="5"/>
  <c r="E1711" i="5"/>
  <c r="M1710" i="5"/>
  <c r="M9" i="8" s="1"/>
  <c r="M363" i="8" s="1"/>
  <c r="E30" i="14" s="1"/>
  <c r="I2137" i="5"/>
  <c r="I1794" i="5"/>
  <c r="Q1793" i="5"/>
  <c r="Q46" i="8" s="1"/>
  <c r="D1923" i="5"/>
  <c r="W1923" i="5"/>
  <c r="E1738" i="5"/>
  <c r="M1737" i="5"/>
  <c r="M21" i="8" s="1"/>
  <c r="M367" i="8" s="1"/>
  <c r="E34" i="14" s="1"/>
  <c r="I2386" i="5"/>
  <c r="Q2385" i="5"/>
  <c r="Q305" i="8" s="1"/>
  <c r="H2445" i="5"/>
  <c r="H327" i="8" s="1"/>
  <c r="G2121" i="5"/>
  <c r="O2120" i="5"/>
  <c r="O191" i="8" s="1"/>
  <c r="O415" i="8" s="1"/>
  <c r="G157" i="14" s="1"/>
  <c r="I2430" i="5"/>
  <c r="I321" i="8" s="1"/>
  <c r="Q2426" i="5"/>
  <c r="Q319" i="8" s="1"/>
  <c r="Q450" i="8" s="1"/>
  <c r="D2134" i="5"/>
  <c r="W2134" i="5"/>
  <c r="L2133" i="5"/>
  <c r="L197" i="8" s="1"/>
  <c r="D2348" i="5"/>
  <c r="D289" i="8" s="1"/>
  <c r="W2348" i="5"/>
  <c r="L2345" i="5"/>
  <c r="F2025" i="5"/>
  <c r="N2023" i="5"/>
  <c r="N144" i="8" s="1"/>
  <c r="I1998" i="5"/>
  <c r="Q1997" i="5"/>
  <c r="Q133" i="8" s="1"/>
  <c r="D2401" i="5"/>
  <c r="D311" i="8" s="1"/>
  <c r="W2401" i="5"/>
  <c r="X2401" i="5" s="1"/>
  <c r="D1959" i="5"/>
  <c r="L1958" i="5"/>
  <c r="L112" i="8" s="1"/>
  <c r="W1959" i="5"/>
  <c r="X1959" i="5" s="1"/>
  <c r="F1910" i="5"/>
  <c r="P1710" i="5"/>
  <c r="P9" i="8" s="1"/>
  <c r="P363" i="8" s="1"/>
  <c r="H30" i="14" s="1"/>
  <c r="H1711" i="5"/>
  <c r="E2258" i="5"/>
  <c r="G2022" i="5"/>
  <c r="E2418" i="5"/>
  <c r="E317" i="8" s="1"/>
  <c r="G2260" i="5"/>
  <c r="D2254" i="5"/>
  <c r="W2254" i="5"/>
  <c r="L2253" i="5"/>
  <c r="L248" i="8" s="1"/>
  <c r="F2242" i="5"/>
  <c r="F2456" i="5"/>
  <c r="F332" i="8" s="1"/>
  <c r="Q2371" i="5"/>
  <c r="G1958" i="5"/>
  <c r="D1954" i="5"/>
  <c r="W1954" i="5"/>
  <c r="X1954" i="5" s="1"/>
  <c r="H2499" i="5"/>
  <c r="H347" i="8" s="1"/>
  <c r="H2388" i="5"/>
  <c r="H306" i="8" s="1"/>
  <c r="D2448" i="5"/>
  <c r="D328" i="8" s="1"/>
  <c r="W2448" i="5"/>
  <c r="X2448" i="5" s="1"/>
  <c r="O1884" i="5"/>
  <c r="O82" i="8" s="1"/>
  <c r="O383" i="8" s="1"/>
  <c r="G80" i="14" s="1"/>
  <c r="X2458" i="5"/>
  <c r="D1913" i="5"/>
  <c r="W1913" i="5"/>
  <c r="X1913" i="5" s="1"/>
  <c r="H2121" i="5"/>
  <c r="P2120" i="5"/>
  <c r="P191" i="8" s="1"/>
  <c r="P415" i="8" s="1"/>
  <c r="H157" i="14" s="1"/>
  <c r="G2426" i="5"/>
  <c r="G319" i="8" s="1"/>
  <c r="I2152" i="5"/>
  <c r="D1962" i="5"/>
  <c r="W1962" i="5"/>
  <c r="X1962" i="5" s="1"/>
  <c r="L1961" i="5"/>
  <c r="L114" i="8" s="1"/>
  <c r="E2421" i="5"/>
  <c r="E318" i="8" s="1"/>
  <c r="D1990" i="5"/>
  <c r="W1990" i="5"/>
  <c r="D2418" i="5"/>
  <c r="D317" i="8" s="1"/>
  <c r="W2418" i="5"/>
  <c r="D2109" i="5"/>
  <c r="W2109" i="5"/>
  <c r="W2512" i="5"/>
  <c r="X2512" i="5" s="1"/>
  <c r="F1900" i="5"/>
  <c r="N1899" i="5"/>
  <c r="N87" i="8" s="1"/>
  <c r="N384" i="8" s="1"/>
  <c r="F81" i="14" s="1"/>
  <c r="D2403" i="5"/>
  <c r="D312" i="8" s="1"/>
  <c r="F2140" i="5"/>
  <c r="E1773" i="5"/>
  <c r="I1985" i="5"/>
  <c r="Q1984" i="5"/>
  <c r="Q126" i="8" s="1"/>
  <c r="D2227" i="5"/>
  <c r="W2227" i="5"/>
  <c r="E2134" i="5"/>
  <c r="M2133" i="5"/>
  <c r="M197" i="8" s="1"/>
  <c r="M417" i="8" s="1"/>
  <c r="E159" i="14" s="1"/>
  <c r="H2287" i="5"/>
  <c r="I2285" i="5"/>
  <c r="D2452" i="5"/>
  <c r="D330" i="8" s="1"/>
  <c r="W2452" i="5"/>
  <c r="X2452" i="5" s="1"/>
  <c r="H1931" i="5"/>
  <c r="P1929" i="5"/>
  <c r="P99" i="8" s="1"/>
  <c r="H1803" i="5"/>
  <c r="G1942" i="5"/>
  <c r="O1941" i="5"/>
  <c r="O104" i="8" s="1"/>
  <c r="O388" i="8" s="1"/>
  <c r="G85" i="14" s="1"/>
  <c r="G1974" i="5"/>
  <c r="Q1900" i="5"/>
  <c r="Q88" i="8" s="1"/>
  <c r="I1901" i="5"/>
  <c r="D2117" i="5"/>
  <c r="W2117" i="5"/>
  <c r="X2117" i="5" s="1"/>
  <c r="D2195" i="5"/>
  <c r="W2195" i="5"/>
  <c r="M894" i="5"/>
  <c r="M2153" i="5" s="1"/>
  <c r="E2442" i="5"/>
  <c r="E326" i="8" s="1"/>
  <c r="D2499" i="5"/>
  <c r="D347" i="8" s="1"/>
  <c r="W2499" i="5"/>
  <c r="I2496" i="5"/>
  <c r="Q2495" i="5"/>
  <c r="Q346" i="8" s="1"/>
  <c r="X2158" i="5"/>
  <c r="F2487" i="5"/>
  <c r="F344" i="8" s="1"/>
  <c r="F1741" i="5"/>
  <c r="W1734" i="5"/>
  <c r="D1734" i="5"/>
  <c r="I1934" i="5"/>
  <c r="Q1933" i="5"/>
  <c r="Q100" i="8" s="1"/>
  <c r="Q387" i="8" s="1"/>
  <c r="I1913" i="5"/>
  <c r="D2454" i="5"/>
  <c r="D331" i="8" s="1"/>
  <c r="W2454" i="5"/>
  <c r="O2104" i="5"/>
  <c r="O183" i="8" s="1"/>
  <c r="O414" i="8" s="1"/>
  <c r="G156" i="14" s="1"/>
  <c r="I849" i="5"/>
  <c r="O849" i="5"/>
  <c r="O848" i="5" s="1"/>
  <c r="O2129" i="5" s="1"/>
  <c r="H1807" i="5"/>
  <c r="D1819" i="5"/>
  <c r="W1819" i="5"/>
  <c r="X1819" i="5" s="1"/>
  <c r="H2242" i="5"/>
  <c r="X1943" i="5"/>
  <c r="G2216" i="5"/>
  <c r="O2215" i="5"/>
  <c r="O234" i="8" s="1"/>
  <c r="O428" i="8" s="1"/>
  <c r="G182" i="14" s="1"/>
  <c r="D2356" i="5"/>
  <c r="D293" i="8" s="1"/>
  <c r="W2356" i="5"/>
  <c r="X2356" i="5" s="1"/>
  <c r="M1961" i="5"/>
  <c r="M114" i="8" s="1"/>
  <c r="M391" i="8" s="1"/>
  <c r="E88" i="14" s="1"/>
  <c r="F1916" i="5"/>
  <c r="N1915" i="5"/>
  <c r="N95" i="8" s="1"/>
  <c r="N386" i="8" s="1"/>
  <c r="F83" i="14" s="1"/>
  <c r="M1716" i="5"/>
  <c r="M11" i="8" s="1"/>
  <c r="M364" i="8" s="1"/>
  <c r="E31" i="14" s="1"/>
  <c r="D2224" i="5"/>
  <c r="W2224" i="5"/>
  <c r="L2223" i="5"/>
  <c r="L237" i="8" s="1"/>
  <c r="F2256" i="5"/>
  <c r="E2179" i="5"/>
  <c r="D1760" i="5"/>
  <c r="W1760" i="5"/>
  <c r="X1901" i="5"/>
  <c r="I69" i="5"/>
  <c r="I54" i="5"/>
  <c r="D2206" i="5"/>
  <c r="W2206" i="5"/>
  <c r="L2205" i="5"/>
  <c r="L230" i="8" s="1"/>
  <c r="D1944" i="5"/>
  <c r="W1944" i="5"/>
  <c r="D2282" i="5"/>
  <c r="W2282" i="5"/>
  <c r="I2363" i="5"/>
  <c r="Q2362" i="5"/>
  <c r="Q296" i="8" s="1"/>
  <c r="D2216" i="5"/>
  <c r="L2215" i="5"/>
  <c r="L234" i="8" s="1"/>
  <c r="W2216" i="5"/>
  <c r="I2196" i="5"/>
  <c r="Q2195" i="5"/>
  <c r="Q226" i="8" s="1"/>
  <c r="F2411" i="5"/>
  <c r="F315" i="8" s="1"/>
  <c r="D2502" i="5"/>
  <c r="D348" i="8" s="1"/>
  <c r="W2502" i="5"/>
  <c r="X2502" i="5" s="1"/>
  <c r="G2258" i="5"/>
  <c r="H2495" i="5"/>
  <c r="H346" i="8" s="1"/>
  <c r="D1847" i="5"/>
  <c r="W1847" i="5"/>
  <c r="X1847" i="5" s="1"/>
  <c r="D2242" i="5"/>
  <c r="W2242" i="5"/>
  <c r="D2421" i="5"/>
  <c r="D318" i="8" s="1"/>
  <c r="W2421" i="5"/>
  <c r="D2199" i="5"/>
  <c r="W2199" i="5"/>
  <c r="L2198" i="5"/>
  <c r="L227" i="8" s="1"/>
  <c r="D2439" i="5"/>
  <c r="D325" i="8" s="1"/>
  <c r="W2439" i="5"/>
  <c r="X2439" i="5" s="1"/>
  <c r="D2258" i="5"/>
  <c r="W2258" i="5"/>
  <c r="X2258" i="5" s="1"/>
  <c r="F2121" i="5"/>
  <c r="N2120" i="5"/>
  <c r="N191" i="8" s="1"/>
  <c r="N415" i="8" s="1"/>
  <c r="F157" i="14" s="1"/>
  <c r="H1779" i="5"/>
  <c r="J181" i="5"/>
  <c r="Q1916" i="5"/>
  <c r="Q96" i="8" s="1"/>
  <c r="F1812" i="5"/>
  <c r="F1958" i="5"/>
  <c r="E1926" i="5"/>
  <c r="I886" i="5"/>
  <c r="O886" i="5"/>
  <c r="O885" i="5" s="1"/>
  <c r="O2149" i="5" s="1"/>
  <c r="D2176" i="5"/>
  <c r="W2176" i="5"/>
  <c r="X2176" i="5" s="1"/>
  <c r="G2354" i="5"/>
  <c r="G292" i="8" s="1"/>
  <c r="D2236" i="5"/>
  <c r="W2236" i="5"/>
  <c r="L2232" i="5"/>
  <c r="L240" i="8" s="1"/>
  <c r="X2386" i="5"/>
  <c r="F1803" i="5"/>
  <c r="Q1713" i="5"/>
  <c r="I1713" i="5" s="1"/>
  <c r="V12" i="5"/>
  <c r="I2356" i="5"/>
  <c r="D1712" i="5"/>
  <c r="W1712" i="5"/>
  <c r="L1711" i="5"/>
  <c r="L10" i="8" s="1"/>
  <c r="E1916" i="5"/>
  <c r="M1915" i="5"/>
  <c r="M95" i="8" s="1"/>
  <c r="M386" i="8" s="1"/>
  <c r="E83" i="14" s="1"/>
  <c r="X1989" i="5"/>
  <c r="F2463" i="5"/>
  <c r="F335" i="8" s="1"/>
  <c r="H2034" i="5"/>
  <c r="I1789" i="5"/>
  <c r="Q1787" i="5"/>
  <c r="Q44" i="8" s="1"/>
  <c r="H2260" i="5"/>
  <c r="F2354" i="5"/>
  <c r="F292" i="8" s="1"/>
  <c r="H2393" i="5"/>
  <c r="H307" i="8" s="1"/>
  <c r="D2388" i="5"/>
  <c r="D306" i="8" s="1"/>
  <c r="W2388" i="5"/>
  <c r="F2157" i="5"/>
  <c r="N2156" i="5"/>
  <c r="N207" i="8" s="1"/>
  <c r="N419" i="8" s="1"/>
  <c r="F161" i="14" s="1"/>
  <c r="F2075" i="5"/>
  <c r="N2073" i="5"/>
  <c r="N168" i="8" s="1"/>
  <c r="I1971" i="5"/>
  <c r="Q1970" i="5"/>
  <c r="Q118" i="8" s="1"/>
  <c r="Q392" i="8" s="1"/>
  <c r="D1803" i="5"/>
  <c r="W1803" i="5"/>
  <c r="E2487" i="5"/>
  <c r="E344" i="8" s="1"/>
  <c r="N2273" i="5"/>
  <c r="N256" i="8" s="1"/>
  <c r="F2274" i="5"/>
  <c r="P2273" i="5"/>
  <c r="P256" i="8" s="1"/>
  <c r="H2274" i="5"/>
  <c r="M1994" i="5"/>
  <c r="M131" i="8" s="1"/>
  <c r="E1995" i="5"/>
  <c r="L2426" i="5"/>
  <c r="L319" i="8" s="1"/>
  <c r="D2432" i="5"/>
  <c r="D322" i="8" s="1"/>
  <c r="W2432" i="5"/>
  <c r="X2432" i="5" s="1"/>
  <c r="I2493" i="5"/>
  <c r="Q2492" i="5"/>
  <c r="Q345" i="8" s="1"/>
  <c r="I2408" i="5"/>
  <c r="Q2407" i="5"/>
  <c r="Q314" i="8" s="1"/>
  <c r="G2157" i="5"/>
  <c r="O2156" i="5"/>
  <c r="O207" i="8" s="1"/>
  <c r="O419" i="8" s="1"/>
  <c r="G161" i="14" s="1"/>
  <c r="G2246" i="5"/>
  <c r="G1902" i="5"/>
  <c r="I2203" i="5"/>
  <c r="Q2202" i="5"/>
  <c r="Q229" i="8" s="1"/>
  <c r="H1755" i="5"/>
  <c r="E2388" i="5"/>
  <c r="E306" i="8" s="1"/>
  <c r="F2254" i="5"/>
  <c r="N2253" i="5"/>
  <c r="N248" i="8" s="1"/>
  <c r="N432" i="8" s="1"/>
  <c r="F186" i="14" s="1"/>
  <c r="D2263" i="5"/>
  <c r="W2263" i="5"/>
  <c r="I2448" i="5"/>
  <c r="E1958" i="5"/>
  <c r="I2439" i="5"/>
  <c r="I2258" i="5"/>
  <c r="F2345" i="5"/>
  <c r="F287" i="8" s="1"/>
  <c r="G1799" i="5"/>
  <c r="O1797" i="5"/>
  <c r="O48" i="8" s="1"/>
  <c r="F2269" i="5"/>
  <c r="G2220" i="5"/>
  <c r="H2256" i="5"/>
  <c r="I2288" i="5"/>
  <c r="Q2287" i="5"/>
  <c r="Q262" i="8" s="1"/>
  <c r="D2411" i="5"/>
  <c r="D315" i="8" s="1"/>
  <c r="W2411" i="5"/>
  <c r="E2034" i="5"/>
  <c r="D2382" i="5"/>
  <c r="D303" i="8" s="1"/>
  <c r="W2382" i="5"/>
  <c r="X2382" i="5" s="1"/>
  <c r="D2269" i="5"/>
  <c r="W2269" i="5"/>
  <c r="F2454" i="5"/>
  <c r="F331" i="8" s="1"/>
  <c r="F1779" i="5"/>
  <c r="I1813" i="5"/>
  <c r="Q1812" i="5"/>
  <c r="Q53" i="8" s="1"/>
  <c r="Q376" i="8" s="1"/>
  <c r="D2504" i="5"/>
  <c r="D349" i="8" s="1"/>
  <c r="W2504" i="5"/>
  <c r="X2504" i="5" s="1"/>
  <c r="G2492" i="5"/>
  <c r="G345" i="8" s="1"/>
  <c r="E1900" i="5"/>
  <c r="M1899" i="5"/>
  <c r="M87" i="8" s="1"/>
  <c r="M384" i="8" s="1"/>
  <c r="E81" i="14" s="1"/>
  <c r="H2442" i="5"/>
  <c r="H326" i="8" s="1"/>
  <c r="G2407" i="5"/>
  <c r="G314" i="8" s="1"/>
  <c r="O2406" i="5"/>
  <c r="O313" i="8" s="1"/>
  <c r="O449" i="8" s="1"/>
  <c r="G221" i="14" s="1"/>
  <c r="D1842" i="5"/>
  <c r="E2199" i="5"/>
  <c r="M2198" i="5"/>
  <c r="M227" i="8" s="1"/>
  <c r="M426" i="8" s="1"/>
  <c r="E180" i="14" s="1"/>
  <c r="P2038" i="5"/>
  <c r="P152" i="8" s="1"/>
  <c r="P404" i="8" s="1"/>
  <c r="H132" i="14" s="1"/>
  <c r="H2039" i="5"/>
  <c r="F1773" i="5"/>
  <c r="D2343" i="5"/>
  <c r="D286" i="8" s="1"/>
  <c r="W2343" i="5"/>
  <c r="X2343" i="5" s="1"/>
  <c r="F1984" i="5"/>
  <c r="G2263" i="5"/>
  <c r="I2250" i="5"/>
  <c r="E2256" i="5"/>
  <c r="E1982" i="5"/>
  <c r="M1981" i="5"/>
  <c r="M124" i="8" s="1"/>
  <c r="M395" i="8" s="1"/>
  <c r="E109" i="14" s="1"/>
  <c r="I2060" i="5"/>
  <c r="G2034" i="5"/>
  <c r="D2039" i="5"/>
  <c r="W2039" i="5"/>
  <c r="L2038" i="5"/>
  <c r="L152" i="8" s="1"/>
  <c r="G2172" i="5"/>
  <c r="O2165" i="5"/>
  <c r="O211" i="8" s="1"/>
  <c r="O420" i="8" s="1"/>
  <c r="G162" i="14" s="1"/>
  <c r="F1970" i="5"/>
  <c r="D1779" i="5"/>
  <c r="W1779" i="5"/>
  <c r="D1770" i="5"/>
  <c r="W1770" i="5"/>
  <c r="L1769" i="5"/>
  <c r="L37" i="8" s="1"/>
  <c r="D1911" i="5"/>
  <c r="L1910" i="5"/>
  <c r="L92" i="8" s="1"/>
  <c r="W1911" i="5"/>
  <c r="X1911" i="5" s="1"/>
  <c r="G1711" i="5"/>
  <c r="O1710" i="5"/>
  <c r="O9" i="8" s="1"/>
  <c r="O363" i="8" s="1"/>
  <c r="G30" i="14" s="1"/>
  <c r="Q1739" i="5"/>
  <c r="V64" i="5"/>
  <c r="D2098" i="5"/>
  <c r="D1908" i="5"/>
  <c r="W1908" i="5"/>
  <c r="X1908" i="5" s="1"/>
  <c r="W1783" i="5"/>
  <c r="D1783" i="5"/>
  <c r="D2314" i="5"/>
  <c r="D273" i="8" s="1"/>
  <c r="W2314" i="5"/>
  <c r="Q1781" i="5"/>
  <c r="I1781" i="5" s="1"/>
  <c r="V148" i="5"/>
  <c r="H2359" i="5"/>
  <c r="H295" i="8" s="1"/>
  <c r="H1741" i="5"/>
  <c r="I2382" i="5"/>
  <c r="G1889" i="5"/>
  <c r="E2495" i="5"/>
  <c r="E346" i="8" s="1"/>
  <c r="H2362" i="5"/>
  <c r="H296" i="8" s="1"/>
  <c r="H1916" i="5"/>
  <c r="H1786" i="5"/>
  <c r="D1950" i="5"/>
  <c r="W1950" i="5"/>
  <c r="L1949" i="5"/>
  <c r="L108" i="8" s="1"/>
  <c r="D1997" i="5"/>
  <c r="W1997" i="5"/>
  <c r="L1996" i="5"/>
  <c r="L132" i="8" s="1"/>
  <c r="I2401" i="5"/>
  <c r="I311" i="8" s="1"/>
  <c r="G1900" i="5"/>
  <c r="O1899" i="5"/>
  <c r="O87" i="8" s="1"/>
  <c r="O384" i="8" s="1"/>
  <c r="G81" i="14" s="1"/>
  <c r="I2396" i="5"/>
  <c r="I309" i="8" s="1"/>
  <c r="D1982" i="5"/>
  <c r="L1981" i="5"/>
  <c r="L124" i="8" s="1"/>
  <c r="W1982" i="5"/>
  <c r="H2258" i="5"/>
  <c r="E1889" i="5"/>
  <c r="F2236" i="5"/>
  <c r="N2232" i="5"/>
  <c r="N240" i="8" s="1"/>
  <c r="N430" i="8" s="1"/>
  <c r="F184" i="14" s="1"/>
  <c r="E2143" i="5"/>
  <c r="H2172" i="5"/>
  <c r="P2165" i="5"/>
  <c r="P211" i="8" s="1"/>
  <c r="P420" i="8" s="1"/>
  <c r="H162" i="14" s="1"/>
  <c r="I1893" i="5"/>
  <c r="I2141" i="5"/>
  <c r="Q2140" i="5"/>
  <c r="Q200" i="8" s="1"/>
  <c r="I102" i="3"/>
  <c r="J90" i="3"/>
  <c r="I96" i="3"/>
  <c r="I98" i="3" s="1"/>
  <c r="E99" i="3" s="1"/>
  <c r="E883" i="5" s="1"/>
  <c r="I93" i="3"/>
  <c r="D2128" i="5"/>
  <c r="D1904" i="5"/>
  <c r="W1904" i="5"/>
  <c r="X1904" i="5" s="1"/>
  <c r="N895" i="5"/>
  <c r="G896" i="5"/>
  <c r="H895" i="5"/>
  <c r="E2260" i="5"/>
  <c r="I2180" i="5"/>
  <c r="Q2179" i="5"/>
  <c r="Q219" i="8" s="1"/>
  <c r="Q423" i="8" s="1"/>
  <c r="I1847" i="5"/>
  <c r="I2040" i="5"/>
  <c r="Q2039" i="5"/>
  <c r="Q153" i="8" s="1"/>
  <c r="D2157" i="5"/>
  <c r="W2157" i="5"/>
  <c r="L2156" i="5"/>
  <c r="L207" i="8" s="1"/>
  <c r="F2172" i="5"/>
  <c r="N2165" i="5"/>
  <c r="N211" i="8" s="1"/>
  <c r="N420" i="8" s="1"/>
  <c r="F162" i="14" s="1"/>
  <c r="F2465" i="5"/>
  <c r="F336" i="8" s="1"/>
  <c r="H1942" i="5"/>
  <c r="P1941" i="5"/>
  <c r="P104" i="8" s="1"/>
  <c r="P388" i="8" s="1"/>
  <c r="H85" i="14" s="1"/>
  <c r="I2339" i="5"/>
  <c r="I285" i="8" s="1"/>
  <c r="Q2338" i="5"/>
  <c r="I2336" i="5" s="1"/>
  <c r="I283" i="8" s="1"/>
  <c r="E2073" i="5"/>
  <c r="M2072" i="5"/>
  <c r="M167" i="8" s="1"/>
  <c r="M409" i="8" s="1"/>
  <c r="E137" i="14" s="1"/>
  <c r="Q1771" i="5"/>
  <c r="V123" i="5"/>
  <c r="P1725" i="5"/>
  <c r="P15" i="8" s="1"/>
  <c r="P365" i="8" s="1"/>
  <c r="H32" i="14" s="1"/>
  <c r="H1726" i="5"/>
  <c r="M2253" i="5"/>
  <c r="M248" i="8" s="1"/>
  <c r="M432" i="8" s="1"/>
  <c r="E186" i="14" s="1"/>
  <c r="D2459" i="5"/>
  <c r="D333" i="8" s="1"/>
  <c r="W2459" i="5"/>
  <c r="X2459" i="5" s="1"/>
  <c r="X2455" i="5"/>
  <c r="I1908" i="5"/>
  <c r="F1950" i="5"/>
  <c r="N1949" i="5"/>
  <c r="N108" i="8" s="1"/>
  <c r="N389" i="8" s="1"/>
  <c r="F86" i="14" s="1"/>
  <c r="D1895" i="5"/>
  <c r="W1895" i="5"/>
  <c r="E2202" i="5"/>
  <c r="F2206" i="5"/>
  <c r="N2205" i="5"/>
  <c r="N230" i="8" s="1"/>
  <c r="N427" i="8" s="1"/>
  <c r="F181" i="14" s="1"/>
  <c r="L2246" i="5"/>
  <c r="L245" i="8" s="1"/>
  <c r="F1767" i="5"/>
  <c r="N1764" i="5"/>
  <c r="N34" i="8" s="1"/>
  <c r="N372" i="8" s="1"/>
  <c r="F52" i="14" s="1"/>
  <c r="D2260" i="5"/>
  <c r="W2260" i="5"/>
  <c r="G2179" i="5"/>
  <c r="F2282" i="5"/>
  <c r="D2445" i="5"/>
  <c r="D327" i="8" s="1"/>
  <c r="W2445" i="5"/>
  <c r="G1970" i="5"/>
  <c r="I2280" i="5"/>
  <c r="Q1988" i="5"/>
  <c r="Q128" i="8" s="1"/>
  <c r="I1989" i="5"/>
  <c r="I2352" i="5"/>
  <c r="I291" i="8" s="1"/>
  <c r="D1902" i="5"/>
  <c r="W1902" i="5"/>
  <c r="H1926" i="5"/>
  <c r="D2239" i="5"/>
  <c r="W2239" i="5"/>
  <c r="D2393" i="5"/>
  <c r="D307" i="8" s="1"/>
  <c r="W2393" i="5"/>
  <c r="G2254" i="5"/>
  <c r="O2253" i="5"/>
  <c r="O248" i="8" s="1"/>
  <c r="O432" i="8" s="1"/>
  <c r="G186" i="14" s="1"/>
  <c r="G1929" i="5"/>
  <c r="H2263" i="5"/>
  <c r="F2426" i="5"/>
  <c r="F319" i="8" s="1"/>
  <c r="I2432" i="5"/>
  <c r="I322" i="8" s="1"/>
  <c r="D2492" i="5"/>
  <c r="D345" i="8" s="1"/>
  <c r="W2492" i="5"/>
  <c r="D1893" i="5"/>
  <c r="W1893" i="5"/>
  <c r="X1893" i="5" s="1"/>
  <c r="X2408" i="5"/>
  <c r="X2207" i="5"/>
  <c r="I2117" i="5"/>
  <c r="D2160" i="5"/>
  <c r="W2160" i="5"/>
  <c r="X2160" i="5" s="1"/>
  <c r="Q1742" i="5"/>
  <c r="V71" i="5"/>
  <c r="M2406" i="5"/>
  <c r="M313" i="8" s="1"/>
  <c r="M449" i="8" s="1"/>
  <c r="E221" i="14" s="1"/>
  <c r="E2407" i="5"/>
  <c r="E314" i="8" s="1"/>
  <c r="E2435" i="5"/>
  <c r="E324" i="8" s="1"/>
  <c r="E2236" i="5"/>
  <c r="M2232" i="5"/>
  <c r="M240" i="8" s="1"/>
  <c r="M430" i="8" s="1"/>
  <c r="E184" i="14" s="1"/>
  <c r="F2143" i="5"/>
  <c r="G1984" i="5"/>
  <c r="H2456" i="5"/>
  <c r="H332" i="8" s="1"/>
  <c r="I2122" i="5"/>
  <c r="Q2121" i="5"/>
  <c r="Q192" i="8" s="1"/>
  <c r="H2269" i="5"/>
  <c r="F1974" i="5"/>
  <c r="H2345" i="5"/>
  <c r="H287" i="8" s="1"/>
  <c r="D2312" i="5"/>
  <c r="D272" i="8" s="1"/>
  <c r="L2311" i="5"/>
  <c r="W2312" i="5"/>
  <c r="H1812" i="5"/>
  <c r="E2359" i="5"/>
  <c r="E295" i="8" s="1"/>
  <c r="D2256" i="5"/>
  <c r="W2256" i="5"/>
  <c r="F2338" i="5"/>
  <c r="F284" i="8" s="1"/>
  <c r="N180" i="5"/>
  <c r="N1799" i="5" s="1"/>
  <c r="Q181" i="5"/>
  <c r="Q180" i="5" s="1"/>
  <c r="Q1799" i="5" s="1"/>
  <c r="M2279" i="5"/>
  <c r="M258" i="8" s="1"/>
  <c r="M434" i="8" s="1"/>
  <c r="E188" i="14" s="1"/>
  <c r="F1997" i="5"/>
  <c r="N1996" i="5"/>
  <c r="N132" i="8" s="1"/>
  <c r="N397" i="8" s="1"/>
  <c r="F111" i="14" s="1"/>
  <c r="D2463" i="5"/>
  <c r="D335" i="8" s="1"/>
  <c r="W2463" i="5"/>
  <c r="X2288" i="5"/>
  <c r="D1986" i="5"/>
  <c r="W1986" i="5"/>
  <c r="Q2411" i="5"/>
  <c r="Q315" i="8" s="1"/>
  <c r="D1726" i="5"/>
  <c r="W1726" i="5"/>
  <c r="L1725" i="5"/>
  <c r="L15" i="8" s="1"/>
  <c r="H2282" i="5"/>
  <c r="W1931" i="5"/>
  <c r="I2349" i="5"/>
  <c r="AA2349" i="5" s="1"/>
  <c r="Q2348" i="5"/>
  <c r="H1990" i="5"/>
  <c r="E2312" i="5"/>
  <c r="E272" i="8" s="1"/>
  <c r="M2311" i="5"/>
  <c r="D1813" i="5"/>
  <c r="W1813" i="5"/>
  <c r="X1813" i="5" s="1"/>
  <c r="L1812" i="5"/>
  <c r="L53" i="8" s="1"/>
  <c r="H1885" i="5"/>
  <c r="P1884" i="5"/>
  <c r="P82" i="8" s="1"/>
  <c r="P383" i="8" s="1"/>
  <c r="H80" i="14" s="1"/>
  <c r="I2160" i="5"/>
  <c r="G1741" i="5"/>
  <c r="D2148" i="5"/>
  <c r="W2328" i="5"/>
  <c r="E2338" i="5"/>
  <c r="E284" i="8" s="1"/>
  <c r="P2046" i="5"/>
  <c r="P156" i="8" s="1"/>
  <c r="H2047" i="5"/>
  <c r="O2046" i="5"/>
  <c r="O156" i="8" s="1"/>
  <c r="G2047" i="5"/>
  <c r="O2273" i="5"/>
  <c r="O256" i="8" s="1"/>
  <c r="G2274" i="5"/>
  <c r="N1994" i="5"/>
  <c r="N131" i="8" s="1"/>
  <c r="F1995" i="5"/>
  <c r="Q1761" i="5"/>
  <c r="V102" i="5"/>
  <c r="N53" i="5"/>
  <c r="I2343" i="5"/>
  <c r="I286" i="8" s="1"/>
  <c r="I2207" i="5"/>
  <c r="Q2206" i="5"/>
  <c r="Q231" i="8" s="1"/>
  <c r="D1773" i="5"/>
  <c r="W1773" i="5"/>
  <c r="E2011" i="5"/>
  <c r="M2010" i="5"/>
  <c r="M138" i="8" s="1"/>
  <c r="D2359" i="5"/>
  <c r="D295" i="8" s="1"/>
  <c r="W2359" i="5"/>
  <c r="H2407" i="5"/>
  <c r="H314" i="8" s="1"/>
  <c r="P2406" i="5"/>
  <c r="P313" i="8" s="1"/>
  <c r="P449" i="8" s="1"/>
  <c r="H221" i="14" s="1"/>
  <c r="N1710" i="5"/>
  <c r="N9" i="8" s="1"/>
  <c r="N363" i="8" s="1"/>
  <c r="F30" i="14" s="1"/>
  <c r="F1711" i="5"/>
  <c r="I1833" i="5"/>
  <c r="G1773" i="5"/>
  <c r="D2487" i="5"/>
  <c r="D344" i="8" s="1"/>
  <c r="W2487" i="5"/>
  <c r="D2111" i="5"/>
  <c r="W2111" i="5"/>
  <c r="G1812" i="5"/>
  <c r="Q1784" i="5"/>
  <c r="X1784" i="5" s="1"/>
  <c r="V152" i="5"/>
  <c r="P2133" i="5"/>
  <c r="P197" i="8" s="1"/>
  <c r="P417" i="8" s="1"/>
  <c r="H159" i="14" s="1"/>
  <c r="E2105" i="5"/>
  <c r="M2104" i="5"/>
  <c r="M183" i="8" s="1"/>
  <c r="M414" i="8" s="1"/>
  <c r="E156" i="14" s="1"/>
  <c r="I2191" i="5"/>
  <c r="I1987" i="5"/>
  <c r="Q1986" i="5"/>
  <c r="Q127" i="8" s="1"/>
  <c r="Q1727" i="5"/>
  <c r="V42" i="5"/>
  <c r="D2470" i="5"/>
  <c r="D337" i="8" s="1"/>
  <c r="W2470" i="5"/>
  <c r="X2470" i="5" s="1"/>
  <c r="D1889" i="5"/>
  <c r="W1889" i="5"/>
  <c r="D1984" i="5"/>
  <c r="W1984" i="5"/>
  <c r="F1722" i="5"/>
  <c r="G2487" i="5"/>
  <c r="G344" i="8" s="1"/>
  <c r="D1975" i="5"/>
  <c r="W1975" i="5"/>
  <c r="L1974" i="5"/>
  <c r="L120" i="8" s="1"/>
  <c r="D2478" i="5"/>
  <c r="D340" i="8" s="1"/>
  <c r="W2478" i="5"/>
  <c r="X2478" i="5" s="1"/>
  <c r="D2483" i="5"/>
  <c r="D342" i="8" s="1"/>
  <c r="W2483" i="5"/>
  <c r="F2359" i="5"/>
  <c r="F295" i="8" s="1"/>
  <c r="D2025" i="5"/>
  <c r="D2285" i="5"/>
  <c r="W2285" i="5"/>
  <c r="X2285" i="5" s="1"/>
  <c r="G2495" i="5"/>
  <c r="G346" i="8" s="1"/>
  <c r="F2179" i="5"/>
  <c r="E1984" i="5"/>
  <c r="H1722" i="5"/>
  <c r="F2216" i="5"/>
  <c r="N2215" i="5"/>
  <c r="N234" i="8" s="1"/>
  <c r="N428" i="8" s="1"/>
  <c r="F182" i="14" s="1"/>
  <c r="N68" i="5"/>
  <c r="N1740" i="5" s="1"/>
  <c r="N565" i="8" s="1"/>
  <c r="N662" i="8" s="1"/>
  <c r="D2442" i="5"/>
  <c r="D326" i="8" s="1"/>
  <c r="W2442" i="5"/>
  <c r="E2506" i="5"/>
  <c r="E350" i="8" s="1"/>
  <c r="H1910" i="5"/>
  <c r="E2206" i="5"/>
  <c r="M2205" i="5"/>
  <c r="M230" i="8" s="1"/>
  <c r="M427" i="8" s="1"/>
  <c r="E181" i="14" s="1"/>
  <c r="I2158" i="5"/>
  <c r="Q2157" i="5"/>
  <c r="Q208" i="8" s="1"/>
  <c r="I2399" i="5"/>
  <c r="I310" i="8" s="1"/>
  <c r="D1934" i="5"/>
  <c r="L1933" i="5"/>
  <c r="L100" i="8" s="1"/>
  <c r="W1934" i="5"/>
  <c r="X1934" i="5" s="1"/>
  <c r="X2008" i="5"/>
  <c r="I2459" i="5"/>
  <c r="I2455" i="5"/>
  <c r="Q2454" i="5"/>
  <c r="Q331" i="8" s="1"/>
  <c r="E1997" i="5"/>
  <c r="M1996" i="5"/>
  <c r="M132" i="8" s="1"/>
  <c r="M397" i="8" s="1"/>
  <c r="E111" i="14" s="1"/>
  <c r="E2128" i="5"/>
  <c r="N1769" i="5"/>
  <c r="N37" i="8" s="1"/>
  <c r="N373" i="8" s="1"/>
  <c r="F53" i="14" s="1"/>
  <c r="F1902" i="5"/>
  <c r="D1885" i="5"/>
  <c r="L1884" i="5"/>
  <c r="L82" i="8" s="1"/>
  <c r="W1885" i="5"/>
  <c r="F2287" i="5"/>
  <c r="I1819" i="5"/>
  <c r="E2393" i="5"/>
  <c r="E307" i="8" s="1"/>
  <c r="F2388" i="5"/>
  <c r="F306" i="8" s="1"/>
  <c r="F2385" i="5"/>
  <c r="F305" i="8" s="1"/>
  <c r="N2384" i="5"/>
  <c r="N304" i="8" s="1"/>
  <c r="N447" i="8" s="1"/>
  <c r="F219" i="14" s="1"/>
  <c r="D2035" i="5"/>
  <c r="L2034" i="5"/>
  <c r="W2035" i="5"/>
  <c r="X2035" i="5" s="1"/>
  <c r="I1836" i="5"/>
  <c r="D1946" i="5"/>
  <c r="W1946" i="5"/>
  <c r="X1946" i="5" s="1"/>
  <c r="Q2483" i="5"/>
  <c r="Q342" i="8" s="1"/>
  <c r="I2485" i="5"/>
  <c r="X1998" i="5"/>
  <c r="F1734" i="5"/>
  <c r="I2240" i="5"/>
  <c r="Q2239" i="5"/>
  <c r="Q243" i="8" s="1"/>
  <c r="G2316" i="5"/>
  <c r="G274" i="8" s="1"/>
  <c r="G2456" i="5"/>
  <c r="G332" i="8" s="1"/>
  <c r="D1797" i="5"/>
  <c r="W2368" i="5"/>
  <c r="X2368" i="5" s="1"/>
  <c r="D2368" i="5"/>
  <c r="D299" i="8" s="1"/>
  <c r="D1767" i="5"/>
  <c r="W1767" i="5"/>
  <c r="D1756" i="5"/>
  <c r="W1756" i="5"/>
  <c r="L1755" i="5"/>
  <c r="L31" i="8" s="1"/>
  <c r="I2283" i="5"/>
  <c r="Q2282" i="5"/>
  <c r="Q260" i="8" s="1"/>
  <c r="M1731" i="5"/>
  <c r="M18" i="8" s="1"/>
  <c r="M366" i="8" s="1"/>
  <c r="E33" i="14" s="1"/>
  <c r="E1734" i="5"/>
  <c r="N1725" i="5"/>
  <c r="N15" i="8" s="1"/>
  <c r="N365" i="8" s="1"/>
  <c r="F32" i="14" s="1"/>
  <c r="F1726" i="5"/>
  <c r="F1889" i="5"/>
  <c r="D2354" i="5"/>
  <c r="D292" i="8" s="1"/>
  <c r="W2354" i="5"/>
  <c r="G2282" i="5"/>
  <c r="E1803" i="5"/>
  <c r="F2227" i="5"/>
  <c r="D2121" i="5"/>
  <c r="L2120" i="5"/>
  <c r="L191" i="8" s="1"/>
  <c r="W2121" i="5"/>
  <c r="G2038" i="5"/>
  <c r="F2263" i="5"/>
  <c r="M1949" i="5"/>
  <c r="M108" i="8" s="1"/>
  <c r="M389" i="8" s="1"/>
  <c r="E86" i="14" s="1"/>
  <c r="E1950" i="5"/>
  <c r="I1991" i="5"/>
  <c r="Q1990" i="5"/>
  <c r="Q129" i="8" s="1"/>
  <c r="D2435" i="5"/>
  <c r="D324" i="8" s="1"/>
  <c r="W2435" i="5"/>
  <c r="I1827" i="5"/>
  <c r="E2456" i="5"/>
  <c r="E332" i="8" s="1"/>
  <c r="D1836" i="5"/>
  <c r="W1836" i="5"/>
  <c r="X1836" i="5" s="1"/>
  <c r="E2220" i="5"/>
  <c r="H2190" i="5"/>
  <c r="G2506" i="5"/>
  <c r="G350" i="8" s="1"/>
  <c r="H2461" i="5"/>
  <c r="H334" i="8" s="1"/>
  <c r="E1741" i="5"/>
  <c r="H2206" i="5"/>
  <c r="P2205" i="5"/>
  <c r="P230" i="8" s="1"/>
  <c r="P427" i="8" s="1"/>
  <c r="H181" i="14" s="1"/>
  <c r="Q1772" i="5"/>
  <c r="I1772" i="5" s="1"/>
  <c r="V126" i="5"/>
  <c r="D1936" i="5"/>
  <c r="W1936" i="5"/>
  <c r="X1936" i="5" s="1"/>
  <c r="F2137" i="5"/>
  <c r="X2240" i="5"/>
  <c r="F1933" i="5"/>
  <c r="I2452" i="5"/>
  <c r="I330" i="8" s="1"/>
  <c r="X2493" i="5"/>
  <c r="I2368" i="5"/>
  <c r="G1733" i="5"/>
  <c r="O1732" i="5"/>
  <c r="O19" i="8" s="1"/>
  <c r="H1958" i="5"/>
  <c r="D2407" i="5"/>
  <c r="D314" i="8" s="1"/>
  <c r="L2406" i="5"/>
  <c r="L313" i="8" s="1"/>
  <c r="W2407" i="5"/>
  <c r="Q1768" i="5"/>
  <c r="V115" i="5"/>
  <c r="H2385" i="5"/>
  <c r="H305" i="8" s="1"/>
  <c r="P2384" i="5"/>
  <c r="P304" i="8" s="1"/>
  <c r="P447" i="8" s="1"/>
  <c r="H219" i="14" s="1"/>
  <c r="I2457" i="5"/>
  <c r="Q2456" i="5"/>
  <c r="Q332" i="8" s="1"/>
  <c r="I1904" i="5"/>
  <c r="I2360" i="5"/>
  <c r="Q2359" i="5"/>
  <c r="W2403" i="5"/>
  <c r="F2403" i="5"/>
  <c r="F312" i="8" s="1"/>
  <c r="D2202" i="5"/>
  <c r="W2202" i="5"/>
  <c r="F2034" i="5"/>
  <c r="F1923" i="5"/>
  <c r="D2339" i="5"/>
  <c r="D285" i="8" s="1"/>
  <c r="W2339" i="5"/>
  <c r="X2339" i="5" s="1"/>
  <c r="L2338" i="5"/>
  <c r="N1961" i="5"/>
  <c r="N114" i="8" s="1"/>
  <c r="N391" i="8" s="1"/>
  <c r="F88" i="14" s="1"/>
  <c r="X2257" i="5"/>
  <c r="X1921" i="5"/>
  <c r="H1970" i="5"/>
  <c r="D2220" i="5"/>
  <c r="W2220" i="5"/>
  <c r="E1807" i="5"/>
  <c r="H2426" i="5"/>
  <c r="H319" i="8" s="1"/>
  <c r="F2111" i="5"/>
  <c r="H1988" i="5"/>
  <c r="D2287" i="5"/>
  <c r="W2287" i="5"/>
  <c r="X1987" i="5"/>
  <c r="D2137" i="5"/>
  <c r="W2137" i="5"/>
  <c r="X2137" i="5" s="1"/>
  <c r="D1793" i="5"/>
  <c r="W1793" i="5"/>
  <c r="G1933" i="5"/>
  <c r="D1827" i="5"/>
  <c r="L1826" i="5"/>
  <c r="L58" i="8" s="1"/>
  <c r="W1827" i="5"/>
  <c r="X1827" i="5" s="1"/>
  <c r="H2157" i="5"/>
  <c r="P2156" i="5"/>
  <c r="P207" i="8" s="1"/>
  <c r="P419" i="8" s="1"/>
  <c r="H161" i="14" s="1"/>
  <c r="I2174" i="5"/>
  <c r="Q2172" i="5"/>
  <c r="Q215" i="8" s="1"/>
  <c r="F1929" i="5"/>
  <c r="E2263" i="5"/>
  <c r="G2111" i="5"/>
  <c r="W1719" i="5"/>
  <c r="L1716" i="5"/>
  <c r="L11" i="8" s="1"/>
  <c r="D1719" i="5"/>
  <c r="E2426" i="5"/>
  <c r="E319" i="8" s="1"/>
  <c r="D2352" i="5"/>
  <c r="D291" i="8" s="1"/>
  <c r="L2351" i="5"/>
  <c r="W2352" i="5"/>
  <c r="X2352" i="5" s="1"/>
  <c r="G2403" i="5"/>
  <c r="G312" i="8" s="1"/>
  <c r="G2202" i="5"/>
  <c r="I1936" i="5"/>
  <c r="I2176" i="5"/>
  <c r="E2039" i="5"/>
  <c r="M2038" i="5"/>
  <c r="M152" i="8" s="1"/>
  <c r="M404" i="8" s="1"/>
  <c r="E132" i="14" s="1"/>
  <c r="E2385" i="5"/>
  <c r="E305" i="8" s="1"/>
  <c r="M2384" i="5"/>
  <c r="M304" i="8" s="1"/>
  <c r="M447" i="8" s="1"/>
  <c r="E219" i="14" s="1"/>
  <c r="G2362" i="5"/>
  <c r="G296" i="8" s="1"/>
  <c r="G2075" i="5"/>
  <c r="O2073" i="5"/>
  <c r="O168" i="8" s="1"/>
  <c r="Q2465" i="5"/>
  <c r="Q336" i="8" s="1"/>
  <c r="H2227" i="5"/>
  <c r="E2121" i="5"/>
  <c r="M2120" i="5"/>
  <c r="M191" i="8" s="1"/>
  <c r="M415" i="8" s="1"/>
  <c r="E157" i="14" s="1"/>
  <c r="M1750" i="5"/>
  <c r="N1750" i="5"/>
  <c r="O1826" i="5"/>
  <c r="O58" i="8" s="1"/>
  <c r="O377" i="8" s="1"/>
  <c r="G57" i="14" s="1"/>
  <c r="O1750" i="5"/>
  <c r="P1750" i="5"/>
  <c r="P1839" i="5"/>
  <c r="P63" i="8" s="1"/>
  <c r="H1841" i="5"/>
  <c r="F1753" i="5"/>
  <c r="H1753" i="5"/>
  <c r="G1753" i="5"/>
  <c r="E1753" i="5"/>
  <c r="G1842" i="5"/>
  <c r="Q591" i="5"/>
  <c r="Q590" i="5" s="1"/>
  <c r="Q1995" i="5" s="1"/>
  <c r="L590" i="5"/>
  <c r="L1995" i="5" s="1"/>
  <c r="D1995" i="5" s="1"/>
  <c r="L686" i="5"/>
  <c r="L2047" i="5" s="1"/>
  <c r="D2047" i="5" s="1"/>
  <c r="Q687" i="5"/>
  <c r="Q686" i="5" s="1"/>
  <c r="Q2047" i="5" s="1"/>
  <c r="L1751" i="5"/>
  <c r="L29" i="8" s="1"/>
  <c r="W1752" i="5"/>
  <c r="L1158" i="5"/>
  <c r="L2274" i="5" s="1"/>
  <c r="Q1159" i="5"/>
  <c r="Q1158" i="5" s="1"/>
  <c r="Q2274" i="5" s="1"/>
  <c r="Q626" i="8" s="1"/>
  <c r="W1754" i="5"/>
  <c r="L1753" i="5"/>
  <c r="L30" i="8" s="1"/>
  <c r="M1826" i="5"/>
  <c r="M58" i="8" s="1"/>
  <c r="M377" i="8" s="1"/>
  <c r="E57" i="14" s="1"/>
  <c r="P292" i="5"/>
  <c r="J292" i="5"/>
  <c r="J262" i="5"/>
  <c r="Q262" i="5"/>
  <c r="Q261" i="5" s="1"/>
  <c r="Q1841" i="5" s="1"/>
  <c r="Q550" i="8" s="1"/>
  <c r="E6" i="3"/>
  <c r="N23" i="3"/>
  <c r="P272" i="5"/>
  <c r="J272" i="5"/>
  <c r="W1841" i="5"/>
  <c r="E205" i="5"/>
  <c r="F22" i="3"/>
  <c r="I71" i="3"/>
  <c r="I82" i="3" s="1"/>
  <c r="I83" i="3" s="1"/>
  <c r="J60" i="3"/>
  <c r="I70" i="3"/>
  <c r="J17" i="3"/>
  <c r="J52" i="3"/>
  <c r="J54" i="3" s="1"/>
  <c r="K58" i="3"/>
  <c r="I212" i="14" l="1"/>
  <c r="D233" i="14"/>
  <c r="F30" i="8"/>
  <c r="I102" i="8"/>
  <c r="F99" i="8"/>
  <c r="G100" i="8"/>
  <c r="D229" i="8"/>
  <c r="G260" i="8"/>
  <c r="F235" i="8"/>
  <c r="I225" i="8"/>
  <c r="D187" i="8"/>
  <c r="F67" i="14"/>
  <c r="F231" i="8"/>
  <c r="E252" i="8"/>
  <c r="G89" i="8"/>
  <c r="F50" i="8"/>
  <c r="D242" i="8"/>
  <c r="F53" i="8"/>
  <c r="D244" i="8"/>
  <c r="H51" i="8"/>
  <c r="I101" i="8"/>
  <c r="D113" i="8"/>
  <c r="D198" i="8"/>
  <c r="G192" i="8"/>
  <c r="H184" i="8"/>
  <c r="E199" i="8"/>
  <c r="D247" i="8"/>
  <c r="D128" i="8"/>
  <c r="F153" i="8"/>
  <c r="E143" i="8"/>
  <c r="I151" i="8"/>
  <c r="H200" i="8"/>
  <c r="F91" i="14"/>
  <c r="E235" i="8"/>
  <c r="E86" i="8"/>
  <c r="G66" i="14"/>
  <c r="H186" i="8"/>
  <c r="G229" i="8"/>
  <c r="D236" i="8"/>
  <c r="D102" i="8"/>
  <c r="H224" i="8"/>
  <c r="F253" i="8"/>
  <c r="Z2240" i="5"/>
  <c r="E133" i="8"/>
  <c r="E231" i="8"/>
  <c r="H129" i="8"/>
  <c r="H260" i="8"/>
  <c r="F120" i="8"/>
  <c r="E242" i="8"/>
  <c r="I190" i="8"/>
  <c r="D85" i="8"/>
  <c r="G249" i="8"/>
  <c r="D243" i="8"/>
  <c r="G118" i="8"/>
  <c r="D199" i="8"/>
  <c r="D62" i="8"/>
  <c r="D209" i="8"/>
  <c r="D89" i="8"/>
  <c r="H251" i="8"/>
  <c r="D38" i="8"/>
  <c r="D153" i="8"/>
  <c r="H153" i="8"/>
  <c r="D228" i="8"/>
  <c r="G251" i="8"/>
  <c r="D235" i="8"/>
  <c r="G105" i="8"/>
  <c r="G112" i="8"/>
  <c r="D88" i="8"/>
  <c r="E118" i="8"/>
  <c r="I57" i="8"/>
  <c r="I113" i="8"/>
  <c r="E92" i="8"/>
  <c r="E68" i="14"/>
  <c r="H29" i="8"/>
  <c r="G63" i="8"/>
  <c r="F185" i="8"/>
  <c r="E43" i="8"/>
  <c r="F129" i="8"/>
  <c r="G239" i="8"/>
  <c r="E30" i="8"/>
  <c r="E192" i="8"/>
  <c r="D48" i="8"/>
  <c r="F262" i="8"/>
  <c r="D84" i="8"/>
  <c r="G64" i="8"/>
  <c r="H208" i="8"/>
  <c r="H128" i="8"/>
  <c r="D32" i="8"/>
  <c r="I56" i="8"/>
  <c r="D83" i="8"/>
  <c r="D101" i="8"/>
  <c r="I61" i="8"/>
  <c r="F133" i="8"/>
  <c r="H53" i="8"/>
  <c r="F260" i="8"/>
  <c r="E168" i="8"/>
  <c r="H105" i="8"/>
  <c r="E201" i="8"/>
  <c r="E125" i="8"/>
  <c r="F126" i="8"/>
  <c r="D64" i="8"/>
  <c r="F255" i="8"/>
  <c r="D260" i="8"/>
  <c r="F250" i="8"/>
  <c r="D96" i="8"/>
  <c r="E91" i="14"/>
  <c r="D201" i="8"/>
  <c r="E208" i="8"/>
  <c r="I221" i="8"/>
  <c r="E105" i="8"/>
  <c r="D200" i="8"/>
  <c r="D57" i="8"/>
  <c r="E204" i="8"/>
  <c r="D168" i="8"/>
  <c r="Z2075" i="5"/>
  <c r="H109" i="8"/>
  <c r="F238" i="8"/>
  <c r="H86" i="8"/>
  <c r="G97" i="8"/>
  <c r="E245" i="8"/>
  <c r="E64" i="8"/>
  <c r="G127" i="8"/>
  <c r="E238" i="8"/>
  <c r="F64" i="8"/>
  <c r="E72" i="14"/>
  <c r="G72" i="14"/>
  <c r="F187" i="8"/>
  <c r="F97" i="8"/>
  <c r="I90" i="8"/>
  <c r="F100" i="8"/>
  <c r="H231" i="8"/>
  <c r="D192" i="8"/>
  <c r="AA2283" i="5"/>
  <c r="F89" i="8"/>
  <c r="I62" i="8"/>
  <c r="F36" i="8"/>
  <c r="E229" i="8"/>
  <c r="Z1847" i="5"/>
  <c r="D90" i="8"/>
  <c r="I85" i="8"/>
  <c r="D91" i="8"/>
  <c r="D93" i="8"/>
  <c r="G150" i="8"/>
  <c r="E250" i="8"/>
  <c r="E88" i="8"/>
  <c r="D253" i="8"/>
  <c r="G245" i="8"/>
  <c r="Z1971" i="5"/>
  <c r="E96" i="8"/>
  <c r="F192" i="8"/>
  <c r="D231" i="8"/>
  <c r="H244" i="8"/>
  <c r="E198" i="8"/>
  <c r="D186" i="8"/>
  <c r="D129" i="8"/>
  <c r="D115" i="8"/>
  <c r="H192" i="8"/>
  <c r="G143" i="8"/>
  <c r="F92" i="8"/>
  <c r="E215" i="8"/>
  <c r="E83" i="8"/>
  <c r="D98" i="8"/>
  <c r="D158" i="8"/>
  <c r="D63" i="8"/>
  <c r="G132" i="8"/>
  <c r="E53" i="8"/>
  <c r="G242" i="8"/>
  <c r="F83" i="8"/>
  <c r="E116" i="8"/>
  <c r="D103" i="8"/>
  <c r="G262" i="8"/>
  <c r="D51" i="8"/>
  <c r="D215" i="8"/>
  <c r="H185" i="8"/>
  <c r="H199" i="8"/>
  <c r="H245" i="8"/>
  <c r="E29" i="8"/>
  <c r="I176" i="14"/>
  <c r="D192" i="14"/>
  <c r="E192" i="14" s="1"/>
  <c r="H121" i="8"/>
  <c r="E127" i="8"/>
  <c r="F245" i="8"/>
  <c r="Z1951" i="5"/>
  <c r="AA2265" i="5"/>
  <c r="G30" i="8"/>
  <c r="H239" i="8"/>
  <c r="E153" i="8"/>
  <c r="G187" i="8"/>
  <c r="Z2174" i="5"/>
  <c r="D46" i="8"/>
  <c r="H118" i="8"/>
  <c r="F150" i="8"/>
  <c r="E236" i="8"/>
  <c r="I59" i="8"/>
  <c r="G152" i="8"/>
  <c r="F239" i="8"/>
  <c r="D36" i="8"/>
  <c r="F68" i="14"/>
  <c r="H92" i="8"/>
  <c r="E126" i="8"/>
  <c r="D261" i="8"/>
  <c r="D39" i="8"/>
  <c r="D54" i="8"/>
  <c r="G126" i="8"/>
  <c r="H98" i="8"/>
  <c r="D208" i="8"/>
  <c r="D195" i="8"/>
  <c r="D133" i="8"/>
  <c r="D41" i="8"/>
  <c r="I247" i="8"/>
  <c r="Z1813" i="5"/>
  <c r="H250" i="8"/>
  <c r="E112" i="8"/>
  <c r="E98" i="8"/>
  <c r="D66" i="8"/>
  <c r="D106" i="8"/>
  <c r="D33" i="8"/>
  <c r="F96" i="8"/>
  <c r="Z1913" i="5"/>
  <c r="G120" i="8"/>
  <c r="E39" i="8"/>
  <c r="D249" i="8"/>
  <c r="E187" i="8"/>
  <c r="G125" i="8"/>
  <c r="D116" i="8"/>
  <c r="I117" i="8"/>
  <c r="H100" i="8"/>
  <c r="G185" i="8"/>
  <c r="H97" i="8"/>
  <c r="G98" i="8"/>
  <c r="F116" i="8"/>
  <c r="F138" i="8"/>
  <c r="H125" i="8"/>
  <c r="G129" i="8"/>
  <c r="H201" i="8"/>
  <c r="I93" i="8"/>
  <c r="D184" i="8"/>
  <c r="H39" i="8"/>
  <c r="H187" i="8"/>
  <c r="G50" i="8"/>
  <c r="G83" i="8"/>
  <c r="AA2259" i="5"/>
  <c r="E32" i="8"/>
  <c r="F86" i="8"/>
  <c r="H243" i="8"/>
  <c r="F29" i="8"/>
  <c r="G201" i="8"/>
  <c r="G68" i="14"/>
  <c r="E97" i="8"/>
  <c r="F228" i="8"/>
  <c r="G32" i="8"/>
  <c r="F226" i="8"/>
  <c r="H133" i="8"/>
  <c r="E36" i="8"/>
  <c r="D171" i="8"/>
  <c r="Z2078" i="5"/>
  <c r="Z2080" i="5"/>
  <c r="Z2083" i="5"/>
  <c r="F68" i="8"/>
  <c r="F72" i="14"/>
  <c r="H242" i="8"/>
  <c r="H172" i="8"/>
  <c r="D172" i="8"/>
  <c r="H30" i="8"/>
  <c r="I217" i="8"/>
  <c r="E253" i="8"/>
  <c r="D59" i="8"/>
  <c r="D262" i="8"/>
  <c r="E51" i="8"/>
  <c r="H112" i="8"/>
  <c r="F199" i="8"/>
  <c r="E109" i="8"/>
  <c r="E50" i="8"/>
  <c r="F84" i="8"/>
  <c r="D107" i="8"/>
  <c r="D151" i="8"/>
  <c r="E195" i="8"/>
  <c r="Z2158" i="5"/>
  <c r="F219" i="8"/>
  <c r="N504" i="8" s="1"/>
  <c r="D121" i="8"/>
  <c r="D126" i="8"/>
  <c r="G39" i="8"/>
  <c r="D204" i="8"/>
  <c r="H83" i="8"/>
  <c r="D127" i="8"/>
  <c r="F201" i="8"/>
  <c r="G99" i="8"/>
  <c r="D252" i="8"/>
  <c r="D86" i="8"/>
  <c r="F215" i="8"/>
  <c r="I220" i="8"/>
  <c r="H215" i="8"/>
  <c r="E84" i="8"/>
  <c r="D125" i="8"/>
  <c r="H96" i="8"/>
  <c r="F118" i="8"/>
  <c r="G253" i="8"/>
  <c r="F39" i="8"/>
  <c r="E228" i="8"/>
  <c r="F41" i="8"/>
  <c r="G236" i="8"/>
  <c r="F249" i="8"/>
  <c r="G208" i="8"/>
  <c r="D50" i="8"/>
  <c r="D217" i="8"/>
  <c r="F112" i="8"/>
  <c r="H41" i="8"/>
  <c r="D251" i="8"/>
  <c r="E219" i="8"/>
  <c r="M504" i="8" s="1"/>
  <c r="D238" i="8"/>
  <c r="G235" i="8"/>
  <c r="D56" i="8"/>
  <c r="D190" i="8"/>
  <c r="H262" i="8"/>
  <c r="D239" i="8"/>
  <c r="F200" i="8"/>
  <c r="D94" i="8"/>
  <c r="D110" i="8"/>
  <c r="F244" i="8"/>
  <c r="G252" i="8"/>
  <c r="D97" i="8"/>
  <c r="E239" i="8"/>
  <c r="G96" i="8"/>
  <c r="F127" i="8"/>
  <c r="G92" i="8"/>
  <c r="D117" i="8"/>
  <c r="H68" i="14"/>
  <c r="H219" i="8"/>
  <c r="P504" i="8" s="1"/>
  <c r="G200" i="8"/>
  <c r="Z1946" i="5"/>
  <c r="H249" i="8"/>
  <c r="G231" i="8"/>
  <c r="F158" i="8"/>
  <c r="F31" i="8"/>
  <c r="E185" i="8"/>
  <c r="F251" i="8"/>
  <c r="E226" i="8"/>
  <c r="D225" i="8"/>
  <c r="D61" i="8"/>
  <c r="H89" i="8"/>
  <c r="E120" i="8"/>
  <c r="D221" i="8"/>
  <c r="I60" i="8"/>
  <c r="E200" i="8"/>
  <c r="E255" i="8"/>
  <c r="F125" i="8"/>
  <c r="E66" i="14"/>
  <c r="G244" i="8"/>
  <c r="E262" i="8"/>
  <c r="E63" i="8"/>
  <c r="F106" i="8"/>
  <c r="F43" i="8"/>
  <c r="G67" i="8"/>
  <c r="E67" i="8"/>
  <c r="H238" i="8"/>
  <c r="F229" i="8"/>
  <c r="G238" i="8"/>
  <c r="E67" i="14"/>
  <c r="F236" i="8"/>
  <c r="G199" i="8"/>
  <c r="E68" i="8"/>
  <c r="H106" i="8"/>
  <c r="G68" i="8"/>
  <c r="E170" i="8"/>
  <c r="D173" i="8"/>
  <c r="H170" i="8"/>
  <c r="D170" i="8"/>
  <c r="G172" i="8"/>
  <c r="F170" i="8"/>
  <c r="D71" i="8"/>
  <c r="Z1857" i="5"/>
  <c r="Z1953" i="5"/>
  <c r="H68" i="8"/>
  <c r="H84" i="8"/>
  <c r="G184" i="8"/>
  <c r="G219" i="8"/>
  <c r="O504" i="8" s="1"/>
  <c r="F109" i="8"/>
  <c r="D109" i="8"/>
  <c r="G215" i="8"/>
  <c r="E150" i="8"/>
  <c r="AA2288" i="5"/>
  <c r="H31" i="8"/>
  <c r="F208" i="8"/>
  <c r="H150" i="8"/>
  <c r="D226" i="8"/>
  <c r="H50" i="8"/>
  <c r="G91" i="14"/>
  <c r="G86" i="8"/>
  <c r="D60" i="8"/>
  <c r="I103" i="8"/>
  <c r="H88" i="8"/>
  <c r="D55" i="8"/>
  <c r="E249" i="8"/>
  <c r="H228" i="8"/>
  <c r="I178" i="14"/>
  <c r="D194" i="14"/>
  <c r="E194" i="14" s="1"/>
  <c r="I246" i="8"/>
  <c r="G226" i="8"/>
  <c r="F171" i="8"/>
  <c r="G170" i="8"/>
  <c r="F172" i="8"/>
  <c r="D174" i="8"/>
  <c r="H171" i="8"/>
  <c r="G171" i="8"/>
  <c r="E171" i="8"/>
  <c r="H36" i="8"/>
  <c r="F51" i="8"/>
  <c r="D119" i="8"/>
  <c r="D105" i="8"/>
  <c r="AA2257" i="5"/>
  <c r="H127" i="8"/>
  <c r="F184" i="8"/>
  <c r="E100" i="8"/>
  <c r="H126" i="8"/>
  <c r="G109" i="8"/>
  <c r="G255" i="8"/>
  <c r="G29" i="8"/>
  <c r="G34" i="8"/>
  <c r="F198" i="8"/>
  <c r="G43" i="8"/>
  <c r="G186" i="8"/>
  <c r="G73" i="14"/>
  <c r="E184" i="8"/>
  <c r="G53" i="8"/>
  <c r="D250" i="8"/>
  <c r="H255" i="8"/>
  <c r="H253" i="8"/>
  <c r="I91" i="8"/>
  <c r="F242" i="8"/>
  <c r="G88" i="8"/>
  <c r="H43" i="8"/>
  <c r="G84" i="8"/>
  <c r="D42" i="8"/>
  <c r="D179" i="8"/>
  <c r="L498" i="8" s="1"/>
  <c r="D255" i="8"/>
  <c r="H252" i="8"/>
  <c r="F88" i="8"/>
  <c r="E251" i="8"/>
  <c r="I199" i="8"/>
  <c r="H235" i="8"/>
  <c r="I55" i="8"/>
  <c r="H116" i="8"/>
  <c r="D68" i="8"/>
  <c r="D220" i="8"/>
  <c r="F98" i="8"/>
  <c r="E129" i="8"/>
  <c r="G116" i="8"/>
  <c r="D185" i="8"/>
  <c r="D259" i="8"/>
  <c r="H229" i="8"/>
  <c r="E260" i="8"/>
  <c r="D144" i="8"/>
  <c r="H67" i="14"/>
  <c r="Q351" i="8"/>
  <c r="I2507" i="5"/>
  <c r="X2507" i="5"/>
  <c r="Q297" i="8"/>
  <c r="I2365" i="5"/>
  <c r="I297" i="8" s="1"/>
  <c r="C233" i="12"/>
  <c r="E36" i="14"/>
  <c r="AA2322" i="5"/>
  <c r="I277" i="8"/>
  <c r="AA2510" i="5"/>
  <c r="I352" i="8"/>
  <c r="AA2324" i="5"/>
  <c r="I278" i="8"/>
  <c r="X2365" i="5"/>
  <c r="D14" i="8"/>
  <c r="D22" i="8"/>
  <c r="E23" i="8"/>
  <c r="E20" i="8"/>
  <c r="F20" i="8"/>
  <c r="H14" i="8"/>
  <c r="F14" i="8"/>
  <c r="F10" i="8"/>
  <c r="D20" i="8"/>
  <c r="E22" i="8"/>
  <c r="G16" i="8"/>
  <c r="D19" i="8"/>
  <c r="G14" i="8"/>
  <c r="N686" i="8"/>
  <c r="F13" i="8"/>
  <c r="G23" i="8"/>
  <c r="D16" i="8"/>
  <c r="H23" i="8"/>
  <c r="E10" i="8"/>
  <c r="E14" i="8"/>
  <c r="Z1743" i="5"/>
  <c r="D13" i="8"/>
  <c r="E16" i="8"/>
  <c r="H13" i="8"/>
  <c r="G10" i="8"/>
  <c r="F16" i="8"/>
  <c r="H16" i="8"/>
  <c r="F23" i="8"/>
  <c r="H10" i="8"/>
  <c r="D23" i="8"/>
  <c r="H1764" i="5"/>
  <c r="I115" i="8"/>
  <c r="AA1962" i="5"/>
  <c r="C192" i="12"/>
  <c r="I303" i="8"/>
  <c r="Z2382" i="5"/>
  <c r="I328" i="8"/>
  <c r="AA2448" i="5"/>
  <c r="C212" i="12"/>
  <c r="B54" i="12"/>
  <c r="B53" i="12" s="1"/>
  <c r="AA1965" i="5"/>
  <c r="B130" i="12"/>
  <c r="I299" i="8"/>
  <c r="Z2368" i="5"/>
  <c r="I209" i="8"/>
  <c r="Z2160" i="5"/>
  <c r="B23" i="12"/>
  <c r="C173" i="12"/>
  <c r="I325" i="8"/>
  <c r="AA2439" i="5"/>
  <c r="B71" i="12"/>
  <c r="I293" i="8"/>
  <c r="AA2356" i="5"/>
  <c r="C142" i="12"/>
  <c r="B33" i="12"/>
  <c r="B61" i="12"/>
  <c r="C157" i="12"/>
  <c r="I333" i="8"/>
  <c r="AA2459" i="5"/>
  <c r="B116" i="12"/>
  <c r="B20" i="12"/>
  <c r="B19" i="12" s="1"/>
  <c r="B51" i="12"/>
  <c r="B50" i="12" s="1"/>
  <c r="I261" i="8"/>
  <c r="AA2285" i="5"/>
  <c r="C144" i="12"/>
  <c r="C188" i="12"/>
  <c r="I174" i="8"/>
  <c r="Z2088" i="5"/>
  <c r="M686" i="8"/>
  <c r="C215" i="12"/>
  <c r="B72" i="12"/>
  <c r="B55" i="12"/>
  <c r="B93" i="12"/>
  <c r="B95" i="12"/>
  <c r="B98" i="12"/>
  <c r="I353" i="8"/>
  <c r="AA2512" i="5"/>
  <c r="B59" i="12"/>
  <c r="C150" i="12"/>
  <c r="C168" i="12"/>
  <c r="B136" i="12"/>
  <c r="I259" i="8"/>
  <c r="AA2280" i="5"/>
  <c r="I251" i="8"/>
  <c r="AA2258" i="5"/>
  <c r="I110" i="8"/>
  <c r="Z1954" i="5"/>
  <c r="I337" i="8"/>
  <c r="AA2470" i="5"/>
  <c r="B12" i="12"/>
  <c r="B90" i="12"/>
  <c r="I173" i="8"/>
  <c r="Z2085" i="5"/>
  <c r="I94" i="8"/>
  <c r="I66" i="8"/>
  <c r="I119" i="8"/>
  <c r="I54" i="8"/>
  <c r="I107" i="8"/>
  <c r="O686" i="8"/>
  <c r="X1944" i="5"/>
  <c r="I1944" i="5"/>
  <c r="L686" i="8"/>
  <c r="X2242" i="5"/>
  <c r="I2242" i="5"/>
  <c r="P686" i="8"/>
  <c r="P677" i="8"/>
  <c r="Q541" i="8"/>
  <c r="Q655" i="8" s="1"/>
  <c r="N677" i="8"/>
  <c r="Q688" i="8"/>
  <c r="Q689" i="8"/>
  <c r="Q680" i="8"/>
  <c r="X1723" i="5"/>
  <c r="Q544" i="8"/>
  <c r="X1721" i="5"/>
  <c r="Q556" i="8"/>
  <c r="Q657" i="8" s="1"/>
  <c r="X1739" i="5"/>
  <c r="X1774" i="5"/>
  <c r="Q554" i="8"/>
  <c r="X1768" i="5"/>
  <c r="X1727" i="5"/>
  <c r="Q560" i="8"/>
  <c r="X1761" i="5"/>
  <c r="Q561" i="8"/>
  <c r="Q555" i="8"/>
  <c r="O677" i="8"/>
  <c r="Q1929" i="5"/>
  <c r="Q99" i="8" s="1"/>
  <c r="Q592" i="8"/>
  <c r="Q675" i="8" s="1"/>
  <c r="Q674" i="8"/>
  <c r="P672" i="8"/>
  <c r="D2274" i="5"/>
  <c r="L626" i="8"/>
  <c r="L680" i="8" s="1"/>
  <c r="X1856" i="5"/>
  <c r="E2345" i="5"/>
  <c r="E287" i="8" s="1"/>
  <c r="F1826" i="5"/>
  <c r="D2317" i="5"/>
  <c r="D275" i="8" s="1"/>
  <c r="D2076" i="5"/>
  <c r="L169" i="8"/>
  <c r="L410" i="8" s="1"/>
  <c r="D138" i="14" s="1"/>
  <c r="E1862" i="5"/>
  <c r="M71" i="8"/>
  <c r="I2077" i="5"/>
  <c r="Q170" i="8"/>
  <c r="I2079" i="5"/>
  <c r="Q171" i="8"/>
  <c r="I2081" i="5"/>
  <c r="Q172" i="8"/>
  <c r="I2375" i="5"/>
  <c r="I301" i="8" s="1"/>
  <c r="Q301" i="8"/>
  <c r="Q295" i="8"/>
  <c r="Q2358" i="5"/>
  <c r="Q294" i="8" s="1"/>
  <c r="Q445" i="8" s="1"/>
  <c r="H2076" i="5"/>
  <c r="P169" i="8"/>
  <c r="P410" i="8" s="1"/>
  <c r="H138" i="14" s="1"/>
  <c r="G2076" i="5"/>
  <c r="O169" i="8"/>
  <c r="O410" i="8" s="1"/>
  <c r="G138" i="14" s="1"/>
  <c r="D1865" i="5"/>
  <c r="L72" i="8"/>
  <c r="F1862" i="5"/>
  <c r="N71" i="8"/>
  <c r="E2076" i="5"/>
  <c r="M169" i="8"/>
  <c r="M410" i="8" s="1"/>
  <c r="E138" i="14" s="1"/>
  <c r="D2375" i="5"/>
  <c r="D301" i="8" s="1"/>
  <c r="L301" i="8"/>
  <c r="E1868" i="5"/>
  <c r="M73" i="8"/>
  <c r="E1865" i="5"/>
  <c r="M72" i="8"/>
  <c r="G1862" i="5"/>
  <c r="O71" i="8"/>
  <c r="F2076" i="5"/>
  <c r="N169" i="8"/>
  <c r="N410" i="8" s="1"/>
  <c r="F138" i="14" s="1"/>
  <c r="H1862" i="5"/>
  <c r="P71" i="8"/>
  <c r="H1865" i="5"/>
  <c r="P72" i="8"/>
  <c r="G1865" i="5"/>
  <c r="O72" i="8"/>
  <c r="F1865" i="5"/>
  <c r="N72" i="8"/>
  <c r="F1868" i="5"/>
  <c r="N73" i="8"/>
  <c r="H1868" i="5"/>
  <c r="P73" i="8"/>
  <c r="G1868" i="5"/>
  <c r="O73" i="8"/>
  <c r="O28" i="8"/>
  <c r="O370" i="8" s="1"/>
  <c r="G50" i="14" s="1"/>
  <c r="Q150" i="8"/>
  <c r="Q403" i="8" s="1"/>
  <c r="N28" i="8"/>
  <c r="N370" i="8" s="1"/>
  <c r="F50" i="14" s="1"/>
  <c r="P28" i="8"/>
  <c r="P370" i="8" s="1"/>
  <c r="H50" i="14" s="1"/>
  <c r="M28" i="8"/>
  <c r="M370" i="8" s="1"/>
  <c r="E50" i="14" s="1"/>
  <c r="L150" i="8"/>
  <c r="L403" i="8" s="1"/>
  <c r="D131" i="14" s="1"/>
  <c r="G2190" i="5"/>
  <c r="O271" i="8"/>
  <c r="O438" i="8" s="1"/>
  <c r="G210" i="14" s="1"/>
  <c r="H2311" i="5"/>
  <c r="H271" i="8" s="1"/>
  <c r="W2317" i="5"/>
  <c r="X2317" i="5" s="1"/>
  <c r="L2316" i="5"/>
  <c r="L274" i="8" s="1"/>
  <c r="L439" i="8" s="1"/>
  <c r="D211" i="14" s="1"/>
  <c r="H2316" i="5"/>
  <c r="H274" i="8" s="1"/>
  <c r="W2510" i="5"/>
  <c r="X2510" i="5" s="1"/>
  <c r="Q2316" i="5"/>
  <c r="Q274" i="8" s="1"/>
  <c r="Q439" i="8" s="1"/>
  <c r="H2395" i="5"/>
  <c r="H308" i="8" s="1"/>
  <c r="I1856" i="5"/>
  <c r="W2371" i="5"/>
  <c r="X2371" i="5" s="1"/>
  <c r="F2316" i="5"/>
  <c r="F274" i="8" s="1"/>
  <c r="D2371" i="5"/>
  <c r="D300" i="8" s="1"/>
  <c r="Q344" i="8"/>
  <c r="Q2486" i="5"/>
  <c r="Q343" i="8" s="1"/>
  <c r="Q453" i="8" s="1"/>
  <c r="I2199" i="5"/>
  <c r="L2451" i="5"/>
  <c r="L329" i="8" s="1"/>
  <c r="L452" i="8" s="1"/>
  <c r="D224" i="14" s="1"/>
  <c r="D245" i="14" s="1"/>
  <c r="Q2451" i="5"/>
  <c r="Q329" i="8" s="1"/>
  <c r="Q452" i="8" s="1"/>
  <c r="E2316" i="5"/>
  <c r="E274" i="8" s="1"/>
  <c r="I2317" i="5"/>
  <c r="G2395" i="5"/>
  <c r="G308" i="8" s="1"/>
  <c r="Q324" i="8"/>
  <c r="Q2434" i="5"/>
  <c r="Q323" i="8" s="1"/>
  <c r="Q451" i="8" s="1"/>
  <c r="E2395" i="5"/>
  <c r="E308" i="8" s="1"/>
  <c r="H1996" i="5"/>
  <c r="Q2367" i="5"/>
  <c r="Q298" i="8" s="1"/>
  <c r="Q446" i="8" s="1"/>
  <c r="F2395" i="5"/>
  <c r="F308" i="8" s="1"/>
  <c r="Q2395" i="5"/>
  <c r="Q308" i="8" s="1"/>
  <c r="Q448" i="8" s="1"/>
  <c r="D1859" i="5"/>
  <c r="L1846" i="5"/>
  <c r="L65" i="8" s="1"/>
  <c r="L378" i="8" s="1"/>
  <c r="D58" i="14" s="1"/>
  <c r="L2367" i="5"/>
  <c r="L298" i="8" s="1"/>
  <c r="L446" i="8" s="1"/>
  <c r="D218" i="14" s="1"/>
  <c r="X2199" i="5"/>
  <c r="Q2076" i="5"/>
  <c r="M1861" i="5"/>
  <c r="Q300" i="8"/>
  <c r="I2371" i="5"/>
  <c r="I300" i="8" s="1"/>
  <c r="W2375" i="5"/>
  <c r="X2375" i="5" s="1"/>
  <c r="G2327" i="5"/>
  <c r="G279" i="8" s="1"/>
  <c r="G441" i="8" s="1"/>
  <c r="O279" i="8"/>
  <c r="O441" i="8" s="1"/>
  <c r="G213" i="14" s="1"/>
  <c r="D2327" i="5"/>
  <c r="D279" i="8" s="1"/>
  <c r="D441" i="8" s="1"/>
  <c r="L279" i="8"/>
  <c r="L441" i="8" s="1"/>
  <c r="D213" i="14" s="1"/>
  <c r="W2327" i="5"/>
  <c r="E2327" i="5"/>
  <c r="E279" i="8" s="1"/>
  <c r="E441" i="8" s="1"/>
  <c r="M279" i="8"/>
  <c r="M441" i="8" s="1"/>
  <c r="E213" i="14" s="1"/>
  <c r="F2327" i="5"/>
  <c r="F279" i="8" s="1"/>
  <c r="F441" i="8" s="1"/>
  <c r="N279" i="8"/>
  <c r="N441" i="8" s="1"/>
  <c r="F213" i="14" s="1"/>
  <c r="H2327" i="5"/>
  <c r="H279" i="8" s="1"/>
  <c r="H441" i="8" s="1"/>
  <c r="P279" i="8"/>
  <c r="P441" i="8" s="1"/>
  <c r="H213" i="14" s="1"/>
  <c r="Q2327" i="5"/>
  <c r="I2328" i="5"/>
  <c r="G2198" i="5"/>
  <c r="W1865" i="5"/>
  <c r="L1861" i="5"/>
  <c r="D1868" i="5"/>
  <c r="Q1868" i="5"/>
  <c r="I1869" i="5"/>
  <c r="Q1862" i="5"/>
  <c r="I1863" i="5"/>
  <c r="Q280" i="8"/>
  <c r="Q1865" i="5"/>
  <c r="I1867" i="5"/>
  <c r="O287" i="8"/>
  <c r="O443" i="8" s="1"/>
  <c r="G215" i="14" s="1"/>
  <c r="I2445" i="5"/>
  <c r="I1923" i="5"/>
  <c r="X1923" i="5"/>
  <c r="X2087" i="5"/>
  <c r="X2086" i="5"/>
  <c r="W1859" i="5"/>
  <c r="M1846" i="5"/>
  <c r="M65" i="8" s="1"/>
  <c r="M378" i="8" s="1"/>
  <c r="E58" i="14" s="1"/>
  <c r="X1863" i="5"/>
  <c r="X1869" i="5"/>
  <c r="X1867" i="5"/>
  <c r="P69" i="8"/>
  <c r="H1859" i="5"/>
  <c r="W1862" i="5"/>
  <c r="Q1859" i="5"/>
  <c r="I1860" i="5"/>
  <c r="X1860" i="5"/>
  <c r="M69" i="8"/>
  <c r="E1859" i="5"/>
  <c r="N69" i="8"/>
  <c r="N1846" i="5"/>
  <c r="F1859" i="5"/>
  <c r="O1861" i="5"/>
  <c r="W1868" i="5"/>
  <c r="P1861" i="5"/>
  <c r="N1861" i="5"/>
  <c r="O69" i="8"/>
  <c r="G1859" i="5"/>
  <c r="F2190" i="5"/>
  <c r="X2445" i="5"/>
  <c r="H2367" i="5"/>
  <c r="H298" i="8" s="1"/>
  <c r="X2224" i="5"/>
  <c r="E1764" i="5"/>
  <c r="X2143" i="5"/>
  <c r="G2311" i="5"/>
  <c r="G271" i="8" s="1"/>
  <c r="I2393" i="5"/>
  <c r="I307" i="8" s="1"/>
  <c r="G2223" i="5"/>
  <c r="G1755" i="5"/>
  <c r="F2367" i="5"/>
  <c r="F298" i="8" s="1"/>
  <c r="M271" i="8"/>
  <c r="M438" i="8" s="1"/>
  <c r="E210" i="14" s="1"/>
  <c r="L271" i="8"/>
  <c r="L438" i="8" s="1"/>
  <c r="D210" i="14" s="1"/>
  <c r="G2434" i="5"/>
  <c r="G323" i="8" s="1"/>
  <c r="N271" i="8"/>
  <c r="N438" i="8" s="1"/>
  <c r="F210" i="14" s="1"/>
  <c r="W2336" i="5"/>
  <c r="X2336" i="5" s="1"/>
  <c r="D2336" i="5"/>
  <c r="D283" i="8" s="1"/>
  <c r="X2463" i="5"/>
  <c r="I1803" i="5"/>
  <c r="X2379" i="5"/>
  <c r="I2379" i="5"/>
  <c r="I302" i="8" s="1"/>
  <c r="F2311" i="5"/>
  <c r="F271" i="8" s="1"/>
  <c r="H1716" i="5"/>
  <c r="G1716" i="5"/>
  <c r="G2451" i="5"/>
  <c r="G329" i="8" s="1"/>
  <c r="I2260" i="5"/>
  <c r="X2328" i="5"/>
  <c r="X2260" i="5"/>
  <c r="I2143" i="5"/>
  <c r="G2358" i="5"/>
  <c r="G294" i="8" s="1"/>
  <c r="H1949" i="5"/>
  <c r="G1769" i="5"/>
  <c r="F2434" i="5"/>
  <c r="F323" i="8" s="1"/>
  <c r="Q292" i="8"/>
  <c r="L287" i="8"/>
  <c r="L443" i="8" s="1"/>
  <c r="D215" i="14" s="1"/>
  <c r="M290" i="8"/>
  <c r="M444" i="8" s="1"/>
  <c r="E216" i="14" s="1"/>
  <c r="P290" i="8"/>
  <c r="P444" i="8" s="1"/>
  <c r="H216" i="14" s="1"/>
  <c r="O290" i="8"/>
  <c r="O444" i="8" s="1"/>
  <c r="G216" i="14" s="1"/>
  <c r="N290" i="8"/>
  <c r="N444" i="8" s="1"/>
  <c r="F216" i="14" s="1"/>
  <c r="Q289" i="8"/>
  <c r="L284" i="8"/>
  <c r="L442" i="8" s="1"/>
  <c r="D214" i="14" s="1"/>
  <c r="Q284" i="8"/>
  <c r="Q442" i="8" s="1"/>
  <c r="H2232" i="5"/>
  <c r="I2246" i="5"/>
  <c r="F2223" i="5"/>
  <c r="H2223" i="5"/>
  <c r="H1961" i="5"/>
  <c r="H2351" i="5"/>
  <c r="H290" i="8" s="1"/>
  <c r="F1716" i="5"/>
  <c r="F2198" i="5"/>
  <c r="H2451" i="5"/>
  <c r="H329" i="8" s="1"/>
  <c r="W1786" i="5"/>
  <c r="X2107" i="5"/>
  <c r="X2287" i="5"/>
  <c r="X1803" i="5"/>
  <c r="D1786" i="5"/>
  <c r="E1769" i="5"/>
  <c r="I2463" i="5"/>
  <c r="I335" i="8" s="1"/>
  <c r="L449" i="8"/>
  <c r="D221" i="14" s="1"/>
  <c r="L393" i="8"/>
  <c r="D90" i="14" s="1"/>
  <c r="L445" i="8"/>
  <c r="D217" i="14" s="1"/>
  <c r="L397" i="8"/>
  <c r="D111" i="14" s="1"/>
  <c r="L389" i="8"/>
  <c r="D86" i="14" s="1"/>
  <c r="L385" i="8"/>
  <c r="D82" i="14" s="1"/>
  <c r="L426" i="8"/>
  <c r="D180" i="14" s="1"/>
  <c r="L447" i="8"/>
  <c r="D219" i="14" s="1"/>
  <c r="L388" i="8"/>
  <c r="D85" i="14" s="1"/>
  <c r="L367" i="8"/>
  <c r="D34" i="14" s="1"/>
  <c r="L400" i="8"/>
  <c r="D114" i="14" s="1"/>
  <c r="L371" i="8"/>
  <c r="D51" i="14" s="1"/>
  <c r="L415" i="8"/>
  <c r="D157" i="14" s="1"/>
  <c r="L387" i="8"/>
  <c r="D84" i="14" s="1"/>
  <c r="L376" i="8"/>
  <c r="D56" i="14" s="1"/>
  <c r="L365" i="8"/>
  <c r="D32" i="14" s="1"/>
  <c r="L428" i="8"/>
  <c r="D182" i="14" s="1"/>
  <c r="L391" i="8"/>
  <c r="D88" i="14" s="1"/>
  <c r="L432" i="8"/>
  <c r="D186" i="14" s="1"/>
  <c r="L423" i="8"/>
  <c r="D177" i="14" s="1"/>
  <c r="L384" i="8"/>
  <c r="D81" i="14" s="1"/>
  <c r="L448" i="8"/>
  <c r="D220" i="14" s="1"/>
  <c r="L425" i="8"/>
  <c r="D179" i="14" s="1"/>
  <c r="L366" i="8"/>
  <c r="D33" i="14" s="1"/>
  <c r="L409" i="8"/>
  <c r="D137" i="14" s="1"/>
  <c r="L451" i="8"/>
  <c r="D223" i="14" s="1"/>
  <c r="L383" i="8"/>
  <c r="D80" i="14" s="1"/>
  <c r="L377" i="8"/>
  <c r="D57" i="14" s="1"/>
  <c r="L290" i="8"/>
  <c r="L364" i="8"/>
  <c r="D31" i="14" s="1"/>
  <c r="L453" i="8"/>
  <c r="D225" i="14" s="1"/>
  <c r="L373" i="8"/>
  <c r="D53" i="14" s="1"/>
  <c r="L404" i="8"/>
  <c r="D132" i="14" s="1"/>
  <c r="L450" i="8"/>
  <c r="D222" i="14" s="1"/>
  <c r="L427" i="8"/>
  <c r="D181" i="14" s="1"/>
  <c r="L429" i="8"/>
  <c r="D183" i="14" s="1"/>
  <c r="L454" i="8"/>
  <c r="D226" i="14" s="1"/>
  <c r="L390" i="8"/>
  <c r="D87" i="14" s="1"/>
  <c r="L417" i="8"/>
  <c r="D159" i="14" s="1"/>
  <c r="L386" i="8"/>
  <c r="D83" i="14" s="1"/>
  <c r="L392" i="8"/>
  <c r="D89" i="14" s="1"/>
  <c r="L434" i="8"/>
  <c r="D188" i="14" s="1"/>
  <c r="L420" i="8"/>
  <c r="D162" i="14" s="1"/>
  <c r="L414" i="8"/>
  <c r="D156" i="14" s="1"/>
  <c r="L431" i="8"/>
  <c r="D185" i="14" s="1"/>
  <c r="L419" i="8"/>
  <c r="D161" i="14" s="1"/>
  <c r="L395" i="8"/>
  <c r="D109" i="14" s="1"/>
  <c r="L430" i="8"/>
  <c r="D184" i="14" s="1"/>
  <c r="L372" i="8"/>
  <c r="D52" i="14" s="1"/>
  <c r="L374" i="8"/>
  <c r="D54" i="14" s="1"/>
  <c r="F1750" i="5"/>
  <c r="G2046" i="5"/>
  <c r="H1994" i="5"/>
  <c r="G1949" i="5"/>
  <c r="Q1961" i="5"/>
  <c r="Q114" i="8" s="1"/>
  <c r="Q391" i="8" s="1"/>
  <c r="I2107" i="5"/>
  <c r="D1751" i="5"/>
  <c r="H1839" i="5"/>
  <c r="E2367" i="5"/>
  <c r="E298" i="8" s="1"/>
  <c r="I2388" i="5"/>
  <c r="I306" i="8" s="1"/>
  <c r="W1764" i="5"/>
  <c r="H2273" i="5"/>
  <c r="H2279" i="5"/>
  <c r="X1765" i="5"/>
  <c r="I1895" i="5"/>
  <c r="Q2223" i="5"/>
  <c r="Q237" i="8" s="1"/>
  <c r="Q429" i="8" s="1"/>
  <c r="I2134" i="5"/>
  <c r="I2421" i="5"/>
  <c r="I318" i="8" s="1"/>
  <c r="I1885" i="5"/>
  <c r="D1753" i="5"/>
  <c r="F1994" i="5"/>
  <c r="P1915" i="5"/>
  <c r="P95" i="8" s="1"/>
  <c r="P386" i="8" s="1"/>
  <c r="H83" i="14" s="1"/>
  <c r="H91" i="14" s="1"/>
  <c r="Q1974" i="5"/>
  <c r="Q120" i="8" s="1"/>
  <c r="Q393" i="8" s="1"/>
  <c r="F1981" i="5"/>
  <c r="E1755" i="5"/>
  <c r="G2273" i="5"/>
  <c r="H2046" i="5"/>
  <c r="X2312" i="5"/>
  <c r="Q2198" i="5"/>
  <c r="Q227" i="8" s="1"/>
  <c r="Q426" i="8" s="1"/>
  <c r="E2451" i="5"/>
  <c r="E329" i="8" s="1"/>
  <c r="E2223" i="5"/>
  <c r="E2046" i="5"/>
  <c r="E2273" i="5"/>
  <c r="I2354" i="5"/>
  <c r="I292" i="8" s="1"/>
  <c r="O1737" i="5"/>
  <c r="O21" i="8" s="1"/>
  <c r="O367" i="8" s="1"/>
  <c r="G34" i="14" s="1"/>
  <c r="I2263" i="5"/>
  <c r="I2435" i="5"/>
  <c r="I1982" i="5"/>
  <c r="G2133" i="5"/>
  <c r="I1950" i="5"/>
  <c r="E2351" i="5"/>
  <c r="E290" i="8" s="1"/>
  <c r="I2111" i="5"/>
  <c r="E1826" i="5"/>
  <c r="G1961" i="5"/>
  <c r="I2312" i="5"/>
  <c r="I272" i="8" s="1"/>
  <c r="E1994" i="5"/>
  <c r="F2273" i="5"/>
  <c r="X1787" i="5"/>
  <c r="Q2190" i="5"/>
  <c r="Q224" i="8" s="1"/>
  <c r="Q425" i="8" s="1"/>
  <c r="G1994" i="5"/>
  <c r="F2046" i="5"/>
  <c r="Q2311" i="5"/>
  <c r="I1889" i="5"/>
  <c r="H2434" i="5"/>
  <c r="H323" i="8" s="1"/>
  <c r="D1764" i="5"/>
  <c r="X2388" i="5"/>
  <c r="I2403" i="5"/>
  <c r="I312" i="8" s="1"/>
  <c r="X2393" i="5"/>
  <c r="X1926" i="5"/>
  <c r="H1974" i="5"/>
  <c r="X1895" i="5"/>
  <c r="I1926" i="5"/>
  <c r="I2254" i="5"/>
  <c r="X2216" i="5"/>
  <c r="I2224" i="5"/>
  <c r="X2403" i="5"/>
  <c r="X2111" i="5"/>
  <c r="I1964" i="5"/>
  <c r="X1964" i="5"/>
  <c r="G1738" i="5"/>
  <c r="P2268" i="5"/>
  <c r="P254" i="8" s="1"/>
  <c r="P433" i="8" s="1"/>
  <c r="H187" i="14" s="1"/>
  <c r="H189" i="14" s="1"/>
  <c r="P1993" i="5"/>
  <c r="P130" i="8" s="1"/>
  <c r="P396" i="8" s="1"/>
  <c r="H110" i="14" s="1"/>
  <c r="Q1949" i="5"/>
  <c r="Q108" i="8" s="1"/>
  <c r="Q389" i="8" s="1"/>
  <c r="X2236" i="5"/>
  <c r="X1885" i="5"/>
  <c r="I2236" i="5"/>
  <c r="X2487" i="5"/>
  <c r="X2314" i="5"/>
  <c r="X2227" i="5"/>
  <c r="I2314" i="5"/>
  <c r="I273" i="8" s="1"/>
  <c r="X1715" i="5"/>
  <c r="X1950" i="5"/>
  <c r="I2227" i="5"/>
  <c r="M2043" i="5"/>
  <c r="M154" i="8" s="1"/>
  <c r="M405" i="8" s="1"/>
  <c r="E133" i="14" s="1"/>
  <c r="X2121" i="5"/>
  <c r="I1975" i="5"/>
  <c r="X1984" i="5"/>
  <c r="X1728" i="5"/>
  <c r="X2109" i="5"/>
  <c r="X2263" i="5"/>
  <c r="X1712" i="5"/>
  <c r="X2421" i="5"/>
  <c r="F1941" i="5"/>
  <c r="X2269" i="5"/>
  <c r="I2461" i="5"/>
  <c r="I334" i="8" s="1"/>
  <c r="X1975" i="5"/>
  <c r="X2354" i="5"/>
  <c r="X1902" i="5"/>
  <c r="I1902" i="5"/>
  <c r="W1929" i="5"/>
  <c r="X1793" i="5"/>
  <c r="X2442" i="5"/>
  <c r="X1982" i="5"/>
  <c r="X2499" i="5"/>
  <c r="I2487" i="5"/>
  <c r="I344" i="8" s="1"/>
  <c r="F2133" i="5"/>
  <c r="Q2351" i="5"/>
  <c r="N2268" i="5"/>
  <c r="N254" i="8" s="1"/>
  <c r="N433" i="8" s="1"/>
  <c r="F187" i="14" s="1"/>
  <c r="F189" i="14" s="1"/>
  <c r="X2256" i="5"/>
  <c r="M1993" i="5"/>
  <c r="M130" i="8" s="1"/>
  <c r="M396" i="8" s="1"/>
  <c r="E110" i="14" s="1"/>
  <c r="X1942" i="5"/>
  <c r="O2043" i="5"/>
  <c r="N1993" i="5"/>
  <c r="N130" i="8" s="1"/>
  <c r="N396" i="8" s="1"/>
  <c r="F110" i="14" s="1"/>
  <c r="X1713" i="5"/>
  <c r="N2043" i="5"/>
  <c r="N154" i="8" s="1"/>
  <c r="N405" i="8" s="1"/>
  <c r="F133" i="14" s="1"/>
  <c r="X2435" i="5"/>
  <c r="X2254" i="5"/>
  <c r="O1993" i="5"/>
  <c r="O130" i="8" s="1"/>
  <c r="O396" i="8" s="1"/>
  <c r="G110" i="14" s="1"/>
  <c r="X2407" i="5"/>
  <c r="X2418" i="5"/>
  <c r="Q1884" i="5"/>
  <c r="Q82" i="8" s="1"/>
  <c r="Q383" i="8" s="1"/>
  <c r="Q2073" i="5"/>
  <c r="Q168" i="8" s="1"/>
  <c r="F2279" i="5"/>
  <c r="I1931" i="5"/>
  <c r="P2043" i="5"/>
  <c r="P154" i="8" s="1"/>
  <c r="P405" i="8" s="1"/>
  <c r="H133" i="14" s="1"/>
  <c r="O2268" i="5"/>
  <c r="O254" i="8" s="1"/>
  <c r="O433" i="8" s="1"/>
  <c r="G187" i="14" s="1"/>
  <c r="G189" i="14" s="1"/>
  <c r="X2492" i="5"/>
  <c r="Q2253" i="5"/>
  <c r="Q248" i="8" s="1"/>
  <c r="Q432" i="8" s="1"/>
  <c r="M2268" i="5"/>
  <c r="M254" i="8" s="1"/>
  <c r="M433" i="8" s="1"/>
  <c r="E187" i="14" s="1"/>
  <c r="E189" i="14" s="1"/>
  <c r="Q2133" i="5"/>
  <c r="Q197" i="8" s="1"/>
  <c r="Q417" i="8" s="1"/>
  <c r="X2075" i="5"/>
  <c r="I2269" i="5"/>
  <c r="X2220" i="5"/>
  <c r="X1889" i="5"/>
  <c r="X1743" i="5"/>
  <c r="X1997" i="5"/>
  <c r="X2134" i="5"/>
  <c r="X2461" i="5"/>
  <c r="X2202" i="5"/>
  <c r="X1931" i="5"/>
  <c r="G2279" i="5"/>
  <c r="Q1994" i="5"/>
  <c r="Q131" i="8" s="1"/>
  <c r="I1995" i="5"/>
  <c r="D1716" i="5"/>
  <c r="W1716" i="5"/>
  <c r="F1769" i="5"/>
  <c r="D2434" i="5"/>
  <c r="D323" i="8" s="1"/>
  <c r="W2434" i="5"/>
  <c r="I1990" i="5"/>
  <c r="D2120" i="5"/>
  <c r="W2120" i="5"/>
  <c r="F1725" i="5"/>
  <c r="I2282" i="5"/>
  <c r="E2205" i="5"/>
  <c r="G2367" i="5"/>
  <c r="G298" i="8" s="1"/>
  <c r="G2486" i="5"/>
  <c r="G343" i="8" s="1"/>
  <c r="E2104" i="5"/>
  <c r="I1784" i="5"/>
  <c r="Q1783" i="5"/>
  <c r="Q42" i="8" s="1"/>
  <c r="F1710" i="5"/>
  <c r="X2359" i="5"/>
  <c r="I2206" i="5"/>
  <c r="Q2205" i="5"/>
  <c r="Q230" i="8" s="1"/>
  <c r="Q427" i="8" s="1"/>
  <c r="H1884" i="5"/>
  <c r="E2311" i="5"/>
  <c r="E271" i="8" s="1"/>
  <c r="I2348" i="5"/>
  <c r="Q2345" i="5"/>
  <c r="E2279" i="5"/>
  <c r="E2232" i="5"/>
  <c r="I1742" i="5"/>
  <c r="Q1741" i="5"/>
  <c r="Q23" i="8" s="1"/>
  <c r="I1988" i="5"/>
  <c r="F1949" i="5"/>
  <c r="I1771" i="5"/>
  <c r="Q1770" i="5"/>
  <c r="Q38" i="8" s="1"/>
  <c r="I2338" i="5"/>
  <c r="I284" i="8" s="1"/>
  <c r="I2039" i="5"/>
  <c r="Q2038" i="5"/>
  <c r="Q152" i="8" s="1"/>
  <c r="Q404" i="8" s="1"/>
  <c r="I2179" i="5"/>
  <c r="I2140" i="5"/>
  <c r="H2165" i="5"/>
  <c r="F2232" i="5"/>
  <c r="D1981" i="5"/>
  <c r="W1981" i="5"/>
  <c r="G1710" i="5"/>
  <c r="D1910" i="5"/>
  <c r="W1910" i="5"/>
  <c r="X1910" i="5" s="1"/>
  <c r="G2165" i="5"/>
  <c r="X2039" i="5"/>
  <c r="I2287" i="5"/>
  <c r="G2156" i="5"/>
  <c r="D2426" i="5"/>
  <c r="D319" i="8" s="1"/>
  <c r="W2426" i="5"/>
  <c r="X2426" i="5" s="1"/>
  <c r="N2072" i="5"/>
  <c r="N167" i="8" s="1"/>
  <c r="N409" i="8" s="1"/>
  <c r="F137" i="14" s="1"/>
  <c r="F2073" i="5"/>
  <c r="L1710" i="5"/>
  <c r="L9" i="8" s="1"/>
  <c r="W1711" i="5"/>
  <c r="D1711" i="5"/>
  <c r="G2149" i="5"/>
  <c r="O2148" i="5"/>
  <c r="O204" i="8" s="1"/>
  <c r="I2362" i="5"/>
  <c r="I296" i="8" s="1"/>
  <c r="P54" i="5"/>
  <c r="J54" i="5"/>
  <c r="P849" i="5"/>
  <c r="J849" i="5"/>
  <c r="I1933" i="5"/>
  <c r="X2195" i="5"/>
  <c r="H1929" i="5"/>
  <c r="E2133" i="5"/>
  <c r="D2506" i="5"/>
  <c r="D350" i="8" s="1"/>
  <c r="W2506" i="5"/>
  <c r="X2506" i="5" s="1"/>
  <c r="G1884" i="5"/>
  <c r="O1883" i="5"/>
  <c r="O81" i="8" s="1"/>
  <c r="O382" i="8" s="1"/>
  <c r="O464" i="8" s="1"/>
  <c r="G253" i="14" s="1"/>
  <c r="H1710" i="5"/>
  <c r="G2120" i="5"/>
  <c r="I2385" i="5"/>
  <c r="I305" i="8" s="1"/>
  <c r="Q2384" i="5"/>
  <c r="Q304" i="8" s="1"/>
  <c r="Q447" i="8" s="1"/>
  <c r="I1793" i="5"/>
  <c r="D1915" i="5"/>
  <c r="H1797" i="5"/>
  <c r="G2049" i="5"/>
  <c r="E1884" i="5"/>
  <c r="M1883" i="5"/>
  <c r="M81" i="8" s="1"/>
  <c r="M382" i="8" s="1"/>
  <c r="M464" i="8" s="1"/>
  <c r="E253" i="14" s="1"/>
  <c r="K49" i="3"/>
  <c r="J69" i="3"/>
  <c r="J50" i="3"/>
  <c r="H2073" i="5"/>
  <c r="P2072" i="5"/>
  <c r="P167" i="8" s="1"/>
  <c r="P409" i="8" s="1"/>
  <c r="H137" i="14" s="1"/>
  <c r="I1807" i="5"/>
  <c r="X1988" i="5"/>
  <c r="F2038" i="5"/>
  <c r="I1757" i="5"/>
  <c r="Q1756" i="5"/>
  <c r="Q32" i="8" s="1"/>
  <c r="D1899" i="5"/>
  <c r="W1899" i="5"/>
  <c r="D2465" i="5"/>
  <c r="D336" i="8" s="1"/>
  <c r="W2465" i="5"/>
  <c r="X2465" i="5" s="1"/>
  <c r="D2395" i="5"/>
  <c r="D308" i="8" s="1"/>
  <c r="W2395" i="5"/>
  <c r="I2034" i="5"/>
  <c r="I2256" i="5"/>
  <c r="G2232" i="5"/>
  <c r="H1899" i="5"/>
  <c r="X1757" i="5"/>
  <c r="I1958" i="5"/>
  <c r="D2279" i="5"/>
  <c r="W2279" i="5"/>
  <c r="E2215" i="5"/>
  <c r="X2495" i="5"/>
  <c r="F2104" i="5"/>
  <c r="X1781" i="5"/>
  <c r="W2073" i="5"/>
  <c r="X2105" i="5"/>
  <c r="G2073" i="5"/>
  <c r="O2072" i="5"/>
  <c r="O167" i="8" s="1"/>
  <c r="O409" i="8" s="1"/>
  <c r="G137" i="14" s="1"/>
  <c r="E2038" i="5"/>
  <c r="D2351" i="5"/>
  <c r="D290" i="8" s="1"/>
  <c r="W2351" i="5"/>
  <c r="D1826" i="5"/>
  <c r="E1731" i="5"/>
  <c r="D2034" i="5"/>
  <c r="W2034" i="5"/>
  <c r="X2034" i="5" s="1"/>
  <c r="I2157" i="5"/>
  <c r="Q2156" i="5"/>
  <c r="Q207" i="8" s="1"/>
  <c r="Q419" i="8" s="1"/>
  <c r="D2406" i="5"/>
  <c r="D313" i="8" s="1"/>
  <c r="W2406" i="5"/>
  <c r="E1750" i="5"/>
  <c r="I2172" i="5"/>
  <c r="Q2165" i="5"/>
  <c r="Q211" i="8" s="1"/>
  <c r="Q420" i="8" s="1"/>
  <c r="F1961" i="5"/>
  <c r="I2359" i="5"/>
  <c r="I295" i="8" s="1"/>
  <c r="O1731" i="5"/>
  <c r="O18" i="8" s="1"/>
  <c r="O366" i="8" s="1"/>
  <c r="G33" i="14" s="1"/>
  <c r="G1732" i="5"/>
  <c r="Q1981" i="5"/>
  <c r="Q124" i="8" s="1"/>
  <c r="Q395" i="8" s="1"/>
  <c r="X1772" i="5"/>
  <c r="I2483" i="5"/>
  <c r="I342" i="8" s="1"/>
  <c r="E1996" i="5"/>
  <c r="I2454" i="5"/>
  <c r="I331" i="8" s="1"/>
  <c r="F1740" i="5"/>
  <c r="N1738" i="5"/>
  <c r="N22" i="8" s="1"/>
  <c r="F2358" i="5"/>
  <c r="F294" i="8" s="1"/>
  <c r="X2483" i="5"/>
  <c r="Q1726" i="5"/>
  <c r="Q16" i="8" s="1"/>
  <c r="I1727" i="5"/>
  <c r="D2486" i="5"/>
  <c r="D343" i="8" s="1"/>
  <c r="W2486" i="5"/>
  <c r="N1733" i="5"/>
  <c r="I1799" i="5"/>
  <c r="Q1797" i="5"/>
  <c r="Q48" i="8" s="1"/>
  <c r="D2311" i="5"/>
  <c r="D271" i="8" s="1"/>
  <c r="W2311" i="5"/>
  <c r="I2121" i="5"/>
  <c r="Q2120" i="5"/>
  <c r="Q191" i="8" s="1"/>
  <c r="Q415" i="8" s="1"/>
  <c r="E2434" i="5"/>
  <c r="E323" i="8" s="1"/>
  <c r="H1725" i="5"/>
  <c r="E2072" i="5"/>
  <c r="F2165" i="5"/>
  <c r="D2156" i="5"/>
  <c r="W2156" i="5"/>
  <c r="H896" i="5"/>
  <c r="O896" i="5" s="1"/>
  <c r="I895" i="5"/>
  <c r="O895" i="5"/>
  <c r="L883" i="5"/>
  <c r="F883" i="5"/>
  <c r="G1899" i="5"/>
  <c r="D1949" i="5"/>
  <c r="W1949" i="5"/>
  <c r="H2358" i="5"/>
  <c r="H294" i="8" s="1"/>
  <c r="E2198" i="5"/>
  <c r="E1899" i="5"/>
  <c r="I1812" i="5"/>
  <c r="X2411" i="5"/>
  <c r="I2202" i="5"/>
  <c r="I2492" i="5"/>
  <c r="I345" i="8" s="1"/>
  <c r="P886" i="5"/>
  <c r="P885" i="5" s="1"/>
  <c r="P2149" i="5" s="1"/>
  <c r="J886" i="5"/>
  <c r="P69" i="5"/>
  <c r="J69" i="5"/>
  <c r="D2223" i="5"/>
  <c r="W2223" i="5"/>
  <c r="E1716" i="5"/>
  <c r="E1961" i="5"/>
  <c r="G2104" i="5"/>
  <c r="F2486" i="5"/>
  <c r="F343" i="8" s="1"/>
  <c r="I1984" i="5"/>
  <c r="F1899" i="5"/>
  <c r="D1961" i="5"/>
  <c r="W1961" i="5"/>
  <c r="H2120" i="5"/>
  <c r="X1771" i="5"/>
  <c r="D1958" i="5"/>
  <c r="W1958" i="5"/>
  <c r="X1958" i="5" s="1"/>
  <c r="I1997" i="5"/>
  <c r="Q1996" i="5"/>
  <c r="Q132" i="8" s="1"/>
  <c r="Q397" i="8" s="1"/>
  <c r="D2345" i="5"/>
  <c r="D287" i="8" s="1"/>
  <c r="W2345" i="5"/>
  <c r="M1709" i="5"/>
  <c r="M8" i="8" s="1"/>
  <c r="E1710" i="5"/>
  <c r="X1916" i="5"/>
  <c r="I2220" i="5"/>
  <c r="Q1754" i="5"/>
  <c r="X1754" i="5" s="1"/>
  <c r="V90" i="5"/>
  <c r="P693" i="5"/>
  <c r="P2051" i="5" s="1"/>
  <c r="Q694" i="5"/>
  <c r="Q693" i="5" s="1"/>
  <c r="Q2051" i="5" s="1"/>
  <c r="F2149" i="5"/>
  <c r="N2148" i="5"/>
  <c r="N204" i="8" s="1"/>
  <c r="E2156" i="5"/>
  <c r="I2499" i="5"/>
  <c r="H2198" i="5"/>
  <c r="H1769" i="5"/>
  <c r="D1970" i="5"/>
  <c r="W1970" i="5"/>
  <c r="X1970" i="5" s="1"/>
  <c r="I1712" i="5"/>
  <c r="Q1711" i="5"/>
  <c r="Q10" i="8" s="1"/>
  <c r="G2205" i="5"/>
  <c r="I2216" i="5"/>
  <c r="Q2215" i="5"/>
  <c r="Q234" i="8" s="1"/>
  <c r="Q428" i="8" s="1"/>
  <c r="X2362" i="5"/>
  <c r="I2105" i="5"/>
  <c r="Q2104" i="5"/>
  <c r="Q183" i="8" s="1"/>
  <c r="Q414" i="8" s="1"/>
  <c r="H1981" i="5"/>
  <c r="I2109" i="5"/>
  <c r="E2384" i="5"/>
  <c r="E304" i="8" s="1"/>
  <c r="H2156" i="5"/>
  <c r="I2239" i="5"/>
  <c r="F2384" i="5"/>
  <c r="F304" i="8" s="1"/>
  <c r="D1933" i="5"/>
  <c r="W1933" i="5"/>
  <c r="X1933" i="5" s="1"/>
  <c r="F2215" i="5"/>
  <c r="Q2273" i="5"/>
  <c r="Q256" i="8" s="1"/>
  <c r="I2274" i="5"/>
  <c r="Q2046" i="5"/>
  <c r="Q156" i="8" s="1"/>
  <c r="I2047" i="5"/>
  <c r="E2120" i="5"/>
  <c r="I2465" i="5"/>
  <c r="I336" i="8" s="1"/>
  <c r="D2338" i="5"/>
  <c r="D284" i="8" s="1"/>
  <c r="W2338" i="5"/>
  <c r="X2338" i="5" s="1"/>
  <c r="I2456" i="5"/>
  <c r="I332" i="8" s="1"/>
  <c r="H2384" i="5"/>
  <c r="H304" i="8" s="1"/>
  <c r="I1768" i="5"/>
  <c r="Q1767" i="5"/>
  <c r="Q36" i="8" s="1"/>
  <c r="H2205" i="5"/>
  <c r="E1949" i="5"/>
  <c r="D1755" i="5"/>
  <c r="W1755" i="5"/>
  <c r="D1884" i="5"/>
  <c r="L1883" i="5"/>
  <c r="L81" i="8" s="1"/>
  <c r="W1884" i="5"/>
  <c r="I1986" i="5"/>
  <c r="H2133" i="5"/>
  <c r="H2406" i="5"/>
  <c r="H313" i="8" s="1"/>
  <c r="D1725" i="5"/>
  <c r="W1725" i="5"/>
  <c r="I2411" i="5"/>
  <c r="I315" i="8" s="1"/>
  <c r="F1799" i="5"/>
  <c r="N1797" i="5"/>
  <c r="N48" i="8" s="1"/>
  <c r="W1799" i="5"/>
  <c r="X1799" i="5" s="1"/>
  <c r="E2358" i="5"/>
  <c r="E294" i="8" s="1"/>
  <c r="E2406" i="5"/>
  <c r="E313" i="8" s="1"/>
  <c r="G2253" i="5"/>
  <c r="X2239" i="5"/>
  <c r="D2246" i="5"/>
  <c r="W2246" i="5"/>
  <c r="X2246" i="5" s="1"/>
  <c r="E2253" i="5"/>
  <c r="H1941" i="5"/>
  <c r="X2157" i="5"/>
  <c r="N896" i="5"/>
  <c r="N894" i="5" s="1"/>
  <c r="N2153" i="5" s="1"/>
  <c r="J102" i="3"/>
  <c r="J96" i="3"/>
  <c r="J98" i="3" s="1"/>
  <c r="J93" i="3"/>
  <c r="K90" i="3"/>
  <c r="D1996" i="5"/>
  <c r="W1996" i="5"/>
  <c r="G2406" i="5"/>
  <c r="G313" i="8" s="1"/>
  <c r="F2451" i="5"/>
  <c r="F329" i="8" s="1"/>
  <c r="G1797" i="5"/>
  <c r="F2253" i="5"/>
  <c r="E2486" i="5"/>
  <c r="E343" i="8" s="1"/>
  <c r="I1970" i="5"/>
  <c r="F2156" i="5"/>
  <c r="E1915" i="5"/>
  <c r="D2232" i="5"/>
  <c r="W2232" i="5"/>
  <c r="I1916" i="5"/>
  <c r="F2120" i="5"/>
  <c r="I2195" i="5"/>
  <c r="D2215" i="5"/>
  <c r="W2215" i="5"/>
  <c r="X2282" i="5"/>
  <c r="D2205" i="5"/>
  <c r="W2205" i="5"/>
  <c r="F1915" i="5"/>
  <c r="G2215" i="5"/>
  <c r="I2495" i="5"/>
  <c r="I346" i="8" s="1"/>
  <c r="I1900" i="5"/>
  <c r="Q1899" i="5"/>
  <c r="Q87" i="8" s="1"/>
  <c r="Q384" i="8" s="1"/>
  <c r="X1990" i="5"/>
  <c r="X2348" i="5"/>
  <c r="D2133" i="5"/>
  <c r="W2133" i="5"/>
  <c r="I2426" i="5"/>
  <c r="I319" i="8" s="1"/>
  <c r="E1737" i="5"/>
  <c r="H2104" i="5"/>
  <c r="Q1779" i="5"/>
  <c r="Q41" i="8" s="1"/>
  <c r="I1780" i="5"/>
  <c r="I2442" i="5"/>
  <c r="G1915" i="5"/>
  <c r="Q621" i="5"/>
  <c r="Q620" i="5" s="1"/>
  <c r="Q2011" i="5" s="1"/>
  <c r="L620" i="5"/>
  <c r="L2011" i="5" s="1"/>
  <c r="Q1752" i="5"/>
  <c r="V87" i="5"/>
  <c r="X2385" i="5"/>
  <c r="G1981" i="5"/>
  <c r="H2486" i="5"/>
  <c r="H343" i="8" s="1"/>
  <c r="G2384" i="5"/>
  <c r="G304" i="8" s="1"/>
  <c r="D1941" i="5"/>
  <c r="W1941" i="5"/>
  <c r="H2253" i="5"/>
  <c r="F2406" i="5"/>
  <c r="F313" i="8" s="1"/>
  <c r="I2418" i="5"/>
  <c r="I317" i="8" s="1"/>
  <c r="D2190" i="5"/>
  <c r="W2190" i="5"/>
  <c r="I1735" i="5"/>
  <c r="Q1734" i="5"/>
  <c r="Q20" i="8" s="1"/>
  <c r="E1941" i="5"/>
  <c r="I1774" i="5"/>
  <c r="Q1773" i="5"/>
  <c r="Q39" i="8" s="1"/>
  <c r="J694" i="5"/>
  <c r="D1731" i="5"/>
  <c r="P647" i="5"/>
  <c r="P2025" i="5" s="1"/>
  <c r="Q648" i="5"/>
  <c r="Q647" i="5" s="1"/>
  <c r="Q2025" i="5" s="1"/>
  <c r="X2172" i="5"/>
  <c r="X2456" i="5"/>
  <c r="D1974" i="5"/>
  <c r="W1974" i="5"/>
  <c r="Q2232" i="5"/>
  <c r="Q240" i="8" s="1"/>
  <c r="Q430" i="8" s="1"/>
  <c r="D2358" i="5"/>
  <c r="D294" i="8" s="1"/>
  <c r="W2358" i="5"/>
  <c r="E2010" i="5"/>
  <c r="Q1760" i="5"/>
  <c r="Q33" i="8" s="1"/>
  <c r="I1761" i="5"/>
  <c r="D1812" i="5"/>
  <c r="W1812" i="5"/>
  <c r="X1812" i="5" s="1"/>
  <c r="X1986" i="5"/>
  <c r="F1996" i="5"/>
  <c r="Q2279" i="5"/>
  <c r="Q258" i="8" s="1"/>
  <c r="Q434" i="8" s="1"/>
  <c r="F1764" i="5"/>
  <c r="F2205" i="5"/>
  <c r="I1739" i="5"/>
  <c r="D1769" i="5"/>
  <c r="W1769" i="5"/>
  <c r="D2038" i="5"/>
  <c r="W2038" i="5"/>
  <c r="E1981" i="5"/>
  <c r="H2038" i="5"/>
  <c r="X1742" i="5"/>
  <c r="I2407" i="5"/>
  <c r="I314" i="8" s="1"/>
  <c r="Q2406" i="5"/>
  <c r="Q313" i="8" s="1"/>
  <c r="Q449" i="8" s="1"/>
  <c r="I1787" i="5"/>
  <c r="Q1786" i="5"/>
  <c r="Q43" i="8" s="1"/>
  <c r="Q374" i="8" s="1"/>
  <c r="D2198" i="5"/>
  <c r="W2198" i="5"/>
  <c r="X2206" i="5"/>
  <c r="I2506" i="5"/>
  <c r="G2129" i="5"/>
  <c r="O2128" i="5"/>
  <c r="O195" i="8" s="1"/>
  <c r="X2454" i="5"/>
  <c r="E2153" i="5"/>
  <c r="M2150" i="5"/>
  <c r="M205" i="8" s="1"/>
  <c r="G1941" i="5"/>
  <c r="D2253" i="5"/>
  <c r="W2253" i="5"/>
  <c r="F2023" i="5"/>
  <c r="N2022" i="5"/>
  <c r="N143" i="8" s="1"/>
  <c r="N400" i="8" s="1"/>
  <c r="F114" i="14" s="1"/>
  <c r="E2165" i="5"/>
  <c r="H2215" i="5"/>
  <c r="D2384" i="5"/>
  <c r="D304" i="8" s="1"/>
  <c r="W2384" i="5"/>
  <c r="D2179" i="5"/>
  <c r="W2179" i="5"/>
  <c r="X2179" i="5" s="1"/>
  <c r="E1725" i="5"/>
  <c r="X1900" i="5"/>
  <c r="I1723" i="5"/>
  <c r="Q1722" i="5"/>
  <c r="Q14" i="8" s="1"/>
  <c r="I1765" i="5"/>
  <c r="F2128" i="5"/>
  <c r="E2190" i="5"/>
  <c r="G1725" i="5"/>
  <c r="F1884" i="5"/>
  <c r="N1883" i="5"/>
  <c r="N81" i="8" s="1"/>
  <c r="N382" i="8" s="1"/>
  <c r="N464" i="8" s="1"/>
  <c r="F253" i="14" s="1"/>
  <c r="I1942" i="5"/>
  <c r="Q1941" i="5"/>
  <c r="Q104" i="8" s="1"/>
  <c r="Q388" i="8" s="1"/>
  <c r="X2140" i="5"/>
  <c r="X1807" i="5"/>
  <c r="I1721" i="5"/>
  <c r="Q1719" i="5"/>
  <c r="Q13" i="8" s="1"/>
  <c r="D2165" i="5"/>
  <c r="W2165" i="5"/>
  <c r="D2072" i="5"/>
  <c r="D1737" i="5"/>
  <c r="I1910" i="5"/>
  <c r="D2104" i="5"/>
  <c r="W2104" i="5"/>
  <c r="E2049" i="5"/>
  <c r="D2150" i="5"/>
  <c r="D2022" i="5"/>
  <c r="G1846" i="5"/>
  <c r="H1750" i="5"/>
  <c r="G1826" i="5"/>
  <c r="W1839" i="5"/>
  <c r="G1750" i="5"/>
  <c r="Q1839" i="5"/>
  <c r="Q63" i="8" s="1"/>
  <c r="I1841" i="5"/>
  <c r="X1841" i="5"/>
  <c r="W2274" i="5"/>
  <c r="X2274" i="5" s="1"/>
  <c r="L2273" i="5"/>
  <c r="L256" i="8" s="1"/>
  <c r="W1753" i="5"/>
  <c r="W1995" i="5"/>
  <c r="X1995" i="5" s="1"/>
  <c r="L1994" i="5"/>
  <c r="W1751" i="5"/>
  <c r="L1750" i="5"/>
  <c r="W2047" i="5"/>
  <c r="X2047" i="5" s="1"/>
  <c r="L2046" i="5"/>
  <c r="L156" i="8" s="1"/>
  <c r="F205" i="5"/>
  <c r="M205" i="5" s="1"/>
  <c r="M204" i="5" s="1"/>
  <c r="G22" i="3"/>
  <c r="L23" i="3"/>
  <c r="J23" i="3"/>
  <c r="M23" i="3"/>
  <c r="H23" i="3"/>
  <c r="F23" i="3"/>
  <c r="K23" i="3"/>
  <c r="I23" i="3"/>
  <c r="G23" i="3"/>
  <c r="E23" i="3"/>
  <c r="P271" i="5"/>
  <c r="P1845" i="5" s="1"/>
  <c r="H1845" i="5" s="1"/>
  <c r="Q272" i="5"/>
  <c r="Q271" i="5" s="1"/>
  <c r="Q1845" i="5" s="1"/>
  <c r="F342" i="5"/>
  <c r="P291" i="5"/>
  <c r="P1855" i="5" s="1"/>
  <c r="Q292" i="5"/>
  <c r="Q291" i="5" s="1"/>
  <c r="Q1855" i="5" s="1"/>
  <c r="Q566" i="8" s="1"/>
  <c r="L205" i="5"/>
  <c r="K60" i="3"/>
  <c r="J71" i="3"/>
  <c r="J82" i="3" s="1"/>
  <c r="J83" i="3" s="1"/>
  <c r="J70" i="3"/>
  <c r="K17" i="3"/>
  <c r="K52" i="3"/>
  <c r="K54" i="3" s="1"/>
  <c r="L58" i="3"/>
  <c r="H227" i="14" l="1"/>
  <c r="Q686" i="8"/>
  <c r="D243" i="14"/>
  <c r="I222" i="14"/>
  <c r="D244" i="14"/>
  <c r="I223" i="14"/>
  <c r="D246" i="14"/>
  <c r="I225" i="14"/>
  <c r="I217" i="14"/>
  <c r="D238" i="14"/>
  <c r="I214" i="14"/>
  <c r="D235" i="14"/>
  <c r="I210" i="14"/>
  <c r="D231" i="14"/>
  <c r="G227" i="14"/>
  <c r="I220" i="14"/>
  <c r="D241" i="14"/>
  <c r="E227" i="14"/>
  <c r="D234" i="14"/>
  <c r="I213" i="14"/>
  <c r="D232" i="14"/>
  <c r="I211" i="14"/>
  <c r="I226" i="14"/>
  <c r="D247" i="14"/>
  <c r="I221" i="14"/>
  <c r="D242" i="14"/>
  <c r="I215" i="14"/>
  <c r="D236" i="14"/>
  <c r="F227" i="14"/>
  <c r="I224" i="14"/>
  <c r="D240" i="14"/>
  <c r="I219" i="14"/>
  <c r="I218" i="14"/>
  <c r="D239" i="14"/>
  <c r="I96" i="8"/>
  <c r="G48" i="8"/>
  <c r="G58" i="8"/>
  <c r="D205" i="8"/>
  <c r="D211" i="8"/>
  <c r="L502" i="8" s="1"/>
  <c r="F82" i="8"/>
  <c r="I35" i="8"/>
  <c r="F144" i="8"/>
  <c r="D227" i="8"/>
  <c r="F132" i="8"/>
  <c r="E104" i="8"/>
  <c r="D224" i="8"/>
  <c r="G124" i="8"/>
  <c r="G234" i="8"/>
  <c r="F191" i="8"/>
  <c r="E95" i="8"/>
  <c r="F248" i="8"/>
  <c r="H104" i="8"/>
  <c r="I127" i="8"/>
  <c r="F234" i="8"/>
  <c r="Z2239" i="5"/>
  <c r="H124" i="8"/>
  <c r="H227" i="8"/>
  <c r="I133" i="8"/>
  <c r="H191" i="8"/>
  <c r="I126" i="8"/>
  <c r="I229" i="8"/>
  <c r="E227" i="8"/>
  <c r="G87" i="8"/>
  <c r="F211" i="8"/>
  <c r="N502" i="8" s="1"/>
  <c r="E132" i="8"/>
  <c r="D150" i="8"/>
  <c r="I112" i="8"/>
  <c r="I51" i="8"/>
  <c r="G158" i="8"/>
  <c r="E197" i="8"/>
  <c r="H211" i="8"/>
  <c r="P502" i="8" s="1"/>
  <c r="I153" i="8"/>
  <c r="F108" i="8"/>
  <c r="E240" i="8"/>
  <c r="E183" i="8"/>
  <c r="I129" i="8"/>
  <c r="G258" i="8"/>
  <c r="F104" i="8"/>
  <c r="I238" i="8"/>
  <c r="I84" i="8"/>
  <c r="E256" i="8"/>
  <c r="E31" i="8"/>
  <c r="F131" i="8"/>
  <c r="I198" i="8"/>
  <c r="H258" i="8"/>
  <c r="F28" i="8"/>
  <c r="I109" i="14"/>
  <c r="D172" i="14"/>
  <c r="I162" i="14"/>
  <c r="D169" i="14"/>
  <c r="I159" i="14"/>
  <c r="D197" i="14"/>
  <c r="E197" i="14" s="1"/>
  <c r="I181" i="14"/>
  <c r="I80" i="14"/>
  <c r="D94" i="14"/>
  <c r="I179" i="14"/>
  <c r="D195" i="14"/>
  <c r="E195" i="14" s="1"/>
  <c r="D202" i="14"/>
  <c r="E202" i="14" s="1"/>
  <c r="I186" i="14"/>
  <c r="I56" i="14"/>
  <c r="I71" i="14" s="1"/>
  <c r="D71" i="14"/>
  <c r="D124" i="14"/>
  <c r="E124" i="14" s="1"/>
  <c r="I180" i="14"/>
  <c r="D196" i="14"/>
  <c r="E196" i="14" s="1"/>
  <c r="E37" i="8"/>
  <c r="F237" i="8"/>
  <c r="I201" i="8"/>
  <c r="G237" i="8"/>
  <c r="E34" i="8"/>
  <c r="F224" i="8"/>
  <c r="H69" i="8"/>
  <c r="Z1863" i="5"/>
  <c r="D73" i="8"/>
  <c r="D73" i="14"/>
  <c r="H65" i="14"/>
  <c r="H28" i="8"/>
  <c r="F230" i="8"/>
  <c r="D104" i="8"/>
  <c r="F207" i="8"/>
  <c r="E248" i="8"/>
  <c r="I236" i="8"/>
  <c r="I150" i="8"/>
  <c r="H99" i="8"/>
  <c r="H82" i="8"/>
  <c r="H256" i="8"/>
  <c r="D171" i="14"/>
  <c r="I161" i="14"/>
  <c r="D43" i="8"/>
  <c r="G69" i="8"/>
  <c r="I106" i="8"/>
  <c r="H34" i="8"/>
  <c r="H234" i="8"/>
  <c r="D152" i="8"/>
  <c r="I235" i="8"/>
  <c r="I192" i="8"/>
  <c r="E234" i="8"/>
  <c r="I128" i="8"/>
  <c r="AA1964" i="5"/>
  <c r="H120" i="8"/>
  <c r="G114" i="8"/>
  <c r="O490" i="8" s="1"/>
  <c r="E156" i="8"/>
  <c r="F124" i="8"/>
  <c r="D30" i="8"/>
  <c r="I54" i="14"/>
  <c r="I69" i="14" s="1"/>
  <c r="D69" i="14"/>
  <c r="I87" i="14"/>
  <c r="D101" i="14"/>
  <c r="I88" i="14"/>
  <c r="D102" i="14"/>
  <c r="D91" i="14"/>
  <c r="I82" i="14"/>
  <c r="D96" i="14"/>
  <c r="E73" i="14"/>
  <c r="Z1867" i="5"/>
  <c r="G224" i="8"/>
  <c r="F65" i="14"/>
  <c r="G73" i="8"/>
  <c r="F73" i="8"/>
  <c r="G72" i="8"/>
  <c r="H71" i="8"/>
  <c r="G71" i="8"/>
  <c r="E73" i="8"/>
  <c r="E169" i="8"/>
  <c r="E410" i="8" s="1"/>
  <c r="D72" i="8"/>
  <c r="H169" i="8"/>
  <c r="H410" i="8" s="1"/>
  <c r="E71" i="8"/>
  <c r="F58" i="8"/>
  <c r="G28" i="8"/>
  <c r="G65" i="8"/>
  <c r="D167" i="8"/>
  <c r="I105" i="8"/>
  <c r="E224" i="8"/>
  <c r="D219" i="8"/>
  <c r="L504" i="8" s="1"/>
  <c r="E211" i="8"/>
  <c r="M502" i="8" s="1"/>
  <c r="D248" i="8"/>
  <c r="I44" i="8"/>
  <c r="H152" i="8"/>
  <c r="F34" i="8"/>
  <c r="E138" i="8"/>
  <c r="G95" i="8"/>
  <c r="H183" i="8"/>
  <c r="D197" i="8"/>
  <c r="I88" i="8"/>
  <c r="D234" i="8"/>
  <c r="Z1970" i="5"/>
  <c r="E108" i="8"/>
  <c r="AA2274" i="5"/>
  <c r="D100" i="8"/>
  <c r="I184" i="8"/>
  <c r="G230" i="8"/>
  <c r="D118" i="8"/>
  <c r="E207" i="8"/>
  <c r="D112" i="8"/>
  <c r="D114" i="8"/>
  <c r="G183" i="8"/>
  <c r="D237" i="8"/>
  <c r="E28" i="8"/>
  <c r="Z2157" i="5"/>
  <c r="D58" i="8"/>
  <c r="H87" i="8"/>
  <c r="F152" i="8"/>
  <c r="H168" i="8"/>
  <c r="D95" i="8"/>
  <c r="G191" i="8"/>
  <c r="F168" i="8"/>
  <c r="G207" i="8"/>
  <c r="D124" i="8"/>
  <c r="I219" i="8"/>
  <c r="F258" i="8"/>
  <c r="I89" i="8"/>
  <c r="I239" i="8"/>
  <c r="D34" i="8"/>
  <c r="F156" i="8"/>
  <c r="F256" i="8"/>
  <c r="E58" i="8"/>
  <c r="G197" i="8"/>
  <c r="E237" i="8"/>
  <c r="H156" i="8"/>
  <c r="I83" i="8"/>
  <c r="I86" i="8"/>
  <c r="D29" i="8"/>
  <c r="H131" i="8"/>
  <c r="I52" i="14"/>
  <c r="I67" i="14" s="1"/>
  <c r="D67" i="14"/>
  <c r="I185" i="14"/>
  <c r="D201" i="14"/>
  <c r="E201" i="14" s="1"/>
  <c r="I89" i="14"/>
  <c r="D103" i="14"/>
  <c r="D144" i="14"/>
  <c r="E144" i="14" s="1"/>
  <c r="I132" i="14"/>
  <c r="I137" i="14"/>
  <c r="D149" i="14"/>
  <c r="E149" i="14" s="1"/>
  <c r="I81" i="14"/>
  <c r="D95" i="14"/>
  <c r="D198" i="14"/>
  <c r="E198" i="14" s="1"/>
  <c r="I182" i="14"/>
  <c r="D167" i="14"/>
  <c r="I157" i="14"/>
  <c r="I85" i="14"/>
  <c r="D99" i="14"/>
  <c r="I86" i="14"/>
  <c r="D100" i="14"/>
  <c r="H114" i="8"/>
  <c r="H240" i="8"/>
  <c r="H108" i="8"/>
  <c r="I50" i="8"/>
  <c r="E69" i="8"/>
  <c r="I97" i="8"/>
  <c r="Z1869" i="5"/>
  <c r="I131" i="14"/>
  <c r="D143" i="14"/>
  <c r="E143" i="14" s="1"/>
  <c r="I138" i="14"/>
  <c r="D150" i="14"/>
  <c r="E150" i="14" s="1"/>
  <c r="E158" i="8"/>
  <c r="F95" i="8"/>
  <c r="D132" i="8"/>
  <c r="G248" i="8"/>
  <c r="D31" i="8"/>
  <c r="H207" i="8"/>
  <c r="E167" i="8"/>
  <c r="E152" i="8"/>
  <c r="H48" i="8"/>
  <c r="G82" i="8"/>
  <c r="G211" i="8"/>
  <c r="O502" i="8" s="1"/>
  <c r="I200" i="8"/>
  <c r="E258" i="8"/>
  <c r="I242" i="8"/>
  <c r="H63" i="8"/>
  <c r="G108" i="8"/>
  <c r="D204" i="14"/>
  <c r="E204" i="14" s="1"/>
  <c r="I188" i="14"/>
  <c r="I84" i="14"/>
  <c r="D98" i="14"/>
  <c r="I90" i="14"/>
  <c r="D104" i="14"/>
  <c r="I245" i="8"/>
  <c r="G37" i="8"/>
  <c r="Z1860" i="5"/>
  <c r="D69" i="8"/>
  <c r="H132" i="8"/>
  <c r="I244" i="8"/>
  <c r="D143" i="8"/>
  <c r="D183" i="8"/>
  <c r="F195" i="8"/>
  <c r="G104" i="8"/>
  <c r="E124" i="8"/>
  <c r="D37" i="8"/>
  <c r="D53" i="8"/>
  <c r="D120" i="8"/>
  <c r="H248" i="8"/>
  <c r="D230" i="8"/>
  <c r="I226" i="8"/>
  <c r="D240" i="8"/>
  <c r="D245" i="8"/>
  <c r="H197" i="8"/>
  <c r="D82" i="8"/>
  <c r="H230" i="8"/>
  <c r="E191" i="8"/>
  <c r="I186" i="8"/>
  <c r="H37" i="8"/>
  <c r="F87" i="8"/>
  <c r="E114" i="8"/>
  <c r="M490" i="8" s="1"/>
  <c r="E87" i="8"/>
  <c r="D108" i="8"/>
  <c r="D207" i="8"/>
  <c r="F114" i="8"/>
  <c r="N490" i="8" s="1"/>
  <c r="G168" i="8"/>
  <c r="F183" i="8"/>
  <c r="D258" i="8"/>
  <c r="G240" i="8"/>
  <c r="D87" i="8"/>
  <c r="E82" i="8"/>
  <c r="I46" i="8"/>
  <c r="I100" i="8"/>
  <c r="D92" i="8"/>
  <c r="F240" i="8"/>
  <c r="I231" i="8"/>
  <c r="E230" i="8"/>
  <c r="D191" i="8"/>
  <c r="F37" i="8"/>
  <c r="F197" i="8"/>
  <c r="I121" i="8"/>
  <c r="I98" i="8"/>
  <c r="G131" i="8"/>
  <c r="E131" i="8"/>
  <c r="I187" i="8"/>
  <c r="I125" i="8"/>
  <c r="G256" i="8"/>
  <c r="I185" i="8"/>
  <c r="G156" i="8"/>
  <c r="D200" i="14"/>
  <c r="E200" i="14" s="1"/>
  <c r="I184" i="14"/>
  <c r="D166" i="14"/>
  <c r="I156" i="14"/>
  <c r="I83" i="14"/>
  <c r="D97" i="14"/>
  <c r="I183" i="14"/>
  <c r="D199" i="14"/>
  <c r="E199" i="14" s="1"/>
  <c r="I53" i="14"/>
  <c r="I68" i="14" s="1"/>
  <c r="D68" i="14"/>
  <c r="D72" i="14"/>
  <c r="D193" i="14"/>
  <c r="E193" i="14" s="1"/>
  <c r="I177" i="14"/>
  <c r="I51" i="14"/>
  <c r="I66" i="14" s="1"/>
  <c r="D66" i="14"/>
  <c r="I111" i="14"/>
  <c r="D121" i="14"/>
  <c r="E121" i="14" s="1"/>
  <c r="F227" i="8"/>
  <c r="H237" i="8"/>
  <c r="AA2260" i="5"/>
  <c r="G31" i="8"/>
  <c r="F69" i="8"/>
  <c r="G227" i="8"/>
  <c r="E65" i="14"/>
  <c r="G65" i="14"/>
  <c r="H73" i="8"/>
  <c r="F72" i="8"/>
  <c r="H72" i="8"/>
  <c r="F169" i="8"/>
  <c r="F410" i="8" s="1"/>
  <c r="E72" i="8"/>
  <c r="F71" i="8"/>
  <c r="G169" i="8"/>
  <c r="G410" i="8" s="1"/>
  <c r="D169" i="8"/>
  <c r="D410" i="8" s="1"/>
  <c r="D119" i="14"/>
  <c r="E119" i="14" s="1"/>
  <c r="G36" i="14"/>
  <c r="I31" i="14"/>
  <c r="I32" i="14"/>
  <c r="C234" i="12"/>
  <c r="I351" i="8"/>
  <c r="AA2507" i="5"/>
  <c r="C183" i="12"/>
  <c r="C181" i="12"/>
  <c r="E11" i="8"/>
  <c r="G19" i="8"/>
  <c r="G9" i="8"/>
  <c r="E18" i="8"/>
  <c r="F9" i="8"/>
  <c r="G11" i="8"/>
  <c r="D21" i="8"/>
  <c r="G15" i="8"/>
  <c r="D15" i="8"/>
  <c r="F11" i="8"/>
  <c r="F15" i="8"/>
  <c r="D11" i="8"/>
  <c r="E21" i="8"/>
  <c r="H15" i="8"/>
  <c r="H11" i="8"/>
  <c r="E15" i="8"/>
  <c r="Z1739" i="5"/>
  <c r="D18" i="8"/>
  <c r="E9" i="8"/>
  <c r="H9" i="8"/>
  <c r="D10" i="8"/>
  <c r="Z1742" i="5"/>
  <c r="G22" i="8"/>
  <c r="C65" i="12"/>
  <c r="B70" i="12"/>
  <c r="C159" i="12"/>
  <c r="I347" i="8"/>
  <c r="AA2499" i="5"/>
  <c r="I215" i="8"/>
  <c r="Z2172" i="5"/>
  <c r="I255" i="8"/>
  <c r="AA2269" i="5"/>
  <c r="X1929" i="5"/>
  <c r="C67" i="12"/>
  <c r="I109" i="8"/>
  <c r="Z1950" i="5"/>
  <c r="I253" i="8"/>
  <c r="AA2263" i="5"/>
  <c r="B36" i="12"/>
  <c r="B43" i="12"/>
  <c r="I171" i="8"/>
  <c r="Z2079" i="5"/>
  <c r="Q677" i="8"/>
  <c r="B103" i="12"/>
  <c r="C195" i="12"/>
  <c r="C194" i="12" s="1"/>
  <c r="C208" i="12"/>
  <c r="B198" i="12"/>
  <c r="C68" i="12"/>
  <c r="B201" i="12"/>
  <c r="C223" i="12"/>
  <c r="C143" i="12"/>
  <c r="C236" i="12"/>
  <c r="I250" i="8"/>
  <c r="AA2256" i="5"/>
  <c r="I260" i="8"/>
  <c r="AA2282" i="5"/>
  <c r="I324" i="8"/>
  <c r="AA2435" i="5"/>
  <c r="B39" i="12"/>
  <c r="I280" i="8"/>
  <c r="AA2328" i="5"/>
  <c r="I68" i="8"/>
  <c r="Z1856" i="5"/>
  <c r="I326" i="8"/>
  <c r="AA2442" i="5"/>
  <c r="I53" i="8"/>
  <c r="Z1812" i="5"/>
  <c r="B115" i="12"/>
  <c r="I249" i="8"/>
  <c r="AA2254" i="5"/>
  <c r="B45" i="12"/>
  <c r="I275" i="8"/>
  <c r="AA2317" i="5"/>
  <c r="B8" i="12"/>
  <c r="B135" i="12"/>
  <c r="B132" i="12" s="1"/>
  <c r="B131" i="12" s="1"/>
  <c r="I262" i="8"/>
  <c r="AA2287" i="5"/>
  <c r="B11" i="12"/>
  <c r="I289" i="8"/>
  <c r="AA2348" i="5"/>
  <c r="C145" i="12"/>
  <c r="I327" i="8"/>
  <c r="AA2445" i="5"/>
  <c r="I172" i="8"/>
  <c r="Z2081" i="5"/>
  <c r="I170" i="8"/>
  <c r="Z2077" i="5"/>
  <c r="C170" i="12"/>
  <c r="C221" i="12"/>
  <c r="C220" i="12" s="1"/>
  <c r="B118" i="12"/>
  <c r="C217" i="12"/>
  <c r="I350" i="8"/>
  <c r="AA2506" i="5"/>
  <c r="B100" i="12"/>
  <c r="B62" i="12"/>
  <c r="C165" i="12"/>
  <c r="I92" i="8"/>
  <c r="I116" i="8"/>
  <c r="Q1915" i="5"/>
  <c r="Q95" i="8" s="1"/>
  <c r="Q386" i="8" s="1"/>
  <c r="I243" i="8"/>
  <c r="I1929" i="5"/>
  <c r="I228" i="8"/>
  <c r="I208" i="8"/>
  <c r="I252" i="8"/>
  <c r="I118" i="8"/>
  <c r="Q661" i="8"/>
  <c r="H1855" i="5"/>
  <c r="P566" i="8"/>
  <c r="X1752" i="5"/>
  <c r="Q672" i="8"/>
  <c r="L677" i="8"/>
  <c r="Q664" i="8"/>
  <c r="M505" i="8"/>
  <c r="W2316" i="5"/>
  <c r="D2316" i="5"/>
  <c r="D274" i="8" s="1"/>
  <c r="P505" i="8"/>
  <c r="N505" i="8"/>
  <c r="E1861" i="5"/>
  <c r="M70" i="8"/>
  <c r="M379" i="8" s="1"/>
  <c r="E59" i="14" s="1"/>
  <c r="L505" i="8"/>
  <c r="I1862" i="5"/>
  <c r="Q71" i="8"/>
  <c r="D1861" i="5"/>
  <c r="L70" i="8"/>
  <c r="L379" i="8" s="1"/>
  <c r="D59" i="14" s="1"/>
  <c r="I2076" i="5"/>
  <c r="Q169" i="8"/>
  <c r="Q410" i="8" s="1"/>
  <c r="I1865" i="5"/>
  <c r="Q72" i="8"/>
  <c r="O505" i="8"/>
  <c r="F1861" i="5"/>
  <c r="N70" i="8"/>
  <c r="N379" i="8" s="1"/>
  <c r="F59" i="14" s="1"/>
  <c r="H1861" i="5"/>
  <c r="P70" i="8"/>
  <c r="P379" i="8" s="1"/>
  <c r="H59" i="14" s="1"/>
  <c r="I1868" i="5"/>
  <c r="Q73" i="8"/>
  <c r="G1861" i="5"/>
  <c r="O70" i="8"/>
  <c r="O379" i="8" s="1"/>
  <c r="G59" i="14" s="1"/>
  <c r="L28" i="8"/>
  <c r="L370" i="8" s="1"/>
  <c r="D50" i="14" s="1"/>
  <c r="O154" i="8"/>
  <c r="O405" i="8" s="1"/>
  <c r="G133" i="14" s="1"/>
  <c r="I2316" i="5"/>
  <c r="X2395" i="5"/>
  <c r="X2316" i="5"/>
  <c r="W2451" i="5"/>
  <c r="X2451" i="5" s="1"/>
  <c r="D2451" i="5"/>
  <c r="D329" i="8" s="1"/>
  <c r="I2395" i="5"/>
  <c r="I308" i="8" s="1"/>
  <c r="D1846" i="5"/>
  <c r="W2367" i="5"/>
  <c r="X2367" i="5" s="1"/>
  <c r="D2367" i="5"/>
  <c r="D298" i="8" s="1"/>
  <c r="P2175" i="5"/>
  <c r="P216" i="8" s="1"/>
  <c r="P421" i="8" s="1"/>
  <c r="P468" i="8" s="1"/>
  <c r="H257" i="14" s="1"/>
  <c r="I2327" i="5"/>
  <c r="Q279" i="8"/>
  <c r="Q441" i="8" s="1"/>
  <c r="X1862" i="5"/>
  <c r="X2327" i="5"/>
  <c r="X1865" i="5"/>
  <c r="W2324" i="5"/>
  <c r="X2324" i="5" s="1"/>
  <c r="X1859" i="5"/>
  <c r="E1846" i="5"/>
  <c r="X1868" i="5"/>
  <c r="N65" i="8"/>
  <c r="N378" i="8" s="1"/>
  <c r="F58" i="14" s="1"/>
  <c r="F1846" i="5"/>
  <c r="W1861" i="5"/>
  <c r="Q1861" i="5"/>
  <c r="Q69" i="8"/>
  <c r="I1859" i="5"/>
  <c r="X2223" i="5"/>
  <c r="X1974" i="5"/>
  <c r="I2190" i="5"/>
  <c r="P1883" i="5"/>
  <c r="P81" i="8" s="1"/>
  <c r="P382" i="8" s="1"/>
  <c r="P464" i="8" s="1"/>
  <c r="H253" i="14" s="1"/>
  <c r="O484" i="8"/>
  <c r="I2223" i="5"/>
  <c r="I1974" i="5"/>
  <c r="Q271" i="8"/>
  <c r="Q438" i="8" s="1"/>
  <c r="X2311" i="5"/>
  <c r="P484" i="8"/>
  <c r="P490" i="8"/>
  <c r="L488" i="8"/>
  <c r="I2311" i="5"/>
  <c r="I271" i="8" s="1"/>
  <c r="Q287" i="8"/>
  <c r="Q443" i="8" s="1"/>
  <c r="Q290" i="8"/>
  <c r="Q444" i="8" s="1"/>
  <c r="L500" i="8"/>
  <c r="P500" i="8"/>
  <c r="I2198" i="5"/>
  <c r="X2198" i="5"/>
  <c r="X1961" i="5"/>
  <c r="I1961" i="5"/>
  <c r="I2367" i="5"/>
  <c r="H1915" i="5"/>
  <c r="O489" i="8"/>
  <c r="W1915" i="5"/>
  <c r="G1737" i="5"/>
  <c r="X2190" i="5"/>
  <c r="N488" i="8"/>
  <c r="N489" i="8"/>
  <c r="L490" i="8"/>
  <c r="O500" i="8"/>
  <c r="M481" i="8"/>
  <c r="N500" i="8"/>
  <c r="N480" i="8"/>
  <c r="P488" i="8"/>
  <c r="M500" i="8"/>
  <c r="M488" i="8"/>
  <c r="M489" i="8"/>
  <c r="Q504" i="8"/>
  <c r="M362" i="8"/>
  <c r="Q502" i="8"/>
  <c r="M484" i="8"/>
  <c r="O480" i="8"/>
  <c r="L382" i="8"/>
  <c r="L481" i="8"/>
  <c r="P480" i="8"/>
  <c r="M480" i="8"/>
  <c r="N484" i="8"/>
  <c r="L131" i="8"/>
  <c r="O488" i="8"/>
  <c r="L363" i="8"/>
  <c r="D30" i="14" s="1"/>
  <c r="L489" i="8"/>
  <c r="L444" i="8"/>
  <c r="D216" i="14" s="1"/>
  <c r="E2268" i="5"/>
  <c r="H2043" i="5"/>
  <c r="G1993" i="5"/>
  <c r="X1726" i="5"/>
  <c r="X1783" i="5"/>
  <c r="I1884" i="5"/>
  <c r="F1993" i="5"/>
  <c r="F2268" i="5"/>
  <c r="I2273" i="5"/>
  <c r="D1750" i="5"/>
  <c r="X1719" i="5"/>
  <c r="D2273" i="5"/>
  <c r="I2046" i="5"/>
  <c r="G2043" i="5"/>
  <c r="H1993" i="5"/>
  <c r="X1760" i="5"/>
  <c r="X1779" i="5"/>
  <c r="X1770" i="5"/>
  <c r="D2046" i="5"/>
  <c r="D1994" i="5"/>
  <c r="I1839" i="5"/>
  <c r="X1722" i="5"/>
  <c r="X1786" i="5"/>
  <c r="X1767" i="5"/>
  <c r="X1756" i="5"/>
  <c r="I1994" i="5"/>
  <c r="I2133" i="5"/>
  <c r="G2268" i="5"/>
  <c r="F2043" i="5"/>
  <c r="E1993" i="5"/>
  <c r="E2043" i="5"/>
  <c r="H2268" i="5"/>
  <c r="O2175" i="5"/>
  <c r="O216" i="8" s="1"/>
  <c r="O421" i="8" s="1"/>
  <c r="O468" i="8" s="1"/>
  <c r="G257" i="14" s="1"/>
  <c r="X2038" i="5"/>
  <c r="N2175" i="5"/>
  <c r="N216" i="8" s="1"/>
  <c r="N421" i="8" s="1"/>
  <c r="N468" i="8" s="1"/>
  <c r="F257" i="14" s="1"/>
  <c r="I2434" i="5"/>
  <c r="X2434" i="5"/>
  <c r="I1949" i="5"/>
  <c r="Q2268" i="5"/>
  <c r="Q254" i="8" s="1"/>
  <c r="Q433" i="8" s="1"/>
  <c r="X1949" i="5"/>
  <c r="X2156" i="5"/>
  <c r="X2104" i="5"/>
  <c r="I2351" i="5"/>
  <c r="X2351" i="5"/>
  <c r="I2073" i="5"/>
  <c r="Q2043" i="5"/>
  <c r="Q154" i="8" s="1"/>
  <c r="Q405" i="8" s="1"/>
  <c r="Q2072" i="5"/>
  <c r="Q167" i="8" s="1"/>
  <c r="Q409" i="8" s="1"/>
  <c r="I2253" i="5"/>
  <c r="X2253" i="5"/>
  <c r="X2133" i="5"/>
  <c r="X2073" i="5"/>
  <c r="X2384" i="5"/>
  <c r="X2358" i="5"/>
  <c r="X2165" i="5"/>
  <c r="X2215" i="5"/>
  <c r="Q1764" i="5"/>
  <c r="Q34" i="8" s="1"/>
  <c r="Q372" i="8" s="1"/>
  <c r="X1884" i="5"/>
  <c r="M2175" i="5"/>
  <c r="M216" i="8" s="1"/>
  <c r="M421" i="8" s="1"/>
  <c r="M468" i="8" s="1"/>
  <c r="E257" i="14" s="1"/>
  <c r="Q1993" i="5"/>
  <c r="Q130" i="8" s="1"/>
  <c r="Q396" i="8" s="1"/>
  <c r="X2205" i="5"/>
  <c r="X1941" i="5"/>
  <c r="I2486" i="5"/>
  <c r="Q1710" i="5"/>
  <c r="Q9" i="8" s="1"/>
  <c r="Q363" i="8" s="1"/>
  <c r="I1711" i="5"/>
  <c r="F2148" i="5"/>
  <c r="O894" i="5"/>
  <c r="O2153" i="5" s="1"/>
  <c r="I1981" i="5"/>
  <c r="I1741" i="5"/>
  <c r="F2153" i="5"/>
  <c r="N2150" i="5"/>
  <c r="N205" i="8" s="1"/>
  <c r="I2279" i="5"/>
  <c r="H2025" i="5"/>
  <c r="P2023" i="5"/>
  <c r="P144" i="8" s="1"/>
  <c r="W2025" i="5"/>
  <c r="X2025" i="5" s="1"/>
  <c r="I1734" i="5"/>
  <c r="I2011" i="5"/>
  <c r="Q2010" i="5"/>
  <c r="Q138" i="8" s="1"/>
  <c r="I1899" i="5"/>
  <c r="I2104" i="5"/>
  <c r="I2215" i="5"/>
  <c r="I1754" i="5"/>
  <c r="Q1753" i="5"/>
  <c r="Q30" i="8" s="1"/>
  <c r="X1741" i="5"/>
  <c r="H2149" i="5"/>
  <c r="P2148" i="5"/>
  <c r="P204" i="8" s="1"/>
  <c r="J895" i="5"/>
  <c r="I896" i="5"/>
  <c r="P895" i="5"/>
  <c r="X2279" i="5"/>
  <c r="X1899" i="5"/>
  <c r="H2072" i="5"/>
  <c r="K50" i="3"/>
  <c r="L49" i="3"/>
  <c r="K69" i="3"/>
  <c r="X1734" i="5"/>
  <c r="P53" i="5"/>
  <c r="Q54" i="5"/>
  <c r="L1709" i="5"/>
  <c r="L8" i="8" s="1"/>
  <c r="W1710" i="5"/>
  <c r="D1710" i="5"/>
  <c r="I2406" i="5"/>
  <c r="I313" i="8" s="1"/>
  <c r="I1773" i="5"/>
  <c r="D2011" i="5"/>
  <c r="W2011" i="5"/>
  <c r="X2011" i="5" s="1"/>
  <c r="L2010" i="5"/>
  <c r="L138" i="8" s="1"/>
  <c r="F1797" i="5"/>
  <c r="W1797" i="5"/>
  <c r="X1797" i="5" s="1"/>
  <c r="G2148" i="5"/>
  <c r="F2072" i="5"/>
  <c r="I1941" i="5"/>
  <c r="F1883" i="5"/>
  <c r="E2150" i="5"/>
  <c r="G2128" i="5"/>
  <c r="X1996" i="5"/>
  <c r="I2051" i="5"/>
  <c r="Q2049" i="5"/>
  <c r="Q158" i="8" s="1"/>
  <c r="X2345" i="5"/>
  <c r="G883" i="5"/>
  <c r="M883" i="5"/>
  <c r="M882" i="5" s="1"/>
  <c r="M2147" i="5" s="1"/>
  <c r="M574" i="8" s="1"/>
  <c r="M670" i="8" s="1"/>
  <c r="I1797" i="5"/>
  <c r="X2486" i="5"/>
  <c r="Q1725" i="5"/>
  <c r="Q15" i="8" s="1"/>
  <c r="Q365" i="8" s="1"/>
  <c r="I1726" i="5"/>
  <c r="I2451" i="5"/>
  <c r="G1731" i="5"/>
  <c r="X2406" i="5"/>
  <c r="Q886" i="5"/>
  <c r="Q885" i="5" s="1"/>
  <c r="Q2149" i="5" s="1"/>
  <c r="G1883" i="5"/>
  <c r="P848" i="5"/>
  <c r="P2129" i="5" s="1"/>
  <c r="Q849" i="5"/>
  <c r="Q848" i="5" s="1"/>
  <c r="Q2129" i="5" s="1"/>
  <c r="I2038" i="5"/>
  <c r="I1722" i="5"/>
  <c r="I2025" i="5"/>
  <c r="Q2023" i="5"/>
  <c r="Q144" i="8" s="1"/>
  <c r="L90" i="3"/>
  <c r="K93" i="3"/>
  <c r="K96" i="3"/>
  <c r="K98" i="3" s="1"/>
  <c r="K102" i="3"/>
  <c r="I1996" i="5"/>
  <c r="G2072" i="5"/>
  <c r="X1711" i="5"/>
  <c r="X1981" i="5"/>
  <c r="I2345" i="5"/>
  <c r="I1783" i="5"/>
  <c r="W2072" i="5"/>
  <c r="F2022" i="5"/>
  <c r="I1719" i="5"/>
  <c r="Q1716" i="5"/>
  <c r="Q11" i="8" s="1"/>
  <c r="Q364" i="8" s="1"/>
  <c r="I1786" i="5"/>
  <c r="I1760" i="5"/>
  <c r="I2232" i="5"/>
  <c r="Q1751" i="5"/>
  <c r="Q29" i="8" s="1"/>
  <c r="I1752" i="5"/>
  <c r="I1779" i="5"/>
  <c r="X2232" i="5"/>
  <c r="X1773" i="5"/>
  <c r="D1883" i="5"/>
  <c r="I1767" i="5"/>
  <c r="W2149" i="5"/>
  <c r="H2051" i="5"/>
  <c r="P2049" i="5"/>
  <c r="P158" i="8" s="1"/>
  <c r="W2051" i="5"/>
  <c r="X2051" i="5" s="1"/>
  <c r="E1709" i="5"/>
  <c r="P68" i="5"/>
  <c r="P1740" i="5" s="1"/>
  <c r="P565" i="8" s="1"/>
  <c r="Q69" i="5"/>
  <c r="L882" i="5"/>
  <c r="L2147" i="5" s="1"/>
  <c r="L574" i="8" s="1"/>
  <c r="L670" i="8" s="1"/>
  <c r="I2120" i="5"/>
  <c r="F1733" i="5"/>
  <c r="N1732" i="5"/>
  <c r="N19" i="8" s="1"/>
  <c r="F1738" i="5"/>
  <c r="N1737" i="5"/>
  <c r="N21" i="8" s="1"/>
  <c r="I2358" i="5"/>
  <c r="I294" i="8" s="1"/>
  <c r="I2165" i="5"/>
  <c r="I2156" i="5"/>
  <c r="I1756" i="5"/>
  <c r="Q1755" i="5"/>
  <c r="Q31" i="8" s="1"/>
  <c r="Q371" i="8" s="1"/>
  <c r="E1883" i="5"/>
  <c r="I2384" i="5"/>
  <c r="I304" i="8" s="1"/>
  <c r="O1709" i="5"/>
  <c r="O8" i="8" s="1"/>
  <c r="Q1769" i="5"/>
  <c r="Q37" i="8" s="1"/>
  <c r="Q373" i="8" s="1"/>
  <c r="I1770" i="5"/>
  <c r="I2205" i="5"/>
  <c r="X2120" i="5"/>
  <c r="X1839" i="5"/>
  <c r="Q1854" i="5"/>
  <c r="Q67" i="8" s="1"/>
  <c r="I1855" i="5"/>
  <c r="Q1842" i="5"/>
  <c r="Q64" i="8" s="1"/>
  <c r="I1845" i="5"/>
  <c r="W1994" i="5"/>
  <c r="X1994" i="5" s="1"/>
  <c r="L1993" i="5"/>
  <c r="L130" i="8" s="1"/>
  <c r="L2268" i="5"/>
  <c r="L254" i="8" s="1"/>
  <c r="W2273" i="5"/>
  <c r="X2273" i="5" s="1"/>
  <c r="W2046" i="5"/>
  <c r="X2046" i="5" s="1"/>
  <c r="L2043" i="5"/>
  <c r="W1750" i="5"/>
  <c r="L204" i="5"/>
  <c r="P1854" i="5"/>
  <c r="P67" i="8" s="1"/>
  <c r="W1855" i="5"/>
  <c r="X1855" i="5" s="1"/>
  <c r="M1811" i="5"/>
  <c r="M552" i="8" s="1"/>
  <c r="P1842" i="5"/>
  <c r="P64" i="8" s="1"/>
  <c r="W1845" i="5"/>
  <c r="X1845" i="5" s="1"/>
  <c r="G205" i="5"/>
  <c r="N205" i="5" s="1"/>
  <c r="N204" i="5" s="1"/>
  <c r="H22" i="3"/>
  <c r="G342" i="5"/>
  <c r="F346" i="5"/>
  <c r="M342" i="5"/>
  <c r="F345" i="5"/>
  <c r="K71" i="3"/>
  <c r="K82" i="3" s="1"/>
  <c r="K83" i="3" s="1"/>
  <c r="L60" i="3"/>
  <c r="M58" i="3"/>
  <c r="L52" i="3"/>
  <c r="L54" i="3" s="1"/>
  <c r="K70" i="3"/>
  <c r="L17" i="3"/>
  <c r="I216" i="14" l="1"/>
  <c r="D237" i="14"/>
  <c r="D227" i="14"/>
  <c r="I227" i="14"/>
  <c r="Q1883" i="5"/>
  <c r="X1915" i="5"/>
  <c r="I240" i="8"/>
  <c r="I132" i="8"/>
  <c r="H167" i="8"/>
  <c r="I183" i="8"/>
  <c r="AA2279" i="5"/>
  <c r="E154" i="8"/>
  <c r="I197" i="8"/>
  <c r="D156" i="8"/>
  <c r="H130" i="8"/>
  <c r="P492" i="8" s="1"/>
  <c r="F130" i="8"/>
  <c r="N492" i="8" s="1"/>
  <c r="G130" i="8"/>
  <c r="O492" i="8" s="1"/>
  <c r="I99" i="8"/>
  <c r="E101" i="14"/>
  <c r="I124" i="8"/>
  <c r="I50" i="14"/>
  <c r="D65" i="14"/>
  <c r="E65" i="8"/>
  <c r="G74" i="14"/>
  <c r="H74" i="14"/>
  <c r="I38" i="8"/>
  <c r="E81" i="8"/>
  <c r="Z2156" i="5"/>
  <c r="I36" i="8"/>
  <c r="I41" i="8"/>
  <c r="I33" i="8"/>
  <c r="F143" i="8"/>
  <c r="F48" i="8"/>
  <c r="I39" i="8"/>
  <c r="I87" i="8"/>
  <c r="Z1949" i="5"/>
  <c r="E130" i="8"/>
  <c r="M492" i="8" s="1"/>
  <c r="I131" i="8"/>
  <c r="G154" i="8"/>
  <c r="O496" i="8" s="1"/>
  <c r="D28" i="8"/>
  <c r="L484" i="8" s="1"/>
  <c r="I82" i="8"/>
  <c r="H154" i="8"/>
  <c r="F65" i="8"/>
  <c r="G70" i="8"/>
  <c r="G379" i="8" s="1"/>
  <c r="H70" i="8"/>
  <c r="H379" i="8" s="1"/>
  <c r="I59" i="14"/>
  <c r="I74" i="14" s="1"/>
  <c r="D74" i="14"/>
  <c r="E98" i="14"/>
  <c r="E100" i="14"/>
  <c r="E95" i="14"/>
  <c r="F81" i="8"/>
  <c r="D81" i="8"/>
  <c r="I43" i="8"/>
  <c r="F167" i="8"/>
  <c r="E97" i="14"/>
  <c r="E102" i="14"/>
  <c r="E94" i="14"/>
  <c r="Z1855" i="5"/>
  <c r="I230" i="8"/>
  <c r="I191" i="8"/>
  <c r="I152" i="8"/>
  <c r="Z2025" i="5"/>
  <c r="G195" i="8"/>
  <c r="F204" i="8"/>
  <c r="F154" i="8"/>
  <c r="I63" i="8"/>
  <c r="I156" i="8"/>
  <c r="E254" i="8"/>
  <c r="M506" i="8" s="1"/>
  <c r="H95" i="8"/>
  <c r="P489" i="8" s="1"/>
  <c r="I120" i="8"/>
  <c r="F73" i="14"/>
  <c r="F74" i="14"/>
  <c r="D70" i="8"/>
  <c r="D379" i="8" s="1"/>
  <c r="E74" i="14"/>
  <c r="I32" i="8"/>
  <c r="I42" i="8"/>
  <c r="G167" i="8"/>
  <c r="G81" i="8"/>
  <c r="I48" i="8"/>
  <c r="E205" i="8"/>
  <c r="G204" i="8"/>
  <c r="I234" i="8"/>
  <c r="AA2253" i="5"/>
  <c r="H254" i="8"/>
  <c r="P506" i="8" s="1"/>
  <c r="G254" i="8"/>
  <c r="O506" i="8" s="1"/>
  <c r="D131" i="8"/>
  <c r="D256" i="8"/>
  <c r="F254" i="8"/>
  <c r="N506" i="8" s="1"/>
  <c r="I227" i="8"/>
  <c r="I237" i="8"/>
  <c r="D65" i="8"/>
  <c r="F70" i="8"/>
  <c r="F379" i="8" s="1"/>
  <c r="E70" i="8"/>
  <c r="E379" i="8" s="1"/>
  <c r="E104" i="14"/>
  <c r="E99" i="14"/>
  <c r="E103" i="14"/>
  <c r="E96" i="14"/>
  <c r="I91" i="14"/>
  <c r="D36" i="14"/>
  <c r="I30" i="14"/>
  <c r="C231" i="12"/>
  <c r="C230" i="12" s="1"/>
  <c r="I20" i="8"/>
  <c r="F22" i="8"/>
  <c r="E8" i="8"/>
  <c r="I13" i="8"/>
  <c r="I16" i="8"/>
  <c r="G18" i="8"/>
  <c r="I14" i="8"/>
  <c r="D9" i="8"/>
  <c r="L480" i="8" s="1"/>
  <c r="Z1741" i="5"/>
  <c r="I10" i="8"/>
  <c r="G21" i="8"/>
  <c r="B197" i="12"/>
  <c r="B174" i="12" s="1"/>
  <c r="B114" i="12"/>
  <c r="B113" i="12" s="1"/>
  <c r="C64" i="12"/>
  <c r="B92" i="12"/>
  <c r="C214" i="12"/>
  <c r="C191" i="12"/>
  <c r="C190" i="12" s="1"/>
  <c r="C172" i="12"/>
  <c r="C211" i="12"/>
  <c r="C187" i="12"/>
  <c r="C186" i="12" s="1"/>
  <c r="C204" i="12"/>
  <c r="C203" i="12" s="1"/>
  <c r="C141" i="12"/>
  <c r="B128" i="12"/>
  <c r="I290" i="8"/>
  <c r="AA2351" i="5"/>
  <c r="I114" i="8"/>
  <c r="AA1961" i="5"/>
  <c r="I169" i="8"/>
  <c r="I410" i="8" s="1"/>
  <c r="Z2076" i="5"/>
  <c r="I71" i="8"/>
  <c r="Z1862" i="5"/>
  <c r="I211" i="8"/>
  <c r="Z2165" i="5"/>
  <c r="B78" i="12"/>
  <c r="I1915" i="5"/>
  <c r="I343" i="8"/>
  <c r="AA2486" i="5"/>
  <c r="I69" i="8"/>
  <c r="Z1859" i="5"/>
  <c r="I274" i="8"/>
  <c r="AA2316" i="5"/>
  <c r="B94" i="12"/>
  <c r="B58" i="12"/>
  <c r="B57" i="12" s="1"/>
  <c r="B49" i="12" s="1"/>
  <c r="I329" i="8"/>
  <c r="AA2451" i="5"/>
  <c r="I168" i="8"/>
  <c r="Z2073" i="5"/>
  <c r="I256" i="8"/>
  <c r="AA2273" i="5"/>
  <c r="I72" i="8"/>
  <c r="Z1865" i="5"/>
  <c r="B96" i="12"/>
  <c r="C176" i="12"/>
  <c r="C139" i="12"/>
  <c r="B32" i="12"/>
  <c r="C167" i="12"/>
  <c r="C164" i="12" s="1"/>
  <c r="C154" i="12"/>
  <c r="C227" i="12"/>
  <c r="C226" i="12" s="1"/>
  <c r="B31" i="12"/>
  <c r="I287" i="8"/>
  <c r="AA2345" i="5"/>
  <c r="B10" i="12"/>
  <c r="I323" i="8"/>
  <c r="AA2434" i="5"/>
  <c r="I298" i="8"/>
  <c r="Z2367" i="5"/>
  <c r="I279" i="8"/>
  <c r="I441" i="8" s="1"/>
  <c r="AA2327" i="5"/>
  <c r="I73" i="8"/>
  <c r="Z1868" i="5"/>
  <c r="C148" i="12"/>
  <c r="I258" i="8"/>
  <c r="I104" i="8"/>
  <c r="I108" i="8"/>
  <c r="I207" i="8"/>
  <c r="I224" i="8"/>
  <c r="I23" i="8"/>
  <c r="I248" i="8"/>
  <c r="Q505" i="8"/>
  <c r="M503" i="8"/>
  <c r="P662" i="8"/>
  <c r="O503" i="8"/>
  <c r="N503" i="8"/>
  <c r="P503" i="8"/>
  <c r="I1861" i="5"/>
  <c r="Q70" i="8"/>
  <c r="Q379" i="8" s="1"/>
  <c r="O512" i="8"/>
  <c r="Q81" i="8"/>
  <c r="Q382" i="8" s="1"/>
  <c r="Q464" i="8" s="1"/>
  <c r="E2321" i="5"/>
  <c r="E276" i="8" s="1"/>
  <c r="M2289" i="5"/>
  <c r="H2175" i="5"/>
  <c r="W2322" i="5"/>
  <c r="X2322" i="5" s="1"/>
  <c r="X1861" i="5"/>
  <c r="W1883" i="5"/>
  <c r="X1883" i="5" s="1"/>
  <c r="H1883" i="5"/>
  <c r="O487" i="8"/>
  <c r="Q490" i="8"/>
  <c r="O481" i="8"/>
  <c r="P487" i="8"/>
  <c r="X2072" i="5"/>
  <c r="Q489" i="8"/>
  <c r="Q500" i="8"/>
  <c r="N487" i="8"/>
  <c r="M487" i="8"/>
  <c r="M479" i="8"/>
  <c r="L479" i="8"/>
  <c r="Q480" i="8"/>
  <c r="Q488" i="8"/>
  <c r="L433" i="8"/>
  <c r="D187" i="14" s="1"/>
  <c r="N367" i="8"/>
  <c r="F34" i="14" s="1"/>
  <c r="L487" i="8"/>
  <c r="M462" i="8"/>
  <c r="E251" i="14" s="1"/>
  <c r="L154" i="8"/>
  <c r="L396" i="8"/>
  <c r="D110" i="14" s="1"/>
  <c r="O362" i="8"/>
  <c r="L362" i="8"/>
  <c r="Q484" i="8"/>
  <c r="L464" i="8"/>
  <c r="D253" i="14" s="1"/>
  <c r="E2175" i="5"/>
  <c r="H1842" i="5"/>
  <c r="X1753" i="5"/>
  <c r="I2043" i="5"/>
  <c r="I2268" i="5"/>
  <c r="F2175" i="5"/>
  <c r="I1854" i="5"/>
  <c r="D2268" i="5"/>
  <c r="Q1826" i="5"/>
  <c r="Q58" i="8" s="1"/>
  <c r="Q377" i="8" s="1"/>
  <c r="X1769" i="5"/>
  <c r="W2148" i="5"/>
  <c r="H1854" i="5"/>
  <c r="D2043" i="5"/>
  <c r="D1993" i="5"/>
  <c r="X1716" i="5"/>
  <c r="I1993" i="5"/>
  <c r="I2072" i="5"/>
  <c r="G2175" i="5"/>
  <c r="Q2175" i="5"/>
  <c r="X1764" i="5"/>
  <c r="I1764" i="5"/>
  <c r="X1710" i="5"/>
  <c r="Q1846" i="5"/>
  <c r="Q65" i="8" s="1"/>
  <c r="Q378" i="8" s="1"/>
  <c r="X2149" i="5"/>
  <c r="I1751" i="5"/>
  <c r="Q1750" i="5"/>
  <c r="I2023" i="5"/>
  <c r="Q2022" i="5"/>
  <c r="Q143" i="8" s="1"/>
  <c r="Q400" i="8" s="1"/>
  <c r="Q53" i="5"/>
  <c r="V54" i="5"/>
  <c r="H2023" i="5"/>
  <c r="P2022" i="5"/>
  <c r="P143" i="8" s="1"/>
  <c r="W2023" i="5"/>
  <c r="X2023" i="5" s="1"/>
  <c r="I1883" i="5"/>
  <c r="H2049" i="5"/>
  <c r="W2049" i="5"/>
  <c r="X2049" i="5" s="1"/>
  <c r="H883" i="5"/>
  <c r="N883" i="5"/>
  <c r="N882" i="5" s="1"/>
  <c r="N2147" i="5" s="1"/>
  <c r="N574" i="8" s="1"/>
  <c r="N670" i="8" s="1"/>
  <c r="P1733" i="5"/>
  <c r="I1710" i="5"/>
  <c r="I1716" i="5"/>
  <c r="X1751" i="5"/>
  <c r="I1725" i="5"/>
  <c r="I1755" i="5"/>
  <c r="F1737" i="5"/>
  <c r="Q68" i="5"/>
  <c r="V69" i="5"/>
  <c r="I2129" i="5"/>
  <c r="Q2128" i="5"/>
  <c r="Q195" i="8" s="1"/>
  <c r="X1755" i="5"/>
  <c r="D2010" i="5"/>
  <c r="W2010" i="5"/>
  <c r="X2010" i="5" s="1"/>
  <c r="D1709" i="5"/>
  <c r="H2148" i="5"/>
  <c r="I2010" i="5"/>
  <c r="F2150" i="5"/>
  <c r="Q895" i="5"/>
  <c r="E2147" i="5"/>
  <c r="M2146" i="5"/>
  <c r="M203" i="8" s="1"/>
  <c r="I2049" i="5"/>
  <c r="G1709" i="5"/>
  <c r="F1732" i="5"/>
  <c r="N1731" i="5"/>
  <c r="N18" i="8" s="1"/>
  <c r="D2147" i="5"/>
  <c r="L2146" i="5"/>
  <c r="L203" i="8" s="1"/>
  <c r="I1769" i="5"/>
  <c r="H1740" i="5"/>
  <c r="P1738" i="5"/>
  <c r="P22" i="8" s="1"/>
  <c r="W1740" i="5"/>
  <c r="L93" i="3"/>
  <c r="L102" i="3"/>
  <c r="L96" i="3"/>
  <c r="L98" i="3" s="1"/>
  <c r="M90" i="3"/>
  <c r="H2129" i="5"/>
  <c r="P2128" i="5"/>
  <c r="P195" i="8" s="1"/>
  <c r="W2129" i="5"/>
  <c r="X2129" i="5" s="1"/>
  <c r="I2149" i="5"/>
  <c r="Q2148" i="5"/>
  <c r="Q204" i="8" s="1"/>
  <c r="M49" i="3"/>
  <c r="L69" i="3"/>
  <c r="L50" i="3"/>
  <c r="P896" i="5"/>
  <c r="Q896" i="5" s="1"/>
  <c r="J896" i="5"/>
  <c r="I1753" i="5"/>
  <c r="X1725" i="5"/>
  <c r="G2153" i="5"/>
  <c r="O2150" i="5"/>
  <c r="O205" i="8" s="1"/>
  <c r="I1842" i="5"/>
  <c r="M1810" i="5"/>
  <c r="M52" i="8" s="1"/>
  <c r="E1811" i="5"/>
  <c r="W2043" i="5"/>
  <c r="X2043" i="5" s="1"/>
  <c r="L2175" i="5"/>
  <c r="L216" i="8" s="1"/>
  <c r="W2268" i="5"/>
  <c r="X2268" i="5" s="1"/>
  <c r="W1993" i="5"/>
  <c r="X1993" i="5" s="1"/>
  <c r="M346" i="5"/>
  <c r="P1826" i="5"/>
  <c r="P58" i="8" s="1"/>
  <c r="W1842" i="5"/>
  <c r="X1842" i="5" s="1"/>
  <c r="P1846" i="5"/>
  <c r="P65" i="8" s="1"/>
  <c r="W1854" i="5"/>
  <c r="X1854" i="5" s="1"/>
  <c r="N342" i="5"/>
  <c r="N341" i="5" s="1"/>
  <c r="N1880" i="5" s="1"/>
  <c r="G346" i="5"/>
  <c r="N346" i="5" s="1"/>
  <c r="H342" i="5"/>
  <c r="G345" i="5"/>
  <c r="N345" i="5" s="1"/>
  <c r="M341" i="5"/>
  <c r="H205" i="5"/>
  <c r="O205" i="5" s="1"/>
  <c r="O204" i="5" s="1"/>
  <c r="I22" i="3"/>
  <c r="M345" i="5"/>
  <c r="N1811" i="5"/>
  <c r="N552" i="8" s="1"/>
  <c r="L1811" i="5"/>
  <c r="L70" i="3"/>
  <c r="M17" i="3"/>
  <c r="N58" i="3"/>
  <c r="M52" i="3"/>
  <c r="M54" i="3" s="1"/>
  <c r="L71" i="3"/>
  <c r="L82" i="3" s="1"/>
  <c r="L83" i="3" s="1"/>
  <c r="M60" i="3"/>
  <c r="I253" i="14" l="1"/>
  <c r="I95" i="8"/>
  <c r="I64" i="8"/>
  <c r="I30" i="8"/>
  <c r="I158" i="8"/>
  <c r="F205" i="8"/>
  <c r="I31" i="8"/>
  <c r="I130" i="8"/>
  <c r="H67" i="8"/>
  <c r="D254" i="8"/>
  <c r="L506" i="8" s="1"/>
  <c r="I154" i="8"/>
  <c r="I110" i="14"/>
  <c r="D120" i="14"/>
  <c r="E120" i="14" s="1"/>
  <c r="O479" i="8"/>
  <c r="I29" i="8"/>
  <c r="I34" i="8"/>
  <c r="D154" i="8"/>
  <c r="L496" i="8" s="1"/>
  <c r="E216" i="8"/>
  <c r="H81" i="8"/>
  <c r="H216" i="8"/>
  <c r="I138" i="8"/>
  <c r="D138" i="8"/>
  <c r="H158" i="8"/>
  <c r="H144" i="8"/>
  <c r="Z2023" i="5"/>
  <c r="Z1854" i="5"/>
  <c r="D203" i="14"/>
  <c r="E203" i="14" s="1"/>
  <c r="I187" i="14"/>
  <c r="I189" i="14" s="1"/>
  <c r="D189" i="14"/>
  <c r="Z1861" i="5"/>
  <c r="I37" i="8"/>
  <c r="H204" i="8"/>
  <c r="G216" i="8"/>
  <c r="D130" i="8"/>
  <c r="L492" i="8" s="1"/>
  <c r="F216" i="8"/>
  <c r="H64" i="8"/>
  <c r="I65" i="14"/>
  <c r="G8" i="8"/>
  <c r="D8" i="8"/>
  <c r="F21" i="8"/>
  <c r="I11" i="8"/>
  <c r="I9" i="8"/>
  <c r="I15" i="8"/>
  <c r="F19" i="8"/>
  <c r="C138" i="12"/>
  <c r="B91" i="12"/>
  <c r="B41" i="12"/>
  <c r="B88" i="12"/>
  <c r="C175" i="12"/>
  <c r="B38" i="12"/>
  <c r="C49" i="12"/>
  <c r="I167" i="8"/>
  <c r="Z2072" i="5"/>
  <c r="I254" i="8"/>
  <c r="AA2268" i="5"/>
  <c r="B76" i="12"/>
  <c r="B30" i="12"/>
  <c r="B44" i="12"/>
  <c r="C158" i="12"/>
  <c r="C153" i="12" s="1"/>
  <c r="C131" i="12" s="1"/>
  <c r="B35" i="12"/>
  <c r="I144" i="8"/>
  <c r="I67" i="8"/>
  <c r="I70" i="8"/>
  <c r="I379" i="8" s="1"/>
  <c r="I81" i="8"/>
  <c r="D1811" i="5"/>
  <c r="L552" i="8"/>
  <c r="L512" i="8"/>
  <c r="L503" i="8"/>
  <c r="Q503" i="8" s="1"/>
  <c r="E440" i="8"/>
  <c r="M510" i="8"/>
  <c r="M507" i="8" s="1"/>
  <c r="Q216" i="8"/>
  <c r="Q421" i="8" s="1"/>
  <c r="Q468" i="8" s="1"/>
  <c r="Q28" i="8"/>
  <c r="Q370" i="8" s="1"/>
  <c r="U84" i="5"/>
  <c r="D2321" i="5"/>
  <c r="D276" i="8" s="1"/>
  <c r="L2289" i="5"/>
  <c r="H2321" i="5"/>
  <c r="H276" i="8" s="1"/>
  <c r="P2289" i="5"/>
  <c r="G2321" i="5"/>
  <c r="G276" i="8" s="1"/>
  <c r="O2289" i="5"/>
  <c r="M263" i="8"/>
  <c r="M435" i="8" s="1"/>
  <c r="M469" i="8" s="1"/>
  <c r="E258" i="14" s="1"/>
  <c r="E2289" i="5"/>
  <c r="E263" i="8" s="1"/>
  <c r="F2321" i="5"/>
  <c r="F276" i="8" s="1"/>
  <c r="N2289" i="5"/>
  <c r="W2321" i="5"/>
  <c r="I1826" i="5"/>
  <c r="Q487" i="8"/>
  <c r="P400" i="8"/>
  <c r="H114" i="14" s="1"/>
  <c r="P378" i="8"/>
  <c r="H58" i="14" s="1"/>
  <c r="L462" i="8"/>
  <c r="D251" i="14" s="1"/>
  <c r="O462" i="8"/>
  <c r="G251" i="14" s="1"/>
  <c r="N366" i="8"/>
  <c r="F33" i="14" s="1"/>
  <c r="P377" i="8"/>
  <c r="H57" i="14" s="1"/>
  <c r="L421" i="8"/>
  <c r="Q492" i="8"/>
  <c r="L405" i="8"/>
  <c r="D133" i="14" s="1"/>
  <c r="E1810" i="5"/>
  <c r="X1750" i="5"/>
  <c r="H1826" i="5"/>
  <c r="D2175" i="5"/>
  <c r="X2148" i="5"/>
  <c r="H1846" i="5"/>
  <c r="I2175" i="5"/>
  <c r="I1846" i="5"/>
  <c r="D2146" i="5"/>
  <c r="L2145" i="5"/>
  <c r="L202" i="8" s="1"/>
  <c r="H1733" i="5"/>
  <c r="P1732" i="5"/>
  <c r="P19" i="8" s="1"/>
  <c r="W1733" i="5"/>
  <c r="H2022" i="5"/>
  <c r="W2022" i="5"/>
  <c r="X2022" i="5" s="1"/>
  <c r="N49" i="3"/>
  <c r="M50" i="3"/>
  <c r="M69" i="3"/>
  <c r="F2147" i="5"/>
  <c r="N2146" i="5"/>
  <c r="N203" i="8" s="1"/>
  <c r="I1750" i="5"/>
  <c r="H2128" i="5"/>
  <c r="W2128" i="5"/>
  <c r="X2128" i="5" s="1"/>
  <c r="M102" i="3"/>
  <c r="N90" i="3"/>
  <c r="M93" i="3"/>
  <c r="M96" i="3"/>
  <c r="M98" i="3" s="1"/>
  <c r="P894" i="5"/>
  <c r="P2153" i="5" s="1"/>
  <c r="Q1740" i="5"/>
  <c r="V68" i="5"/>
  <c r="I883" i="5"/>
  <c r="O883" i="5"/>
  <c r="O882" i="5" s="1"/>
  <c r="O2147" i="5" s="1"/>
  <c r="O574" i="8" s="1"/>
  <c r="O670" i="8" s="1"/>
  <c r="Q1733" i="5"/>
  <c r="V53" i="5"/>
  <c r="G2150" i="5"/>
  <c r="I2148" i="5"/>
  <c r="H1738" i="5"/>
  <c r="P1737" i="5"/>
  <c r="P21" i="8" s="1"/>
  <c r="W1738" i="5"/>
  <c r="F1731" i="5"/>
  <c r="N1709" i="5"/>
  <c r="N8" i="8" s="1"/>
  <c r="E2146" i="5"/>
  <c r="M2145" i="5"/>
  <c r="M202" i="8" s="1"/>
  <c r="M418" i="8" s="1"/>
  <c r="E160" i="14" s="1"/>
  <c r="Q894" i="5"/>
  <c r="Q2153" i="5" s="1"/>
  <c r="I2128" i="5"/>
  <c r="I2022" i="5"/>
  <c r="M1796" i="5"/>
  <c r="N1879" i="5"/>
  <c r="N79" i="8" s="1"/>
  <c r="F1880" i="5"/>
  <c r="N1810" i="5"/>
  <c r="N52" i="8" s="1"/>
  <c r="F1811" i="5"/>
  <c r="W2175" i="5"/>
  <c r="X2175" i="5" s="1"/>
  <c r="N344" i="5"/>
  <c r="I205" i="5"/>
  <c r="P205" i="5" s="1"/>
  <c r="P204" i="5" s="1"/>
  <c r="M1880" i="5"/>
  <c r="I342" i="5"/>
  <c r="J342" i="5" s="1"/>
  <c r="O342" i="5"/>
  <c r="H346" i="5"/>
  <c r="O346" i="5" s="1"/>
  <c r="H345" i="5"/>
  <c r="O345" i="5" s="1"/>
  <c r="L1810" i="5"/>
  <c r="L52" i="8" s="1"/>
  <c r="W1846" i="5"/>
  <c r="X1846" i="5" s="1"/>
  <c r="M344" i="5"/>
  <c r="M1882" i="5" s="1"/>
  <c r="E1882" i="5" s="1"/>
  <c r="O1811" i="5"/>
  <c r="O552" i="8" s="1"/>
  <c r="W1826" i="5"/>
  <c r="X1826" i="5" s="1"/>
  <c r="M71" i="3"/>
  <c r="M82" i="3" s="1"/>
  <c r="M83" i="3" s="1"/>
  <c r="N60" i="3"/>
  <c r="N71" i="3" s="1"/>
  <c r="N17" i="3"/>
  <c r="N70" i="3" s="1"/>
  <c r="M70" i="3"/>
  <c r="N52" i="3"/>
  <c r="N54" i="3" s="1"/>
  <c r="N65" i="3"/>
  <c r="N66" i="3" s="1"/>
  <c r="I195" i="8" l="1"/>
  <c r="I28" i="8"/>
  <c r="D203" i="8"/>
  <c r="E52" i="8"/>
  <c r="H73" i="14"/>
  <c r="I58" i="14"/>
  <c r="I73" i="14" s="1"/>
  <c r="D216" i="8"/>
  <c r="D145" i="14"/>
  <c r="E145" i="14" s="1"/>
  <c r="I133" i="14"/>
  <c r="I114" i="14"/>
  <c r="H72" i="14"/>
  <c r="I57" i="14"/>
  <c r="I72" i="14" s="1"/>
  <c r="H58" i="8"/>
  <c r="Q506" i="8"/>
  <c r="I204" i="8"/>
  <c r="G205" i="8"/>
  <c r="Z2022" i="5"/>
  <c r="E203" i="8"/>
  <c r="H195" i="8"/>
  <c r="H143" i="8"/>
  <c r="H65" i="8"/>
  <c r="I58" i="8"/>
  <c r="F36" i="14"/>
  <c r="H22" i="8"/>
  <c r="F18" i="8"/>
  <c r="N481" i="8" s="1"/>
  <c r="B37" i="12"/>
  <c r="B22" i="12"/>
  <c r="B87" i="12"/>
  <c r="B86" i="12" s="1"/>
  <c r="B75" i="12"/>
  <c r="I65" i="8"/>
  <c r="Z1846" i="5"/>
  <c r="I216" i="8"/>
  <c r="I143" i="8"/>
  <c r="E1880" i="5"/>
  <c r="M542" i="8"/>
  <c r="M659" i="8" s="1"/>
  <c r="X1740" i="5"/>
  <c r="Q565" i="8"/>
  <c r="Q662" i="8" s="1"/>
  <c r="F440" i="8"/>
  <c r="N510" i="8"/>
  <c r="N507" i="8" s="1"/>
  <c r="G440" i="8"/>
  <c r="O510" i="8"/>
  <c r="O507" i="8" s="1"/>
  <c r="D440" i="8"/>
  <c r="L510" i="8"/>
  <c r="H440" i="8"/>
  <c r="P510" i="8"/>
  <c r="P507" i="8" s="1"/>
  <c r="M47" i="8"/>
  <c r="M375" i="8" s="1"/>
  <c r="E55" i="14" s="1"/>
  <c r="P263" i="8"/>
  <c r="P435" i="8" s="1"/>
  <c r="P469" i="8" s="1"/>
  <c r="H258" i="14" s="1"/>
  <c r="H2289" i="5"/>
  <c r="H263" i="8" s="1"/>
  <c r="I2321" i="5"/>
  <c r="Q2289" i="5"/>
  <c r="N263" i="8"/>
  <c r="N435" i="8" s="1"/>
  <c r="N469" i="8" s="1"/>
  <c r="F258" i="14" s="1"/>
  <c r="F2289" i="5"/>
  <c r="F263" i="8" s="1"/>
  <c r="O263" i="8"/>
  <c r="O435" i="8" s="1"/>
  <c r="O469" i="8" s="1"/>
  <c r="G258" i="14" s="1"/>
  <c r="G2289" i="5"/>
  <c r="G263" i="8" s="1"/>
  <c r="L263" i="8"/>
  <c r="L435" i="8" s="1"/>
  <c r="L469" i="8" s="1"/>
  <c r="D258" i="14" s="1"/>
  <c r="W2289" i="5"/>
  <c r="D2289" i="5"/>
  <c r="D263" i="8" s="1"/>
  <c r="X2321" i="5"/>
  <c r="P367" i="8"/>
  <c r="H34" i="14" s="1"/>
  <c r="L418" i="8"/>
  <c r="D160" i="14" s="1"/>
  <c r="N362" i="8"/>
  <c r="N479" i="8"/>
  <c r="L468" i="8"/>
  <c r="D257" i="14" s="1"/>
  <c r="E1796" i="5"/>
  <c r="F1810" i="5"/>
  <c r="F1879" i="5"/>
  <c r="D1810" i="5"/>
  <c r="H2153" i="5"/>
  <c r="P2150" i="5"/>
  <c r="P205" i="8" s="1"/>
  <c r="W2153" i="5"/>
  <c r="X2153" i="5" s="1"/>
  <c r="F2146" i="5"/>
  <c r="N2145" i="5"/>
  <c r="N202" i="8" s="1"/>
  <c r="N418" i="8" s="1"/>
  <c r="F160" i="14" s="1"/>
  <c r="E2145" i="5"/>
  <c r="H1737" i="5"/>
  <c r="W1737" i="5"/>
  <c r="X1733" i="5"/>
  <c r="D2145" i="5"/>
  <c r="G2147" i="5"/>
  <c r="O2146" i="5"/>
  <c r="O203" i="8" s="1"/>
  <c r="I1740" i="5"/>
  <c r="Q1738" i="5"/>
  <c r="Q22" i="8" s="1"/>
  <c r="N102" i="3"/>
  <c r="N96" i="3"/>
  <c r="N98" i="3" s="1"/>
  <c r="N93" i="3"/>
  <c r="E94" i="3" s="1"/>
  <c r="P1731" i="5"/>
  <c r="P18" i="8" s="1"/>
  <c r="H1732" i="5"/>
  <c r="W1732" i="5"/>
  <c r="P883" i="5"/>
  <c r="P882" i="5" s="1"/>
  <c r="P2147" i="5" s="1"/>
  <c r="P574" i="8" s="1"/>
  <c r="P670" i="8" s="1"/>
  <c r="J883" i="5"/>
  <c r="I2153" i="5"/>
  <c r="Q2150" i="5"/>
  <c r="Q205" i="8" s="1"/>
  <c r="F1709" i="5"/>
  <c r="I1733" i="5"/>
  <c r="Q1732" i="5"/>
  <c r="Q19" i="8" s="1"/>
  <c r="N51" i="3"/>
  <c r="N69" i="3"/>
  <c r="N50" i="3"/>
  <c r="N1796" i="5"/>
  <c r="O1810" i="5"/>
  <c r="O52" i="8" s="1"/>
  <c r="G1811" i="5"/>
  <c r="J205" i="5"/>
  <c r="Q205" i="5"/>
  <c r="Q204" i="5" s="1"/>
  <c r="N1882" i="5"/>
  <c r="I345" i="5"/>
  <c r="I346" i="5"/>
  <c r="P346" i="5" s="1"/>
  <c r="Q346" i="5" s="1"/>
  <c r="P342" i="5"/>
  <c r="P341" i="5" s="1"/>
  <c r="P1880" i="5" s="1"/>
  <c r="M1881" i="5"/>
  <c r="M80" i="8" s="1"/>
  <c r="O344" i="5"/>
  <c r="O1882" i="5" s="1"/>
  <c r="M1879" i="5"/>
  <c r="M79" i="8" s="1"/>
  <c r="P1811" i="5"/>
  <c r="P552" i="8" s="1"/>
  <c r="L1796" i="5"/>
  <c r="O341" i="5"/>
  <c r="J55" i="3"/>
  <c r="N55" i="3"/>
  <c r="G55" i="3"/>
  <c r="G625" i="5" s="1"/>
  <c r="N625" i="5" s="1"/>
  <c r="N624" i="5" s="1"/>
  <c r="N2014" i="5" s="1"/>
  <c r="K55" i="3"/>
  <c r="F55" i="3"/>
  <c r="F625" i="5" s="1"/>
  <c r="H55" i="3"/>
  <c r="H625" i="5" s="1"/>
  <c r="O625" i="5" s="1"/>
  <c r="O624" i="5" s="1"/>
  <c r="O2014" i="5" s="1"/>
  <c r="L55" i="3"/>
  <c r="I55" i="3"/>
  <c r="I625" i="5" s="1"/>
  <c r="P625" i="5" s="1"/>
  <c r="P624" i="5" s="1"/>
  <c r="P2014" i="5" s="1"/>
  <c r="M55" i="3"/>
  <c r="N75" i="3"/>
  <c r="N82" i="3"/>
  <c r="N83" i="3" s="1"/>
  <c r="E84" i="3" s="1"/>
  <c r="E85" i="3" s="1"/>
  <c r="E730" i="5" s="1"/>
  <c r="K66" i="3"/>
  <c r="G66" i="3"/>
  <c r="G618" i="5" s="1"/>
  <c r="N618" i="5" s="1"/>
  <c r="N617" i="5" s="1"/>
  <c r="N2009" i="5" s="1"/>
  <c r="J66" i="3"/>
  <c r="F66" i="3"/>
  <c r="F618" i="5" s="1"/>
  <c r="M618" i="5" s="1"/>
  <c r="M617" i="5" s="1"/>
  <c r="M2009" i="5" s="1"/>
  <c r="H66" i="3"/>
  <c r="H618" i="5" s="1"/>
  <c r="O618" i="5" s="1"/>
  <c r="O617" i="5" s="1"/>
  <c r="O2009" i="5" s="1"/>
  <c r="M66" i="3"/>
  <c r="E66" i="3"/>
  <c r="E618" i="5" s="1"/>
  <c r="L66" i="3"/>
  <c r="I66" i="3"/>
  <c r="I618" i="5" s="1"/>
  <c r="P618" i="5" s="1"/>
  <c r="P617" i="5" s="1"/>
  <c r="P2009" i="5" s="1"/>
  <c r="M77" i="3"/>
  <c r="I77" i="3"/>
  <c r="I707" i="5" s="1"/>
  <c r="P707" i="5" s="1"/>
  <c r="P706" i="5" s="1"/>
  <c r="P2057" i="5" s="1"/>
  <c r="E77" i="3"/>
  <c r="E707" i="5" s="1"/>
  <c r="L77" i="3"/>
  <c r="H77" i="3"/>
  <c r="H707" i="5" s="1"/>
  <c r="O707" i="5" s="1"/>
  <c r="O706" i="5" s="1"/>
  <c r="O2057" i="5" s="1"/>
  <c r="N77" i="3"/>
  <c r="F77" i="3"/>
  <c r="F707" i="5" s="1"/>
  <c r="M707" i="5" s="1"/>
  <c r="M706" i="5" s="1"/>
  <c r="M2057" i="5" s="1"/>
  <c r="K77" i="3"/>
  <c r="J77" i="3"/>
  <c r="G77" i="3"/>
  <c r="G707" i="5" s="1"/>
  <c r="N707" i="5" s="1"/>
  <c r="N706" i="5" s="1"/>
  <c r="N2057" i="5" s="1"/>
  <c r="I257" i="14" l="1"/>
  <c r="I258" i="14"/>
  <c r="F79" i="8"/>
  <c r="E70" i="14"/>
  <c r="F203" i="8"/>
  <c r="D52" i="8"/>
  <c r="D202" i="8"/>
  <c r="E202" i="8"/>
  <c r="F52" i="8"/>
  <c r="E47" i="8"/>
  <c r="M485" i="8" s="1"/>
  <c r="D170" i="14"/>
  <c r="I34" i="14"/>
  <c r="H19" i="8"/>
  <c r="H21" i="8"/>
  <c r="F8" i="8"/>
  <c r="Z1740" i="5"/>
  <c r="B18" i="12"/>
  <c r="I276" i="8"/>
  <c r="I440" i="8" s="1"/>
  <c r="AA2321" i="5"/>
  <c r="B9" i="12"/>
  <c r="L514" i="8"/>
  <c r="L507" i="8"/>
  <c r="Q507" i="8" s="1"/>
  <c r="Q510" i="8"/>
  <c r="Q1811" i="5"/>
  <c r="Q1810" i="5" s="1"/>
  <c r="Q52" i="8" s="1"/>
  <c r="N47" i="8"/>
  <c r="N375" i="8" s="1"/>
  <c r="F55" i="14" s="1"/>
  <c r="L47" i="8"/>
  <c r="L375" i="8" s="1"/>
  <c r="D55" i="14" s="1"/>
  <c r="L1749" i="5"/>
  <c r="L27" i="8" s="1"/>
  <c r="X2289" i="5"/>
  <c r="Q263" i="8"/>
  <c r="Q435" i="8" s="1"/>
  <c r="Q469" i="8" s="1"/>
  <c r="I2289" i="5"/>
  <c r="P366" i="8"/>
  <c r="H33" i="14" s="1"/>
  <c r="N462" i="8"/>
  <c r="F251" i="14" s="1"/>
  <c r="E1879" i="5"/>
  <c r="F1796" i="5"/>
  <c r="X1738" i="5"/>
  <c r="D1796" i="5"/>
  <c r="G1810" i="5"/>
  <c r="Q883" i="5"/>
  <c r="Q882" i="5" s="1"/>
  <c r="Q2147" i="5" s="1"/>
  <c r="X1732" i="5"/>
  <c r="E2057" i="5"/>
  <c r="M2056" i="5"/>
  <c r="M160" i="8" s="1"/>
  <c r="E2009" i="5"/>
  <c r="M2006" i="5"/>
  <c r="M137" i="8" s="1"/>
  <c r="F2057" i="5"/>
  <c r="N2056" i="5"/>
  <c r="N160" i="8" s="1"/>
  <c r="J618" i="5"/>
  <c r="L618" i="5"/>
  <c r="I2150" i="5"/>
  <c r="H2147" i="5"/>
  <c r="P2146" i="5"/>
  <c r="P203" i="8" s="1"/>
  <c r="I1738" i="5"/>
  <c r="Q1737" i="5"/>
  <c r="Q21" i="8" s="1"/>
  <c r="Q367" i="8" s="1"/>
  <c r="H1731" i="5"/>
  <c r="P1709" i="5"/>
  <c r="P8" i="8" s="1"/>
  <c r="W1731" i="5"/>
  <c r="G2146" i="5"/>
  <c r="O2145" i="5"/>
  <c r="O202" i="8" s="1"/>
  <c r="O418" i="8" s="1"/>
  <c r="G160" i="14" s="1"/>
  <c r="H2057" i="5"/>
  <c r="P2056" i="5"/>
  <c r="P160" i="8" s="1"/>
  <c r="G2014" i="5"/>
  <c r="O2013" i="5"/>
  <c r="O140" i="8" s="1"/>
  <c r="G2057" i="5"/>
  <c r="O2056" i="5"/>
  <c r="O160" i="8" s="1"/>
  <c r="F2009" i="5"/>
  <c r="N2006" i="5"/>
  <c r="N137" i="8" s="1"/>
  <c r="J625" i="5"/>
  <c r="M625" i="5"/>
  <c r="E640" i="5"/>
  <c r="E631" i="5"/>
  <c r="E56" i="3"/>
  <c r="F56" i="3" s="1"/>
  <c r="G56" i="3" s="1"/>
  <c r="H56" i="3" s="1"/>
  <c r="I56" i="3" s="1"/>
  <c r="J56" i="3" s="1"/>
  <c r="K56" i="3" s="1"/>
  <c r="L56" i="3" s="1"/>
  <c r="M56" i="3" s="1"/>
  <c r="N56" i="3" s="1"/>
  <c r="I1732" i="5"/>
  <c r="Q1731" i="5"/>
  <c r="Q18" i="8" s="1"/>
  <c r="Q366" i="8" s="1"/>
  <c r="E855" i="5"/>
  <c r="F94" i="3"/>
  <c r="G94" i="3" s="1"/>
  <c r="H94" i="3" s="1"/>
  <c r="I94" i="3" s="1"/>
  <c r="J94" i="3" s="1"/>
  <c r="K94" i="3" s="1"/>
  <c r="L94" i="3" s="1"/>
  <c r="M94" i="3" s="1"/>
  <c r="N94" i="3" s="1"/>
  <c r="F2145" i="5"/>
  <c r="H2150" i="5"/>
  <c r="W2150" i="5"/>
  <c r="X2150" i="5" s="1"/>
  <c r="L707" i="5"/>
  <c r="J707" i="5"/>
  <c r="L730" i="5"/>
  <c r="F730" i="5"/>
  <c r="F2014" i="5"/>
  <c r="N2013" i="5"/>
  <c r="N140" i="8" s="1"/>
  <c r="J51" i="3"/>
  <c r="E51" i="3"/>
  <c r="E608" i="5" s="1"/>
  <c r="H51" i="3"/>
  <c r="H608" i="5" s="1"/>
  <c r="O608" i="5" s="1"/>
  <c r="O607" i="5" s="1"/>
  <c r="O2005" i="5" s="1"/>
  <c r="I51" i="3"/>
  <c r="I608" i="5" s="1"/>
  <c r="P608" i="5" s="1"/>
  <c r="P607" i="5" s="1"/>
  <c r="P2005" i="5" s="1"/>
  <c r="F51" i="3"/>
  <c r="F608" i="5" s="1"/>
  <c r="M608" i="5" s="1"/>
  <c r="M607" i="5" s="1"/>
  <c r="G51" i="3"/>
  <c r="G608" i="5" s="1"/>
  <c r="N608" i="5" s="1"/>
  <c r="N607" i="5" s="1"/>
  <c r="M51" i="3"/>
  <c r="L51" i="3"/>
  <c r="K51" i="3"/>
  <c r="H2009" i="5"/>
  <c r="P2006" i="5"/>
  <c r="P137" i="8" s="1"/>
  <c r="G2009" i="5"/>
  <c r="O2006" i="5"/>
  <c r="O137" i="8" s="1"/>
  <c r="H2014" i="5"/>
  <c r="P2013" i="5"/>
  <c r="P140" i="8" s="1"/>
  <c r="E78" i="3"/>
  <c r="E80" i="3"/>
  <c r="W2147" i="5"/>
  <c r="O1796" i="5"/>
  <c r="E1881" i="5"/>
  <c r="P1879" i="5"/>
  <c r="P79" i="8" s="1"/>
  <c r="H1880" i="5"/>
  <c r="N1881" i="5"/>
  <c r="N80" i="8" s="1"/>
  <c r="F1882" i="5"/>
  <c r="P1810" i="5"/>
  <c r="P52" i="8" s="1"/>
  <c r="H1811" i="5"/>
  <c r="O1881" i="5"/>
  <c r="O80" i="8" s="1"/>
  <c r="G1882" i="5"/>
  <c r="Q342" i="5"/>
  <c r="Q341" i="5" s="1"/>
  <c r="Q1880" i="5" s="1"/>
  <c r="W1811" i="5"/>
  <c r="M1878" i="5"/>
  <c r="O1880" i="5"/>
  <c r="J346" i="5"/>
  <c r="P345" i="5"/>
  <c r="J345" i="5"/>
  <c r="K75" i="3"/>
  <c r="G75" i="3"/>
  <c r="G704" i="5" s="1"/>
  <c r="N704" i="5" s="1"/>
  <c r="N703" i="5" s="1"/>
  <c r="N2055" i="5" s="1"/>
  <c r="J75" i="3"/>
  <c r="F75" i="3"/>
  <c r="F704" i="5" s="1"/>
  <c r="M704" i="5" s="1"/>
  <c r="M703" i="5" s="1"/>
  <c r="M2055" i="5" s="1"/>
  <c r="H75" i="3"/>
  <c r="H704" i="5" s="1"/>
  <c r="O704" i="5" s="1"/>
  <c r="O703" i="5" s="1"/>
  <c r="O2055" i="5" s="1"/>
  <c r="M75" i="3"/>
  <c r="E75" i="3"/>
  <c r="E704" i="5" s="1"/>
  <c r="L75" i="3"/>
  <c r="I75" i="3"/>
  <c r="I704" i="5" s="1"/>
  <c r="P704" i="5" s="1"/>
  <c r="P703" i="5" s="1"/>
  <c r="P2055" i="5" s="1"/>
  <c r="H205" i="8" l="1"/>
  <c r="G203" i="8"/>
  <c r="I205" i="8"/>
  <c r="D47" i="8"/>
  <c r="L485" i="8" s="1"/>
  <c r="E80" i="8"/>
  <c r="F202" i="8"/>
  <c r="F47" i="8"/>
  <c r="N485" i="8" s="1"/>
  <c r="D70" i="14"/>
  <c r="D62" i="14"/>
  <c r="G52" i="8"/>
  <c r="E79" i="8"/>
  <c r="F70" i="14"/>
  <c r="H36" i="14"/>
  <c r="I33" i="14"/>
  <c r="I19" i="8"/>
  <c r="Z1738" i="5"/>
  <c r="H18" i="8"/>
  <c r="P481" i="8" s="1"/>
  <c r="I263" i="8"/>
  <c r="AA2289" i="5"/>
  <c r="C180" i="12"/>
  <c r="C174" i="12" s="1"/>
  <c r="C239" i="12" s="1"/>
  <c r="D240" i="12" s="1"/>
  <c r="B7" i="12"/>
  <c r="I22" i="8"/>
  <c r="I2147" i="5"/>
  <c r="Q574" i="8"/>
  <c r="Q670" i="8" s="1"/>
  <c r="G1880" i="5"/>
  <c r="I1811" i="5"/>
  <c r="Q552" i="8"/>
  <c r="X1811" i="5"/>
  <c r="O47" i="8"/>
  <c r="O375" i="8" s="1"/>
  <c r="G55" i="14" s="1"/>
  <c r="M78" i="8"/>
  <c r="M381" i="8" s="1"/>
  <c r="E61" i="14" s="1"/>
  <c r="M1749" i="5"/>
  <c r="M27" i="8" s="1"/>
  <c r="L483" i="8"/>
  <c r="L369" i="8"/>
  <c r="P362" i="8"/>
  <c r="P479" i="8"/>
  <c r="Q479" i="8" s="1"/>
  <c r="Q481" i="8"/>
  <c r="X1737" i="5"/>
  <c r="E1878" i="5"/>
  <c r="H1879" i="5"/>
  <c r="I1810" i="5"/>
  <c r="F1881" i="5"/>
  <c r="G1796" i="5"/>
  <c r="W2146" i="5"/>
  <c r="Q2146" i="5"/>
  <c r="Q203" i="8" s="1"/>
  <c r="X2147" i="5"/>
  <c r="F80" i="3"/>
  <c r="G80" i="3" s="1"/>
  <c r="H80" i="3" s="1"/>
  <c r="I80" i="3" s="1"/>
  <c r="J80" i="3" s="1"/>
  <c r="K80" i="3" s="1"/>
  <c r="L80" i="3" s="1"/>
  <c r="M80" i="3" s="1"/>
  <c r="N80" i="3" s="1"/>
  <c r="G790" i="5"/>
  <c r="G793" i="5"/>
  <c r="H2013" i="5"/>
  <c r="H2006" i="5"/>
  <c r="G2005" i="5"/>
  <c r="O2003" i="5"/>
  <c r="O136" i="8" s="1"/>
  <c r="G730" i="5"/>
  <c r="M730" i="5"/>
  <c r="M729" i="5" s="1"/>
  <c r="M2069" i="5" s="1"/>
  <c r="L640" i="5"/>
  <c r="E641" i="5"/>
  <c r="F640" i="5"/>
  <c r="X1731" i="5"/>
  <c r="F2055" i="5"/>
  <c r="N2052" i="5"/>
  <c r="N159" i="8" s="1"/>
  <c r="H2055" i="5"/>
  <c r="P2052" i="5"/>
  <c r="P159" i="8" s="1"/>
  <c r="G2055" i="5"/>
  <c r="O2052" i="5"/>
  <c r="O159" i="8" s="1"/>
  <c r="E2055" i="5"/>
  <c r="M2052" i="5"/>
  <c r="M159" i="8" s="1"/>
  <c r="J704" i="5"/>
  <c r="L704" i="5"/>
  <c r="E714" i="5"/>
  <c r="F78" i="3"/>
  <c r="N2005" i="5"/>
  <c r="J608" i="5"/>
  <c r="L608" i="5"/>
  <c r="F2013" i="5"/>
  <c r="L729" i="5"/>
  <c r="L2069" i="5" s="1"/>
  <c r="L551" i="8" s="1"/>
  <c r="L660" i="8" s="1"/>
  <c r="M624" i="5"/>
  <c r="M2014" i="5" s="1"/>
  <c r="Q625" i="5"/>
  <c r="Q624" i="5" s="1"/>
  <c r="Q2014" i="5" s="1"/>
  <c r="G2056" i="5"/>
  <c r="H2056" i="5"/>
  <c r="G2145" i="5"/>
  <c r="H1709" i="5"/>
  <c r="W1709" i="5"/>
  <c r="F2056" i="5"/>
  <c r="E2056" i="5"/>
  <c r="G2006" i="5"/>
  <c r="M2005" i="5"/>
  <c r="F855" i="5"/>
  <c r="L855" i="5"/>
  <c r="H2146" i="5"/>
  <c r="P2145" i="5"/>
  <c r="H2005" i="5"/>
  <c r="P2003" i="5"/>
  <c r="P136" i="8" s="1"/>
  <c r="Q707" i="5"/>
  <c r="Q706" i="5" s="1"/>
  <c r="Q2057" i="5" s="1"/>
  <c r="L706" i="5"/>
  <c r="L2057" i="5" s="1"/>
  <c r="I1731" i="5"/>
  <c r="Q1709" i="5"/>
  <c r="Q8" i="8" s="1"/>
  <c r="F631" i="5"/>
  <c r="L631" i="5"/>
  <c r="F2006" i="5"/>
  <c r="G2013" i="5"/>
  <c r="I1737" i="5"/>
  <c r="L617" i="5"/>
  <c r="L2009" i="5" s="1"/>
  <c r="Q618" i="5"/>
  <c r="Q617" i="5" s="1"/>
  <c r="Q2009" i="5" s="1"/>
  <c r="E2006" i="5"/>
  <c r="P1796" i="5"/>
  <c r="D1749" i="5"/>
  <c r="N1878" i="5"/>
  <c r="Q1796" i="5"/>
  <c r="G1881" i="5"/>
  <c r="W1810" i="5"/>
  <c r="X1810" i="5" s="1"/>
  <c r="H1810" i="5"/>
  <c r="Q1879" i="5"/>
  <c r="Q79" i="8" s="1"/>
  <c r="I1880" i="5"/>
  <c r="P344" i="5"/>
  <c r="Q345" i="5"/>
  <c r="Q344" i="5" s="1"/>
  <c r="O1879" i="5"/>
  <c r="O79" i="8" s="1"/>
  <c r="W1880" i="5"/>
  <c r="X1880" i="5" s="1"/>
  <c r="H52" i="8" l="1"/>
  <c r="F137" i="8"/>
  <c r="F160" i="8"/>
  <c r="H160" i="8"/>
  <c r="G160" i="8"/>
  <c r="F140" i="8"/>
  <c r="H137" i="8"/>
  <c r="G47" i="8"/>
  <c r="O485" i="8" s="1"/>
  <c r="E78" i="8"/>
  <c r="M486" i="8" s="1"/>
  <c r="E75" i="14"/>
  <c r="E62" i="14"/>
  <c r="G80" i="8"/>
  <c r="H203" i="8"/>
  <c r="G137" i="8"/>
  <c r="H140" i="8"/>
  <c r="F80" i="8"/>
  <c r="G70" i="14"/>
  <c r="E137" i="8"/>
  <c r="G140" i="8"/>
  <c r="E160" i="8"/>
  <c r="G202" i="8"/>
  <c r="I52" i="8"/>
  <c r="H79" i="8"/>
  <c r="D27" i="8"/>
  <c r="I36" i="14"/>
  <c r="J33" i="14" s="1"/>
  <c r="I18" i="8"/>
  <c r="H8" i="8"/>
  <c r="I21" i="8"/>
  <c r="Z1737" i="5"/>
  <c r="P202" i="8"/>
  <c r="M551" i="8"/>
  <c r="M660" i="8" s="1"/>
  <c r="U556" i="5"/>
  <c r="U347" i="5"/>
  <c r="N78" i="8"/>
  <c r="N381" i="8" s="1"/>
  <c r="F61" i="14" s="1"/>
  <c r="N1749" i="5"/>
  <c r="N27" i="8" s="1"/>
  <c r="P47" i="8"/>
  <c r="P375" i="8" s="1"/>
  <c r="H55" i="14" s="1"/>
  <c r="Q47" i="8"/>
  <c r="Q375" i="8" s="1"/>
  <c r="L463" i="8"/>
  <c r="D252" i="14" s="1"/>
  <c r="Q362" i="8"/>
  <c r="P462" i="8"/>
  <c r="H251" i="14" s="1"/>
  <c r="P418" i="8"/>
  <c r="H160" i="14" s="1"/>
  <c r="I160" i="14" s="1"/>
  <c r="M369" i="8"/>
  <c r="M483" i="8"/>
  <c r="I2146" i="5"/>
  <c r="W2145" i="5"/>
  <c r="W1796" i="5"/>
  <c r="X1796" i="5" s="1"/>
  <c r="F1878" i="5"/>
  <c r="G1879" i="5"/>
  <c r="I1796" i="5"/>
  <c r="O2002" i="5"/>
  <c r="O135" i="8" s="1"/>
  <c r="O398" i="8" s="1"/>
  <c r="G112" i="14" s="1"/>
  <c r="X2146" i="5"/>
  <c r="Q2145" i="5"/>
  <c r="H1796" i="5"/>
  <c r="H2003" i="5"/>
  <c r="P2002" i="5"/>
  <c r="P135" i="8" s="1"/>
  <c r="P398" i="8" s="1"/>
  <c r="H112" i="14" s="1"/>
  <c r="M855" i="5"/>
  <c r="M854" i="5" s="1"/>
  <c r="M2132" i="5" s="1"/>
  <c r="M572" i="8" s="1"/>
  <c r="M667" i="8" s="1"/>
  <c r="M666" i="8" s="1"/>
  <c r="G855" i="5"/>
  <c r="E2014" i="5"/>
  <c r="M2013" i="5"/>
  <c r="M140" i="8" s="1"/>
  <c r="W2014" i="5"/>
  <c r="X2014" i="5" s="1"/>
  <c r="L630" i="5"/>
  <c r="L2017" i="5" s="1"/>
  <c r="X1709" i="5"/>
  <c r="F2005" i="5"/>
  <c r="N2003" i="5"/>
  <c r="N136" i="8" s="1"/>
  <c r="M640" i="5"/>
  <c r="G640" i="5"/>
  <c r="F641" i="5"/>
  <c r="M641" i="5" s="1"/>
  <c r="N730" i="5"/>
  <c r="N729" i="5" s="1"/>
  <c r="N2069" i="5" s="1"/>
  <c r="N551" i="8" s="1"/>
  <c r="N660" i="8" s="1"/>
  <c r="H730" i="5"/>
  <c r="H790" i="5"/>
  <c r="N790" i="5"/>
  <c r="I2009" i="5"/>
  <c r="Q2006" i="5"/>
  <c r="Q137" i="8" s="1"/>
  <c r="G631" i="5"/>
  <c r="M631" i="5"/>
  <c r="M630" i="5" s="1"/>
  <c r="D2057" i="5"/>
  <c r="L2056" i="5"/>
  <c r="L160" i="8" s="1"/>
  <c r="W2057" i="5"/>
  <c r="X2057" i="5" s="1"/>
  <c r="D2069" i="5"/>
  <c r="L2068" i="5"/>
  <c r="L165" i="8" s="1"/>
  <c r="L607" i="5"/>
  <c r="Q608" i="5"/>
  <c r="Q607" i="5" s="1"/>
  <c r="Q2005" i="5" s="1"/>
  <c r="F714" i="5"/>
  <c r="G78" i="3"/>
  <c r="L703" i="5"/>
  <c r="L2055" i="5" s="1"/>
  <c r="Q704" i="5"/>
  <c r="Q703" i="5" s="1"/>
  <c r="Q2055" i="5" s="1"/>
  <c r="G2052" i="5"/>
  <c r="O2048" i="5"/>
  <c r="F2052" i="5"/>
  <c r="N2048" i="5"/>
  <c r="L641" i="5"/>
  <c r="L639" i="5" s="1"/>
  <c r="L2021" i="5" s="1"/>
  <c r="G2003" i="5"/>
  <c r="D2009" i="5"/>
  <c r="W2009" i="5"/>
  <c r="X2009" i="5" s="1"/>
  <c r="L2006" i="5"/>
  <c r="L137" i="8" s="1"/>
  <c r="I1709" i="5"/>
  <c r="I2057" i="5"/>
  <c r="Q2056" i="5"/>
  <c r="Q160" i="8" s="1"/>
  <c r="L854" i="5"/>
  <c r="L2132" i="5" s="1"/>
  <c r="E2005" i="5"/>
  <c r="M2003" i="5"/>
  <c r="M136" i="8" s="1"/>
  <c r="I2014" i="5"/>
  <c r="Q2013" i="5"/>
  <c r="Q140" i="8" s="1"/>
  <c r="E716" i="5"/>
  <c r="L714" i="5"/>
  <c r="H2145" i="5"/>
  <c r="E2052" i="5"/>
  <c r="M2048" i="5"/>
  <c r="H2052" i="5"/>
  <c r="P2048" i="5"/>
  <c r="M2068" i="5"/>
  <c r="M165" i="8" s="1"/>
  <c r="E2069" i="5"/>
  <c r="H793" i="5"/>
  <c r="N793" i="5"/>
  <c r="E1749" i="5"/>
  <c r="E1747" i="5"/>
  <c r="D1747" i="5"/>
  <c r="F1747" i="5"/>
  <c r="I1879" i="5"/>
  <c r="P1882" i="5"/>
  <c r="H1882" i="5" s="1"/>
  <c r="O1878" i="5"/>
  <c r="W1879" i="5"/>
  <c r="X1879" i="5" s="1"/>
  <c r="Q1882" i="5"/>
  <c r="I251" i="14" l="1"/>
  <c r="H159" i="8"/>
  <c r="H47" i="8"/>
  <c r="P485" i="8" s="1"/>
  <c r="Q485" i="8" s="1"/>
  <c r="I47" i="8"/>
  <c r="I203" i="8"/>
  <c r="F159" i="8"/>
  <c r="G136" i="8"/>
  <c r="M514" i="8"/>
  <c r="G79" i="8"/>
  <c r="H70" i="14"/>
  <c r="I79" i="8"/>
  <c r="E27" i="8"/>
  <c r="E159" i="8"/>
  <c r="G159" i="8"/>
  <c r="F78" i="8"/>
  <c r="N486" i="8" s="1"/>
  <c r="H202" i="8"/>
  <c r="H136" i="8"/>
  <c r="F75" i="14"/>
  <c r="F62" i="14"/>
  <c r="I55" i="14"/>
  <c r="J35" i="14"/>
  <c r="J31" i="14"/>
  <c r="J32" i="14"/>
  <c r="J30" i="14"/>
  <c r="J34" i="14"/>
  <c r="F26" i="8"/>
  <c r="D26" i="8"/>
  <c r="E26" i="8"/>
  <c r="I8" i="8"/>
  <c r="B6" i="12"/>
  <c r="B5" i="12" s="1"/>
  <c r="Q202" i="8"/>
  <c r="Q418" i="8" s="1"/>
  <c r="L2130" i="5"/>
  <c r="L2127" i="5" s="1"/>
  <c r="L572" i="8"/>
  <c r="L667" i="8" s="1"/>
  <c r="L666" i="8" s="1"/>
  <c r="M157" i="8"/>
  <c r="M406" i="8" s="1"/>
  <c r="E134" i="14" s="1"/>
  <c r="O157" i="8"/>
  <c r="O406" i="8" s="1"/>
  <c r="G134" i="14" s="1"/>
  <c r="O78" i="8"/>
  <c r="O381" i="8" s="1"/>
  <c r="G61" i="14" s="1"/>
  <c r="O1749" i="5"/>
  <c r="O27" i="8" s="1"/>
  <c r="P157" i="8"/>
  <c r="P406" i="8" s="1"/>
  <c r="H134" i="14" s="1"/>
  <c r="N157" i="8"/>
  <c r="N406" i="8" s="1"/>
  <c r="F134" i="14" s="1"/>
  <c r="G2002" i="5"/>
  <c r="M463" i="8"/>
  <c r="E252" i="14" s="1"/>
  <c r="N369" i="8"/>
  <c r="Q462" i="8"/>
  <c r="U479" i="8" s="1"/>
  <c r="G1878" i="5"/>
  <c r="F1749" i="5"/>
  <c r="X2145" i="5"/>
  <c r="I2145" i="5"/>
  <c r="F2048" i="5"/>
  <c r="N792" i="5"/>
  <c r="N2102" i="5" s="1"/>
  <c r="N542" i="8" s="1"/>
  <c r="N659" i="8" s="1"/>
  <c r="E2068" i="5"/>
  <c r="E2048" i="5"/>
  <c r="E725" i="5"/>
  <c r="L716" i="5"/>
  <c r="E2003" i="5"/>
  <c r="M2002" i="5"/>
  <c r="M135" i="8" s="1"/>
  <c r="M398" i="8" s="1"/>
  <c r="E112" i="14" s="1"/>
  <c r="I2056" i="5"/>
  <c r="F716" i="5"/>
  <c r="M716" i="5" s="1"/>
  <c r="M715" i="5" s="1"/>
  <c r="M2062" i="5" s="1"/>
  <c r="E2062" i="5" s="1"/>
  <c r="M714" i="5"/>
  <c r="M713" i="5" s="1"/>
  <c r="M2061" i="5" s="1"/>
  <c r="D2068" i="5"/>
  <c r="M2017" i="5"/>
  <c r="I790" i="5"/>
  <c r="O790" i="5"/>
  <c r="O789" i="5" s="1"/>
  <c r="O2100" i="5" s="1"/>
  <c r="O530" i="8" s="1"/>
  <c r="M639" i="5"/>
  <c r="M2021" i="5" s="1"/>
  <c r="F2003" i="5"/>
  <c r="N2002" i="5"/>
  <c r="N135" i="8" s="1"/>
  <c r="N398" i="8" s="1"/>
  <c r="F112" i="14" s="1"/>
  <c r="H2002" i="5"/>
  <c r="H2048" i="5"/>
  <c r="I2013" i="5"/>
  <c r="I2055" i="5"/>
  <c r="Q2052" i="5"/>
  <c r="Q159" i="8" s="1"/>
  <c r="I2005" i="5"/>
  <c r="Q2003" i="5"/>
  <c r="Q136" i="8" s="1"/>
  <c r="N631" i="5"/>
  <c r="N630" i="5" s="1"/>
  <c r="H631" i="5"/>
  <c r="H640" i="5"/>
  <c r="N640" i="5"/>
  <c r="G641" i="5"/>
  <c r="I793" i="5"/>
  <c r="O793" i="5"/>
  <c r="O792" i="5" s="1"/>
  <c r="O2102" i="5" s="1"/>
  <c r="O542" i="8" s="1"/>
  <c r="O659" i="8" s="1"/>
  <c r="D2006" i="5"/>
  <c r="W2006" i="5"/>
  <c r="X2006" i="5" s="1"/>
  <c r="D2021" i="5"/>
  <c r="L2018" i="5"/>
  <c r="L142" i="8" s="1"/>
  <c r="G2048" i="5"/>
  <c r="D2055" i="5"/>
  <c r="W2055" i="5"/>
  <c r="X2055" i="5" s="1"/>
  <c r="L2052" i="5"/>
  <c r="L159" i="8" s="1"/>
  <c r="L2005" i="5"/>
  <c r="D2056" i="5"/>
  <c r="W2056" i="5"/>
  <c r="X2056" i="5" s="1"/>
  <c r="I2006" i="5"/>
  <c r="I730" i="5"/>
  <c r="O730" i="5"/>
  <c r="O729" i="5" s="1"/>
  <c r="O2069" i="5" s="1"/>
  <c r="O551" i="8" s="1"/>
  <c r="O660" i="8" s="1"/>
  <c r="H855" i="5"/>
  <c r="N855" i="5"/>
  <c r="N854" i="5" s="1"/>
  <c r="N2132" i="5" s="1"/>
  <c r="N572" i="8" s="1"/>
  <c r="N667" i="8" s="1"/>
  <c r="N666" i="8" s="1"/>
  <c r="L713" i="5"/>
  <c r="L2061" i="5" s="1"/>
  <c r="D2132" i="5"/>
  <c r="G714" i="5"/>
  <c r="H78" i="3"/>
  <c r="N789" i="5"/>
  <c r="N2100" i="5" s="1"/>
  <c r="N530" i="8" s="1"/>
  <c r="F2069" i="5"/>
  <c r="N2068" i="5"/>
  <c r="N165" i="8" s="1"/>
  <c r="D2017" i="5"/>
  <c r="L2015" i="5"/>
  <c r="L141" i="8" s="1"/>
  <c r="E2013" i="5"/>
  <c r="W2013" i="5"/>
  <c r="X2013" i="5" s="1"/>
  <c r="E2132" i="5"/>
  <c r="M2130" i="5"/>
  <c r="M196" i="8" s="1"/>
  <c r="Q1881" i="5"/>
  <c r="Q80" i="8" s="1"/>
  <c r="I1882" i="5"/>
  <c r="P1881" i="5"/>
  <c r="P80" i="8" s="1"/>
  <c r="W1882" i="5"/>
  <c r="X1882" i="5" s="1"/>
  <c r="L196" i="8" l="1"/>
  <c r="N483" i="8"/>
  <c r="H157" i="8"/>
  <c r="D165" i="8"/>
  <c r="E157" i="8"/>
  <c r="I202" i="8"/>
  <c r="G135" i="8"/>
  <c r="G75" i="14"/>
  <c r="G62" i="14"/>
  <c r="E140" i="8"/>
  <c r="H135" i="8"/>
  <c r="I137" i="8"/>
  <c r="F27" i="8"/>
  <c r="E136" i="8"/>
  <c r="E165" i="8"/>
  <c r="D160" i="8"/>
  <c r="G157" i="8"/>
  <c r="D137" i="8"/>
  <c r="I140" i="8"/>
  <c r="F136" i="8"/>
  <c r="I160" i="8"/>
  <c r="F157" i="8"/>
  <c r="G78" i="8"/>
  <c r="O486" i="8" s="1"/>
  <c r="I70" i="14"/>
  <c r="N656" i="8"/>
  <c r="O656" i="8"/>
  <c r="O369" i="8"/>
  <c r="N463" i="8"/>
  <c r="F252" i="14" s="1"/>
  <c r="I1881" i="5"/>
  <c r="H1881" i="5"/>
  <c r="D2018" i="5"/>
  <c r="P793" i="5"/>
  <c r="J793" i="5"/>
  <c r="I640" i="5"/>
  <c r="H641" i="5"/>
  <c r="O641" i="5" s="1"/>
  <c r="O640" i="5"/>
  <c r="G716" i="5"/>
  <c r="N716" i="5" s="1"/>
  <c r="N715" i="5" s="1"/>
  <c r="N2062" i="5" s="1"/>
  <c r="F2062" i="5" s="1"/>
  <c r="N714" i="5"/>
  <c r="N713" i="5" s="1"/>
  <c r="N2061" i="5" s="1"/>
  <c r="F2132" i="5"/>
  <c r="N2130" i="5"/>
  <c r="N196" i="8" s="1"/>
  <c r="G2069" i="5"/>
  <c r="O2068" i="5"/>
  <c r="O165" i="8" s="1"/>
  <c r="D2005" i="5"/>
  <c r="W2005" i="5"/>
  <c r="X2005" i="5" s="1"/>
  <c r="L2003" i="5"/>
  <c r="L136" i="8" s="1"/>
  <c r="I631" i="5"/>
  <c r="P631" i="5" s="1"/>
  <c r="P630" i="5" s="1"/>
  <c r="O631" i="5"/>
  <c r="O630" i="5" s="1"/>
  <c r="Q2048" i="5"/>
  <c r="I2052" i="5"/>
  <c r="E2021" i="5"/>
  <c r="M2018" i="5"/>
  <c r="M142" i="8" s="1"/>
  <c r="E2017" i="5"/>
  <c r="M2015" i="5"/>
  <c r="M141" i="8" s="1"/>
  <c r="F2068" i="5"/>
  <c r="E2130" i="5"/>
  <c r="M2127" i="5"/>
  <c r="M194" i="8" s="1"/>
  <c r="M416" i="8" s="1"/>
  <c r="E158" i="14" s="1"/>
  <c r="E163" i="14" s="1"/>
  <c r="D2061" i="5"/>
  <c r="P730" i="5"/>
  <c r="J730" i="5"/>
  <c r="N641" i="5"/>
  <c r="N639" i="5" s="1"/>
  <c r="N2021" i="5" s="1"/>
  <c r="F2002" i="5"/>
  <c r="L715" i="5"/>
  <c r="D2015" i="5"/>
  <c r="L2012" i="5"/>
  <c r="L139" i="8" s="1"/>
  <c r="H714" i="5"/>
  <c r="I78" i="3"/>
  <c r="D2130" i="5"/>
  <c r="L194" i="8"/>
  <c r="I855" i="5"/>
  <c r="O855" i="5"/>
  <c r="D2052" i="5"/>
  <c r="W2052" i="5"/>
  <c r="X2052" i="5" s="1"/>
  <c r="L2048" i="5"/>
  <c r="N2017" i="5"/>
  <c r="G2100" i="5"/>
  <c r="O2099" i="5"/>
  <c r="O180" i="8" s="1"/>
  <c r="F2100" i="5"/>
  <c r="N2099" i="5"/>
  <c r="N180" i="8" s="1"/>
  <c r="G2102" i="5"/>
  <c r="O2101" i="5"/>
  <c r="O181" i="8" s="1"/>
  <c r="I2003" i="5"/>
  <c r="Q2002" i="5"/>
  <c r="Q135" i="8" s="1"/>
  <c r="Q398" i="8" s="1"/>
  <c r="P790" i="5"/>
  <c r="J790" i="5"/>
  <c r="E733" i="5"/>
  <c r="E726" i="5"/>
  <c r="F725" i="5"/>
  <c r="L725" i="5"/>
  <c r="F2102" i="5"/>
  <c r="N2101" i="5"/>
  <c r="N181" i="8" s="1"/>
  <c r="E2061" i="5"/>
  <c r="M2059" i="5"/>
  <c r="M162" i="8" s="1"/>
  <c r="E2002" i="5"/>
  <c r="G1749" i="5"/>
  <c r="Q1878" i="5"/>
  <c r="W1881" i="5"/>
  <c r="X1881" i="5" s="1"/>
  <c r="P1878" i="5"/>
  <c r="O483" i="8" l="1"/>
  <c r="F165" i="8"/>
  <c r="E135" i="8"/>
  <c r="I136" i="8"/>
  <c r="F135" i="8"/>
  <c r="I159" i="8"/>
  <c r="I80" i="8"/>
  <c r="D159" i="8"/>
  <c r="D196" i="8"/>
  <c r="D141" i="8"/>
  <c r="E196" i="8"/>
  <c r="D142" i="8"/>
  <c r="G27" i="8"/>
  <c r="H80" i="8"/>
  <c r="P78" i="8"/>
  <c r="P381" i="8" s="1"/>
  <c r="H61" i="14" s="1"/>
  <c r="P1749" i="5"/>
  <c r="Q157" i="8"/>
  <c r="Q406" i="8" s="1"/>
  <c r="Q78" i="8"/>
  <c r="Q381" i="8" s="1"/>
  <c r="Q1749" i="5"/>
  <c r="U1749" i="5" s="1"/>
  <c r="U1883" i="5" s="1"/>
  <c r="O463" i="8"/>
  <c r="G252" i="14" s="1"/>
  <c r="L157" i="8"/>
  <c r="L416" i="8"/>
  <c r="D158" i="14" s="1"/>
  <c r="L399" i="8"/>
  <c r="D113" i="14" s="1"/>
  <c r="I1878" i="5"/>
  <c r="H1878" i="5"/>
  <c r="J631" i="5"/>
  <c r="Q631" i="5"/>
  <c r="Q630" i="5" s="1"/>
  <c r="Q2017" i="5" s="1"/>
  <c r="L733" i="5"/>
  <c r="F733" i="5"/>
  <c r="P789" i="5"/>
  <c r="P2100" i="5" s="1"/>
  <c r="P530" i="8" s="1"/>
  <c r="Q790" i="5"/>
  <c r="Q789" i="5" s="1"/>
  <c r="Q2100" i="5" s="1"/>
  <c r="Q530" i="8" s="1"/>
  <c r="D2127" i="5"/>
  <c r="L2103" i="5"/>
  <c r="I714" i="5"/>
  <c r="J714" i="5" s="1"/>
  <c r="J78" i="3"/>
  <c r="K78" i="3" s="1"/>
  <c r="L78" i="3" s="1"/>
  <c r="M78" i="3" s="1"/>
  <c r="N78" i="3" s="1"/>
  <c r="F2021" i="5"/>
  <c r="N2018" i="5"/>
  <c r="N142" i="8" s="1"/>
  <c r="I2048" i="5"/>
  <c r="F2130" i="5"/>
  <c r="N2127" i="5"/>
  <c r="N194" i="8" s="1"/>
  <c r="N416" i="8" s="1"/>
  <c r="F158" i="14" s="1"/>
  <c r="F163" i="14" s="1"/>
  <c r="F2061" i="5"/>
  <c r="N2059" i="5"/>
  <c r="N162" i="8" s="1"/>
  <c r="O639" i="5"/>
  <c r="O2021" i="5" s="1"/>
  <c r="P792" i="5"/>
  <c r="P2102" i="5" s="1"/>
  <c r="P542" i="8" s="1"/>
  <c r="P659" i="8" s="1"/>
  <c r="Q793" i="5"/>
  <c r="F2017" i="5"/>
  <c r="N2015" i="5"/>
  <c r="N141" i="8" s="1"/>
  <c r="H716" i="5"/>
  <c r="O716" i="5" s="1"/>
  <c r="O715" i="5" s="1"/>
  <c r="O2062" i="5" s="1"/>
  <c r="G2062" i="5" s="1"/>
  <c r="O714" i="5"/>
  <c r="E2015" i="5"/>
  <c r="M2012" i="5"/>
  <c r="M139" i="8" s="1"/>
  <c r="M399" i="8" s="1"/>
  <c r="E113" i="14" s="1"/>
  <c r="E2059" i="5"/>
  <c r="N2098" i="5"/>
  <c r="F2101" i="5"/>
  <c r="F726" i="5"/>
  <c r="M726" i="5" s="1"/>
  <c r="G725" i="5"/>
  <c r="M725" i="5"/>
  <c r="I2002" i="5"/>
  <c r="G2101" i="5"/>
  <c r="G2099" i="5"/>
  <c r="O2098" i="5"/>
  <c r="D2048" i="5"/>
  <c r="W2048" i="5"/>
  <c r="X2048" i="5" s="1"/>
  <c r="O854" i="5"/>
  <c r="O2132" i="5" s="1"/>
  <c r="O572" i="8" s="1"/>
  <c r="O667" i="8" s="1"/>
  <c r="O666" i="8" s="1"/>
  <c r="P729" i="5"/>
  <c r="P2069" i="5" s="1"/>
  <c r="P551" i="8" s="1"/>
  <c r="P660" i="8" s="1"/>
  <c r="Q730" i="5"/>
  <c r="Q729" i="5" s="1"/>
  <c r="Q2069" i="5" s="1"/>
  <c r="Q551" i="8" s="1"/>
  <c r="Q660" i="8" s="1"/>
  <c r="E2127" i="5"/>
  <c r="M2103" i="5"/>
  <c r="O2017" i="5"/>
  <c r="D2003" i="5"/>
  <c r="W2003" i="5"/>
  <c r="X2003" i="5" s="1"/>
  <c r="L2002" i="5"/>
  <c r="G2068" i="5"/>
  <c r="J640" i="5"/>
  <c r="I641" i="5"/>
  <c r="P640" i="5"/>
  <c r="L726" i="5"/>
  <c r="L724" i="5" s="1"/>
  <c r="L2066" i="5" s="1"/>
  <c r="F2099" i="5"/>
  <c r="P855" i="5"/>
  <c r="P854" i="5" s="1"/>
  <c r="P2132" i="5" s="1"/>
  <c r="P572" i="8" s="1"/>
  <c r="P667" i="8" s="1"/>
  <c r="P666" i="8" s="1"/>
  <c r="J855" i="5"/>
  <c r="D2012" i="5"/>
  <c r="L2062" i="5"/>
  <c r="E2018" i="5"/>
  <c r="P2017" i="5"/>
  <c r="G1747" i="5"/>
  <c r="P27" i="8"/>
  <c r="W1878" i="5"/>
  <c r="X1878" i="5" s="1"/>
  <c r="G180" i="8" l="1"/>
  <c r="E162" i="8"/>
  <c r="D194" i="8"/>
  <c r="L501" i="8" s="1"/>
  <c r="I78" i="8"/>
  <c r="E194" i="8"/>
  <c r="M501" i="8" s="1"/>
  <c r="M499" i="8" s="1"/>
  <c r="G181" i="8"/>
  <c r="E116" i="14"/>
  <c r="F196" i="8"/>
  <c r="H75" i="14"/>
  <c r="H62" i="14"/>
  <c r="I61" i="14"/>
  <c r="D157" i="8"/>
  <c r="I135" i="8"/>
  <c r="F181" i="8"/>
  <c r="N496" i="8" s="1"/>
  <c r="E141" i="8"/>
  <c r="I157" i="8"/>
  <c r="D168" i="14"/>
  <c r="D163" i="14"/>
  <c r="E142" i="8"/>
  <c r="F180" i="8"/>
  <c r="D136" i="8"/>
  <c r="D139" i="8"/>
  <c r="G165" i="8"/>
  <c r="H78" i="8"/>
  <c r="P486" i="8" s="1"/>
  <c r="G26" i="8"/>
  <c r="L546" i="8"/>
  <c r="L663" i="8" s="1"/>
  <c r="P656" i="8"/>
  <c r="L182" i="8"/>
  <c r="M182" i="8"/>
  <c r="M413" i="8" s="1"/>
  <c r="M467" i="8" s="1"/>
  <c r="E256" i="14" s="1"/>
  <c r="Q656" i="8"/>
  <c r="Q27" i="8"/>
  <c r="Q369" i="8" s="1"/>
  <c r="Q792" i="5"/>
  <c r="Q2102" i="5" s="1"/>
  <c r="Q542" i="8" s="1"/>
  <c r="Q659" i="8" s="1"/>
  <c r="O179" i="8"/>
  <c r="O412" i="8" s="1"/>
  <c r="G140" i="14" s="1"/>
  <c r="N179" i="8"/>
  <c r="N412" i="8" s="1"/>
  <c r="F140" i="14" s="1"/>
  <c r="P369" i="8"/>
  <c r="L406" i="8"/>
  <c r="D134" i="14" s="1"/>
  <c r="L413" i="8"/>
  <c r="L135" i="8"/>
  <c r="L499" i="8"/>
  <c r="W1749" i="5"/>
  <c r="X1749" i="5" s="1"/>
  <c r="M724" i="5"/>
  <c r="M2066" i="5" s="1"/>
  <c r="M546" i="8" s="1"/>
  <c r="M663" i="8" s="1"/>
  <c r="H2132" i="5"/>
  <c r="P2130" i="5"/>
  <c r="P196" i="8" s="1"/>
  <c r="D2002" i="5"/>
  <c r="W2002" i="5"/>
  <c r="X2002" i="5" s="1"/>
  <c r="L1980" i="5"/>
  <c r="L123" i="8" s="1"/>
  <c r="F2098" i="5"/>
  <c r="D2066" i="5"/>
  <c r="L2063" i="5"/>
  <c r="L163" i="8" s="1"/>
  <c r="G2017" i="5"/>
  <c r="O2015" i="5"/>
  <c r="O141" i="8" s="1"/>
  <c r="I2069" i="5"/>
  <c r="Q2068" i="5"/>
  <c r="Q165" i="8" s="1"/>
  <c r="W2017" i="5"/>
  <c r="X2017" i="5" s="1"/>
  <c r="I716" i="5"/>
  <c r="P716" i="5" s="1"/>
  <c r="P714" i="5"/>
  <c r="P713" i="5" s="1"/>
  <c r="P2061" i="5" s="1"/>
  <c r="H2100" i="5"/>
  <c r="P2099" i="5"/>
  <c r="P180" i="8" s="1"/>
  <c r="W2100" i="5"/>
  <c r="X2100" i="5" s="1"/>
  <c r="E2103" i="5"/>
  <c r="Q640" i="5"/>
  <c r="H2069" i="5"/>
  <c r="P2068" i="5"/>
  <c r="P165" i="8" s="1"/>
  <c r="W2069" i="5"/>
  <c r="X2069" i="5" s="1"/>
  <c r="F2015" i="5"/>
  <c r="N2012" i="5"/>
  <c r="N139" i="8" s="1"/>
  <c r="N399" i="8" s="1"/>
  <c r="F113" i="14" s="1"/>
  <c r="H2102" i="5"/>
  <c r="P2101" i="5"/>
  <c r="P181" i="8" s="1"/>
  <c r="W2102" i="5"/>
  <c r="F2127" i="5"/>
  <c r="N2103" i="5"/>
  <c r="N182" i="8" s="1"/>
  <c r="N413" i="8" s="1"/>
  <c r="N467" i="8" s="1"/>
  <c r="F256" i="14" s="1"/>
  <c r="F2018" i="5"/>
  <c r="D2103" i="5"/>
  <c r="H2017" i="5"/>
  <c r="P2015" i="5"/>
  <c r="P141" i="8" s="1"/>
  <c r="D2062" i="5"/>
  <c r="L2059" i="5"/>
  <c r="L162" i="8" s="1"/>
  <c r="P641" i="5"/>
  <c r="Q641" i="5" s="1"/>
  <c r="J641" i="5"/>
  <c r="Q855" i="5"/>
  <c r="G2098" i="5"/>
  <c r="H725" i="5"/>
  <c r="N725" i="5"/>
  <c r="G726" i="5"/>
  <c r="E2012" i="5"/>
  <c r="M1980" i="5"/>
  <c r="M123" i="8" s="1"/>
  <c r="O713" i="5"/>
  <c r="G2021" i="5"/>
  <c r="O2018" i="5"/>
  <c r="O142" i="8" s="1"/>
  <c r="Q2015" i="5"/>
  <c r="Q141" i="8" s="1"/>
  <c r="I2017" i="5"/>
  <c r="G733" i="5"/>
  <c r="M733" i="5"/>
  <c r="M732" i="5" s="1"/>
  <c r="M2071" i="5" s="1"/>
  <c r="M531" i="8" s="1"/>
  <c r="G2132" i="5"/>
  <c r="O2130" i="5"/>
  <c r="O196" i="8" s="1"/>
  <c r="W2132" i="5"/>
  <c r="F2059" i="5"/>
  <c r="I2100" i="5"/>
  <c r="Q2099" i="5"/>
  <c r="Q180" i="8" s="1"/>
  <c r="L732" i="5"/>
  <c r="H1749" i="5"/>
  <c r="I1749" i="5"/>
  <c r="Q486" i="8" l="1"/>
  <c r="H27" i="8"/>
  <c r="I75" i="14"/>
  <c r="I62" i="14"/>
  <c r="D123" i="14"/>
  <c r="E123" i="14" s="1"/>
  <c r="F162" i="8"/>
  <c r="F142" i="8"/>
  <c r="E182" i="8"/>
  <c r="D135" i="8"/>
  <c r="L493" i="8" s="1"/>
  <c r="E139" i="8"/>
  <c r="M493" i="8" s="1"/>
  <c r="G179" i="8"/>
  <c r="O498" i="8" s="1"/>
  <c r="D182" i="8"/>
  <c r="F141" i="8"/>
  <c r="F179" i="8"/>
  <c r="N498" i="8" s="1"/>
  <c r="D152" i="14"/>
  <c r="E152" i="14" s="1"/>
  <c r="F194" i="8"/>
  <c r="N501" i="8" s="1"/>
  <c r="F116" i="14"/>
  <c r="P483" i="8"/>
  <c r="Q483" i="8" s="1"/>
  <c r="I134" i="14"/>
  <c r="D146" i="14"/>
  <c r="E146" i="14" s="1"/>
  <c r="N512" i="8"/>
  <c r="I2102" i="5"/>
  <c r="I27" i="8"/>
  <c r="X2102" i="5"/>
  <c r="Q2101" i="5"/>
  <c r="Q181" i="8" s="1"/>
  <c r="M651" i="8"/>
  <c r="M665" i="8"/>
  <c r="M654" i="8" s="1"/>
  <c r="Q854" i="5"/>
  <c r="Q2132" i="5" s="1"/>
  <c r="M394" i="8"/>
  <c r="N499" i="8"/>
  <c r="L491" i="8"/>
  <c r="L398" i="8"/>
  <c r="D112" i="14" s="1"/>
  <c r="P463" i="8"/>
  <c r="H252" i="14" s="1"/>
  <c r="L394" i="8"/>
  <c r="L467" i="8"/>
  <c r="D256" i="14" s="1"/>
  <c r="Q463" i="8"/>
  <c r="J716" i="5"/>
  <c r="L2071" i="5"/>
  <c r="L531" i="8" s="1"/>
  <c r="L1701" i="5"/>
  <c r="G2130" i="5"/>
  <c r="O2127" i="5"/>
  <c r="O194" i="8" s="1"/>
  <c r="W2130" i="5"/>
  <c r="M2063" i="5"/>
  <c r="M163" i="8" s="1"/>
  <c r="E2066" i="5"/>
  <c r="I2099" i="5"/>
  <c r="Q2098" i="5"/>
  <c r="I2015" i="5"/>
  <c r="Q714" i="5"/>
  <c r="Q713" i="5" s="1"/>
  <c r="Q2061" i="5" s="1"/>
  <c r="I725" i="5"/>
  <c r="O725" i="5"/>
  <c r="H726" i="5"/>
  <c r="O726" i="5" s="1"/>
  <c r="F2103" i="5"/>
  <c r="H2101" i="5"/>
  <c r="W2101" i="5"/>
  <c r="X2101" i="5" s="1"/>
  <c r="P639" i="5"/>
  <c r="P715" i="5"/>
  <c r="P2062" i="5" s="1"/>
  <c r="P2059" i="5" s="1"/>
  <c r="P162" i="8" s="1"/>
  <c r="Q716" i="5"/>
  <c r="Q715" i="5" s="1"/>
  <c r="Q2062" i="5" s="1"/>
  <c r="I2062" i="5" s="1"/>
  <c r="I2068" i="5"/>
  <c r="D2063" i="5"/>
  <c r="E2071" i="5"/>
  <c r="M2070" i="5"/>
  <c r="M166" i="8" s="1"/>
  <c r="O2061" i="5"/>
  <c r="H2015" i="5"/>
  <c r="H2068" i="5"/>
  <c r="W2068" i="5"/>
  <c r="X2068" i="5" s="1"/>
  <c r="H2099" i="5"/>
  <c r="P2098" i="5"/>
  <c r="W2099" i="5"/>
  <c r="X2099" i="5" s="1"/>
  <c r="N733" i="5"/>
  <c r="N732" i="5" s="1"/>
  <c r="N2071" i="5" s="1"/>
  <c r="N531" i="8" s="1"/>
  <c r="H733" i="5"/>
  <c r="G2018" i="5"/>
  <c r="E1980" i="5"/>
  <c r="N726" i="5"/>
  <c r="N724" i="5" s="1"/>
  <c r="D2059" i="5"/>
  <c r="L2058" i="5"/>
  <c r="F2012" i="5"/>
  <c r="N1980" i="5"/>
  <c r="N123" i="8" s="1"/>
  <c r="M1701" i="5"/>
  <c r="G2015" i="5"/>
  <c r="O2012" i="5"/>
  <c r="O139" i="8" s="1"/>
  <c r="O399" i="8" s="1"/>
  <c r="G113" i="14" s="1"/>
  <c r="D1980" i="5"/>
  <c r="W2015" i="5"/>
  <c r="X2015" i="5" s="1"/>
  <c r="Q639" i="5"/>
  <c r="H2061" i="5"/>
  <c r="H2130" i="5"/>
  <c r="P2127" i="5"/>
  <c r="P194" i="8" s="1"/>
  <c r="P416" i="8" s="1"/>
  <c r="H158" i="14" s="1"/>
  <c r="H163" i="14" s="1"/>
  <c r="I1747" i="5"/>
  <c r="H1747" i="5"/>
  <c r="W1747" i="5"/>
  <c r="X1747" i="5" s="1"/>
  <c r="I2101" i="5" l="1"/>
  <c r="I252" i="14"/>
  <c r="D162" i="8"/>
  <c r="H141" i="8"/>
  <c r="D163" i="8"/>
  <c r="I141" i="8"/>
  <c r="H196" i="8"/>
  <c r="D123" i="8"/>
  <c r="O514" i="8"/>
  <c r="H180" i="8"/>
  <c r="I165" i="8"/>
  <c r="G116" i="14"/>
  <c r="F139" i="8"/>
  <c r="N493" i="8" s="1"/>
  <c r="E123" i="8"/>
  <c r="I181" i="8"/>
  <c r="H181" i="8"/>
  <c r="P496" i="8" s="1"/>
  <c r="I180" i="8"/>
  <c r="G141" i="8"/>
  <c r="G142" i="8"/>
  <c r="H165" i="8"/>
  <c r="F182" i="8"/>
  <c r="G196" i="8"/>
  <c r="D122" i="14"/>
  <c r="E122" i="14" s="1"/>
  <c r="I112" i="14"/>
  <c r="D116" i="14"/>
  <c r="N514" i="8"/>
  <c r="M491" i="8"/>
  <c r="H26" i="8"/>
  <c r="I26" i="8"/>
  <c r="Z1747" i="5"/>
  <c r="N665" i="8"/>
  <c r="M690" i="8"/>
  <c r="L665" i="8"/>
  <c r="L654" i="8" s="1"/>
  <c r="L651" i="8"/>
  <c r="I2132" i="5"/>
  <c r="Q572" i="8"/>
  <c r="Q667" i="8" s="1"/>
  <c r="Q666" i="8" s="1"/>
  <c r="Q2130" i="5"/>
  <c r="Q196" i="8" s="1"/>
  <c r="X2132" i="5"/>
  <c r="U663" i="5"/>
  <c r="W2088" i="5"/>
  <c r="X2088" i="5" s="1"/>
  <c r="Q179" i="8"/>
  <c r="Q412" i="8" s="1"/>
  <c r="P179" i="8"/>
  <c r="P412" i="8" s="1"/>
  <c r="H140" i="14" s="1"/>
  <c r="N394" i="8"/>
  <c r="L161" i="8"/>
  <c r="O416" i="8"/>
  <c r="G158" i="14" s="1"/>
  <c r="L465" i="8"/>
  <c r="D254" i="14" s="1"/>
  <c r="M465" i="8"/>
  <c r="E254" i="14" s="1"/>
  <c r="N2066" i="5"/>
  <c r="N546" i="8" s="1"/>
  <c r="N663" i="8" s="1"/>
  <c r="N654" i="8" s="1"/>
  <c r="N1701" i="5"/>
  <c r="H2059" i="5"/>
  <c r="D2058" i="5"/>
  <c r="I733" i="5"/>
  <c r="P733" i="5" s="1"/>
  <c r="P732" i="5" s="1"/>
  <c r="P2071" i="5" s="1"/>
  <c r="P531" i="8" s="1"/>
  <c r="O733" i="5"/>
  <c r="H2098" i="5"/>
  <c r="W2098" i="5"/>
  <c r="X2098" i="5" s="1"/>
  <c r="F1980" i="5"/>
  <c r="F2071" i="5"/>
  <c r="N2070" i="5"/>
  <c r="N166" i="8" s="1"/>
  <c r="E2070" i="5"/>
  <c r="M2067" i="5"/>
  <c r="M164" i="8" s="1"/>
  <c r="I2061" i="5"/>
  <c r="Q2059" i="5"/>
  <c r="Q162" i="8" s="1"/>
  <c r="I2098" i="5"/>
  <c r="P2021" i="5"/>
  <c r="O724" i="5"/>
  <c r="E2063" i="5"/>
  <c r="M2058" i="5"/>
  <c r="G2127" i="5"/>
  <c r="O2103" i="5"/>
  <c r="O182" i="8" s="1"/>
  <c r="W2127" i="5"/>
  <c r="D2071" i="5"/>
  <c r="L2070" i="5"/>
  <c r="L166" i="8" s="1"/>
  <c r="H2062" i="5"/>
  <c r="W2062" i="5"/>
  <c r="X2062" i="5" s="1"/>
  <c r="H2127" i="5"/>
  <c r="P2103" i="5"/>
  <c r="P182" i="8" s="1"/>
  <c r="P413" i="8" s="1"/>
  <c r="P467" i="8" s="1"/>
  <c r="H256" i="14" s="1"/>
  <c r="Q2021" i="5"/>
  <c r="G2012" i="5"/>
  <c r="O1980" i="5"/>
  <c r="O123" i="8" s="1"/>
  <c r="G2061" i="5"/>
  <c r="O2059" i="5"/>
  <c r="O162" i="8" s="1"/>
  <c r="W2061" i="5"/>
  <c r="X2061" i="5" s="1"/>
  <c r="P725" i="5"/>
  <c r="I726" i="5"/>
  <c r="P726" i="5" s="1"/>
  <c r="Q726" i="5" s="1"/>
  <c r="J725" i="5"/>
  <c r="H194" i="8" l="1"/>
  <c r="P501" i="8" s="1"/>
  <c r="P499" i="8" s="1"/>
  <c r="I179" i="8"/>
  <c r="E166" i="8"/>
  <c r="M496" i="8" s="1"/>
  <c r="D161" i="8"/>
  <c r="G139" i="8"/>
  <c r="O493" i="8" s="1"/>
  <c r="E163" i="8"/>
  <c r="H179" i="8"/>
  <c r="P498" i="8" s="1"/>
  <c r="H162" i="8"/>
  <c r="I140" i="14"/>
  <c r="P512" i="8"/>
  <c r="G163" i="14"/>
  <c r="I158" i="14"/>
  <c r="I163" i="14" s="1"/>
  <c r="G194" i="8"/>
  <c r="O501" i="8" s="1"/>
  <c r="O499" i="8" s="1"/>
  <c r="F123" i="8"/>
  <c r="N491" i="8"/>
  <c r="B16" i="12"/>
  <c r="B239" i="12" s="1"/>
  <c r="P665" i="8"/>
  <c r="N690" i="8"/>
  <c r="N651" i="8"/>
  <c r="L690" i="8"/>
  <c r="L691" i="8" s="1"/>
  <c r="Q2127" i="5"/>
  <c r="Q194" i="8" s="1"/>
  <c r="Q416" i="8" s="1"/>
  <c r="I2130" i="5"/>
  <c r="X2130" i="5"/>
  <c r="M161" i="8"/>
  <c r="M407" i="8" s="1"/>
  <c r="E135" i="14" s="1"/>
  <c r="M2033" i="5"/>
  <c r="M149" i="8" s="1"/>
  <c r="W2085" i="5"/>
  <c r="X2085" i="5" s="1"/>
  <c r="M408" i="8"/>
  <c r="E136" i="14" s="1"/>
  <c r="L407" i="8"/>
  <c r="D135" i="14" s="1"/>
  <c r="N465" i="8"/>
  <c r="F254" i="14" s="1"/>
  <c r="O394" i="8"/>
  <c r="O413" i="8"/>
  <c r="J733" i="5"/>
  <c r="Q725" i="5"/>
  <c r="Q724" i="5" s="1"/>
  <c r="P724" i="5"/>
  <c r="G1980" i="5"/>
  <c r="I2021" i="5"/>
  <c r="Q2018" i="5"/>
  <c r="Q142" i="8" s="1"/>
  <c r="E2058" i="5"/>
  <c r="G2103" i="5"/>
  <c r="W2103" i="5"/>
  <c r="H2021" i="5"/>
  <c r="P2018" i="5"/>
  <c r="P142" i="8" s="1"/>
  <c r="W2021" i="5"/>
  <c r="X2021" i="5" s="1"/>
  <c r="E2067" i="5"/>
  <c r="F2070" i="5"/>
  <c r="N2067" i="5"/>
  <c r="N164" i="8" s="1"/>
  <c r="H2071" i="5"/>
  <c r="P2070" i="5"/>
  <c r="P166" i="8" s="1"/>
  <c r="O2066" i="5"/>
  <c r="O546" i="8" s="1"/>
  <c r="O663" i="8" s="1"/>
  <c r="G2059" i="5"/>
  <c r="W2059" i="5"/>
  <c r="X2059" i="5" s="1"/>
  <c r="H2103" i="5"/>
  <c r="D2070" i="5"/>
  <c r="L2067" i="5"/>
  <c r="L2033" i="5" s="1"/>
  <c r="I2059" i="5"/>
  <c r="O732" i="5"/>
  <c r="O2071" i="5" s="1"/>
  <c r="O531" i="8" s="1"/>
  <c r="Q733" i="5"/>
  <c r="Q732" i="5" s="1"/>
  <c r="Q2071" i="5" s="1"/>
  <c r="Q531" i="8" s="1"/>
  <c r="J726" i="5"/>
  <c r="F2066" i="5"/>
  <c r="N2063" i="5"/>
  <c r="N163" i="8" s="1"/>
  <c r="Q501" i="8" l="1"/>
  <c r="Q498" i="8"/>
  <c r="Q514" i="8" s="1"/>
  <c r="Q496" i="8"/>
  <c r="Q512" i="8" s="1"/>
  <c r="D166" i="8"/>
  <c r="H182" i="8"/>
  <c r="E164" i="8"/>
  <c r="I162" i="8"/>
  <c r="G182" i="8"/>
  <c r="G123" i="8"/>
  <c r="G162" i="8"/>
  <c r="E161" i="8"/>
  <c r="E141" i="14"/>
  <c r="F166" i="8"/>
  <c r="I196" i="8"/>
  <c r="P514" i="8"/>
  <c r="O491" i="8"/>
  <c r="M512" i="8"/>
  <c r="D239" i="12"/>
  <c r="B240" i="12" s="1"/>
  <c r="C240" i="12"/>
  <c r="O665" i="8"/>
  <c r="O654" i="8" s="1"/>
  <c r="O651" i="8"/>
  <c r="I2127" i="5"/>
  <c r="Q665" i="8"/>
  <c r="M354" i="8"/>
  <c r="X2127" i="5"/>
  <c r="Q2103" i="5"/>
  <c r="U1196" i="5"/>
  <c r="U795" i="5"/>
  <c r="U936" i="5"/>
  <c r="W2081" i="5"/>
  <c r="X2081" i="5" s="1"/>
  <c r="N408" i="8"/>
  <c r="F136" i="14" s="1"/>
  <c r="M402" i="8"/>
  <c r="M497" i="8"/>
  <c r="O465" i="8"/>
  <c r="G254" i="14" s="1"/>
  <c r="Q499" i="8"/>
  <c r="O467" i="8"/>
  <c r="G256" i="14" s="1"/>
  <c r="L164" i="8"/>
  <c r="O1701" i="5"/>
  <c r="X2103" i="5"/>
  <c r="H2070" i="5"/>
  <c r="P2067" i="5"/>
  <c r="I2071" i="5"/>
  <c r="Q2070" i="5"/>
  <c r="Q166" i="8" s="1"/>
  <c r="P2012" i="5"/>
  <c r="P139" i="8" s="1"/>
  <c r="H2018" i="5"/>
  <c r="W2018" i="5"/>
  <c r="X2018" i="5" s="1"/>
  <c r="I2018" i="5"/>
  <c r="Q2012" i="5"/>
  <c r="Q139" i="8" s="1"/>
  <c r="Q399" i="8" s="1"/>
  <c r="G2066" i="5"/>
  <c r="O2063" i="5"/>
  <c r="O163" i="8" s="1"/>
  <c r="F2063" i="5"/>
  <c r="N2058" i="5"/>
  <c r="G2071" i="5"/>
  <c r="O2070" i="5"/>
  <c r="O166" i="8" s="1"/>
  <c r="W2071" i="5"/>
  <c r="X2071" i="5" s="1"/>
  <c r="Q2066" i="5"/>
  <c r="Q1701" i="5"/>
  <c r="I2103" i="5"/>
  <c r="E2033" i="5"/>
  <c r="M2515" i="5"/>
  <c r="D2067" i="5"/>
  <c r="L149" i="8"/>
  <c r="F2067" i="5"/>
  <c r="P2066" i="5"/>
  <c r="P1701" i="5"/>
  <c r="I256" i="14" l="1"/>
  <c r="D164" i="8"/>
  <c r="L497" i="8" s="1"/>
  <c r="F164" i="8"/>
  <c r="E149" i="8"/>
  <c r="F163" i="8"/>
  <c r="I142" i="8"/>
  <c r="I194" i="8"/>
  <c r="H142" i="8"/>
  <c r="M513" i="8"/>
  <c r="H166" i="8"/>
  <c r="I182" i="8"/>
  <c r="P164" i="8"/>
  <c r="P408" i="8" s="1"/>
  <c r="H136" i="14" s="1"/>
  <c r="P546" i="8"/>
  <c r="O690" i="8"/>
  <c r="Q182" i="8"/>
  <c r="Q413" i="8" s="1"/>
  <c r="Q467" i="8" s="1"/>
  <c r="Q546" i="8"/>
  <c r="N161" i="8"/>
  <c r="N2033" i="5"/>
  <c r="W2079" i="5"/>
  <c r="X2079" i="5" s="1"/>
  <c r="L354" i="8"/>
  <c r="N407" i="8"/>
  <c r="F135" i="14" s="1"/>
  <c r="P399" i="8"/>
  <c r="H113" i="14" s="1"/>
  <c r="L408" i="8"/>
  <c r="D136" i="14" s="1"/>
  <c r="L495" i="8"/>
  <c r="L402" i="8"/>
  <c r="M511" i="8"/>
  <c r="M495" i="8"/>
  <c r="M466" i="8"/>
  <c r="M455" i="8"/>
  <c r="G2070" i="5"/>
  <c r="O2067" i="5"/>
  <c r="O164" i="8" s="1"/>
  <c r="O408" i="8" s="1"/>
  <c r="G136" i="14" s="1"/>
  <c r="W2070" i="5"/>
  <c r="X2070" i="5" s="1"/>
  <c r="G2063" i="5"/>
  <c r="O2058" i="5"/>
  <c r="H2012" i="5"/>
  <c r="P1980" i="5"/>
  <c r="P123" i="8" s="1"/>
  <c r="W2012" i="5"/>
  <c r="X2012" i="5" s="1"/>
  <c r="H2066" i="5"/>
  <c r="P2063" i="5"/>
  <c r="P163" i="8" s="1"/>
  <c r="W2066" i="5"/>
  <c r="X2066" i="5" s="1"/>
  <c r="I2070" i="5"/>
  <c r="Q2067" i="5"/>
  <c r="Q164" i="8" s="1"/>
  <c r="Q408" i="8" s="1"/>
  <c r="D2033" i="5"/>
  <c r="L2515" i="5"/>
  <c r="I2066" i="5"/>
  <c r="Q2063" i="5"/>
  <c r="Q163" i="8" s="1"/>
  <c r="I2012" i="5"/>
  <c r="Q1980" i="5"/>
  <c r="E2515" i="5"/>
  <c r="M1702" i="5"/>
  <c r="F2058" i="5"/>
  <c r="N149" i="8"/>
  <c r="H2067" i="5"/>
  <c r="M470" i="8" l="1"/>
  <c r="E255" i="14"/>
  <c r="F161" i="8"/>
  <c r="N497" i="8" s="1"/>
  <c r="I139" i="8"/>
  <c r="D149" i="8"/>
  <c r="H139" i="8"/>
  <c r="P493" i="8" s="1"/>
  <c r="P491" i="8" s="1"/>
  <c r="Q491" i="8" s="1"/>
  <c r="I136" i="14"/>
  <c r="D148" i="14"/>
  <c r="E148" i="14" s="1"/>
  <c r="D141" i="14"/>
  <c r="H164" i="8"/>
  <c r="I166" i="8"/>
  <c r="G163" i="8"/>
  <c r="F141" i="14"/>
  <c r="D147" i="14"/>
  <c r="E147" i="14" s="1"/>
  <c r="G166" i="8"/>
  <c r="H116" i="14"/>
  <c r="I113" i="14"/>
  <c r="I116" i="14" s="1"/>
  <c r="L513" i="8"/>
  <c r="L511" i="8" s="1"/>
  <c r="N354" i="8"/>
  <c r="P663" i="8"/>
  <c r="P654" i="8" s="1"/>
  <c r="P651" i="8"/>
  <c r="Q663" i="8"/>
  <c r="Q651" i="8"/>
  <c r="Q123" i="8"/>
  <c r="Q394" i="8" s="1"/>
  <c r="U1980" i="5"/>
  <c r="O161" i="8"/>
  <c r="O407" i="8" s="1"/>
  <c r="G135" i="14" s="1"/>
  <c r="G141" i="14" s="1"/>
  <c r="O2033" i="5"/>
  <c r="O149" i="8" s="1"/>
  <c r="W2077" i="5"/>
  <c r="X2077" i="5" s="1"/>
  <c r="N402" i="8"/>
  <c r="P394" i="8"/>
  <c r="N495" i="8"/>
  <c r="Q493" i="8"/>
  <c r="L466" i="8"/>
  <c r="L455" i="8"/>
  <c r="H1980" i="5"/>
  <c r="W1980" i="5"/>
  <c r="X1980" i="5" s="1"/>
  <c r="I1980" i="5"/>
  <c r="H2063" i="5"/>
  <c r="P2058" i="5"/>
  <c r="W2063" i="5"/>
  <c r="X2063" i="5" s="1"/>
  <c r="D2515" i="5"/>
  <c r="L1702" i="5"/>
  <c r="L1703" i="5" s="1"/>
  <c r="I2067" i="5"/>
  <c r="I2063" i="5"/>
  <c r="Q2058" i="5"/>
  <c r="F2033" i="5"/>
  <c r="N2515" i="5"/>
  <c r="G2058" i="5"/>
  <c r="G2067" i="5"/>
  <c r="W2067" i="5"/>
  <c r="X2067" i="5" s="1"/>
  <c r="L470" i="8" l="1"/>
  <c r="D255" i="14"/>
  <c r="E259" i="14"/>
  <c r="H123" i="8"/>
  <c r="G161" i="8"/>
  <c r="I163" i="8"/>
  <c r="I164" i="8"/>
  <c r="F149" i="8"/>
  <c r="H163" i="8"/>
  <c r="G164" i="8"/>
  <c r="I123" i="8"/>
  <c r="N513" i="8"/>
  <c r="N511" i="8" s="1"/>
  <c r="Q654" i="8"/>
  <c r="P690" i="8"/>
  <c r="O354" i="8"/>
  <c r="Q161" i="8"/>
  <c r="Q407" i="8" s="1"/>
  <c r="Q2033" i="5"/>
  <c r="U2033" i="5" s="1"/>
  <c r="U2103" i="5" s="1"/>
  <c r="U2175" i="5" s="1"/>
  <c r="P161" i="8"/>
  <c r="P407" i="8" s="1"/>
  <c r="H135" i="14" s="1"/>
  <c r="H141" i="14" s="1"/>
  <c r="P2033" i="5"/>
  <c r="P149" i="8" s="1"/>
  <c r="W2076" i="5"/>
  <c r="X2076" i="5" s="1"/>
  <c r="O497" i="8"/>
  <c r="Q465" i="8"/>
  <c r="O402" i="8"/>
  <c r="P465" i="8"/>
  <c r="H254" i="14" s="1"/>
  <c r="N466" i="8"/>
  <c r="N455" i="8"/>
  <c r="H2058" i="5"/>
  <c r="W2058" i="5"/>
  <c r="X2058" i="5" s="1"/>
  <c r="G2033" i="5"/>
  <c r="O2515" i="5"/>
  <c r="I2058" i="5"/>
  <c r="F2515" i="5"/>
  <c r="N1702" i="5"/>
  <c r="D259" i="14" l="1"/>
  <c r="N470" i="8"/>
  <c r="F255" i="14"/>
  <c r="I254" i="14"/>
  <c r="I161" i="8"/>
  <c r="O513" i="8"/>
  <c r="O511" i="8" s="1"/>
  <c r="G149" i="8"/>
  <c r="I135" i="14"/>
  <c r="I141" i="14" s="1"/>
  <c r="H161" i="8"/>
  <c r="P497" i="8" s="1"/>
  <c r="P495" i="8" s="1"/>
  <c r="Q690" i="8"/>
  <c r="Q149" i="8"/>
  <c r="Q354" i="8" s="1"/>
  <c r="P354" i="8"/>
  <c r="O495" i="8"/>
  <c r="O466" i="8"/>
  <c r="O455" i="8"/>
  <c r="P402" i="8"/>
  <c r="W2033" i="5"/>
  <c r="X2033" i="5" s="1"/>
  <c r="G2515" i="5"/>
  <c r="O1702" i="5"/>
  <c r="H2033" i="5"/>
  <c r="P2515" i="5"/>
  <c r="I2033" i="5"/>
  <c r="Q2515" i="5"/>
  <c r="O470" i="8" l="1"/>
  <c r="G255" i="14"/>
  <c r="Q497" i="8"/>
  <c r="Q513" i="8" s="1"/>
  <c r="F259" i="14"/>
  <c r="I149" i="8"/>
  <c r="P513" i="8"/>
  <c r="P511" i="8" s="1"/>
  <c r="Q511" i="8" s="1"/>
  <c r="H149" i="8"/>
  <c r="Q402" i="8"/>
  <c r="Q455" i="8" s="1"/>
  <c r="Q495" i="8"/>
  <c r="P466" i="8"/>
  <c r="P455" i="8"/>
  <c r="H2515" i="5"/>
  <c r="P1702" i="5"/>
  <c r="I2515" i="5"/>
  <c r="Q1702" i="5"/>
  <c r="G259" i="14" l="1"/>
  <c r="P470" i="8"/>
  <c r="H255" i="14"/>
  <c r="I255" i="14" s="1"/>
  <c r="I259" i="14" s="1"/>
  <c r="Q466" i="8"/>
  <c r="Q470" i="8" s="1"/>
  <c r="H259" i="14" l="1"/>
</calcChain>
</file>

<file path=xl/comments1.xml><?xml version="1.0" encoding="utf-8"?>
<comments xmlns="http://schemas.openxmlformats.org/spreadsheetml/2006/main">
  <authors>
    <author>ADMIN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4*salle du primaire
(3 salles de rattrapage et 1 salle d'alpha)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 ce prix, en général on reconstruit.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 metre carré/étudiant, 400 USD/metre carré, et 100 dollars d'équipement par étudiant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Voir données UCAG
</t>
        </r>
      </text>
    </comment>
  </commentList>
</comments>
</file>

<file path=xl/comments2.xml><?xml version="1.0" encoding="utf-8"?>
<comments xmlns="http://schemas.openxmlformats.org/spreadsheetml/2006/main">
  <authors>
    <author>Hafedh</author>
    <author>ADMIN</author>
    <author>HP6530b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Hafedh:</t>
        </r>
        <r>
          <rPr>
            <sz val="9"/>
            <color indexed="81"/>
            <rFont val="Tahoma"/>
            <family val="2"/>
          </rPr>
          <t xml:space="preserve">
utiliser les classes disponibles</t>
        </r>
      </text>
    </comment>
    <comment ref="E106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élèves 1ère à 5ème année primaire public Kin province et Lubum/ville
feuille calculs
</t>
        </r>
      </text>
    </comment>
    <comment ref="E108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Tous les élèves de 6ème année public du pays</t>
        </r>
      </text>
    </comment>
    <comment ref="E120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30 PROVED + 5 services centraux
</t>
        </r>
      </text>
    </comment>
    <comment ref="A141" authorId="2" shapeId="0">
      <text>
        <r>
          <rPr>
            <sz val="8"/>
            <color indexed="81"/>
            <rFont val="Tahoma"/>
            <family val="2"/>
          </rPr>
          <t xml:space="preserve">Calcul sur la base de la projection des effectifs en 2025 (15 060 000 élèves de primaire au public) 
</t>
        </r>
      </text>
    </comment>
    <comment ref="F14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50 personnes dans 30 provinces
</t>
        </r>
      </text>
    </comment>
    <comment ref="G14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50 personnes dans 30 provinces
</t>
        </r>
      </text>
    </comment>
    <comment ref="H14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50 personnes dans 30 provinces
</t>
        </r>
      </text>
    </comment>
    <comment ref="I14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50 personnes dans 30 provinces
</t>
        </r>
      </text>
    </comment>
    <comment ref="G338" authorId="0" shapeId="0">
      <text>
        <r>
          <rPr>
            <b/>
            <sz val="9"/>
            <color indexed="81"/>
            <rFont val="Tahoma"/>
            <family val="2"/>
          </rPr>
          <t>Hafedh:</t>
        </r>
        <r>
          <rPr>
            <sz val="9"/>
            <color indexed="81"/>
            <rFont val="Tahoma"/>
            <family val="2"/>
          </rPr>
          <t xml:space="preserve">
Inspecteurs 
2500 Primaire
3500 Secondaire</t>
        </r>
      </text>
    </comment>
    <comment ref="A516" authorId="2" shapeId="0">
      <text>
        <r>
          <rPr>
            <b/>
            <sz val="8"/>
            <color indexed="81"/>
            <rFont val="Tahoma"/>
            <family val="2"/>
          </rPr>
          <t>HP6530b:</t>
        </r>
        <r>
          <rPr>
            <sz val="8"/>
            <color indexed="81"/>
            <rFont val="Tahoma"/>
            <family val="2"/>
          </rPr>
          <t xml:space="preserve">
Étude réalisée en 2013. A revoir. 
</t>
        </r>
      </text>
    </comment>
    <comment ref="G58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1/Province et national
</t>
        </r>
      </text>
    </comment>
    <comment ref="G658" authorId="0" shapeId="0">
      <text>
        <r>
          <rPr>
            <b/>
            <sz val="9"/>
            <color indexed="81"/>
            <rFont val="Tahoma"/>
            <family val="2"/>
          </rPr>
          <t>Hafedh:</t>
        </r>
        <r>
          <rPr>
            <sz val="9"/>
            <color indexed="81"/>
            <rFont val="Tahoma"/>
            <family val="2"/>
          </rPr>
          <t xml:space="preserve">
Inspecteurs 
2500 Primaire
3500 Secondaire</t>
        </r>
      </text>
    </comment>
    <comment ref="E684" authorId="0" shapeId="0">
      <text>
        <r>
          <rPr>
            <b/>
            <sz val="9"/>
            <color indexed="81"/>
            <rFont val="Tahoma"/>
            <family val="2"/>
          </rPr>
          <t>Hafedh:</t>
        </r>
        <r>
          <rPr>
            <sz val="9"/>
            <color indexed="81"/>
            <rFont val="Tahoma"/>
            <family val="2"/>
          </rPr>
          <t xml:space="preserve">
60% Général et Normal
40% TP</t>
        </r>
      </text>
    </comment>
    <comment ref="G783" authorId="0" shapeId="0">
      <text>
        <r>
          <rPr>
            <b/>
            <sz val="9"/>
            <color indexed="81"/>
            <rFont val="Tahoma"/>
            <family val="2"/>
          </rPr>
          <t>Hafedh:</t>
        </r>
        <r>
          <rPr>
            <sz val="9"/>
            <color indexed="81"/>
            <rFont val="Tahoma"/>
            <family val="2"/>
          </rPr>
          <t xml:space="preserve">
Inspecteurs 
2500 Primaire
3500 Secondaire</t>
        </r>
      </text>
    </comment>
    <comment ref="E917" authorId="0" shapeId="0">
      <text>
        <r>
          <rPr>
            <b/>
            <sz val="9"/>
            <color indexed="81"/>
            <rFont val="Tahoma"/>
            <family val="2"/>
          </rPr>
          <t>Hafedh:</t>
        </r>
        <r>
          <rPr>
            <sz val="9"/>
            <color indexed="81"/>
            <rFont val="Tahoma"/>
            <family val="2"/>
          </rPr>
          <t xml:space="preserve">
60% Général et Normal
40% TP</t>
        </r>
      </text>
    </comment>
    <comment ref="H947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1200 étudiants par établissement. 2 établissements la première année, puis 3</t>
        </r>
      </text>
    </comment>
    <comment ref="F983" authorId="0" shapeId="0">
      <text>
        <r>
          <rPr>
            <b/>
            <sz val="9"/>
            <color indexed="81"/>
            <rFont val="Tahoma"/>
            <family val="2"/>
          </rPr>
          <t>Hafedh:</t>
        </r>
        <r>
          <rPr>
            <sz val="9"/>
            <color indexed="81"/>
            <rFont val="Tahoma"/>
            <family val="2"/>
          </rPr>
          <t xml:space="preserve">
9700 enseignants dans les filières techniques</t>
        </r>
      </text>
    </comment>
    <comment ref="F1002" authorId="0" shapeId="0">
      <text>
        <r>
          <rPr>
            <b/>
            <sz val="9"/>
            <color indexed="81"/>
            <rFont val="Tahoma"/>
            <family val="2"/>
          </rPr>
          <t>Hafedh:</t>
        </r>
        <r>
          <rPr>
            <sz val="9"/>
            <color indexed="81"/>
            <rFont val="Tahoma"/>
            <family val="2"/>
          </rPr>
          <t xml:space="preserve">
121 filières existantes</t>
        </r>
      </text>
    </comment>
  </commentList>
</comments>
</file>

<file path=xl/sharedStrings.xml><?xml version="1.0" encoding="utf-8"?>
<sst xmlns="http://schemas.openxmlformats.org/spreadsheetml/2006/main" count="3652" uniqueCount="1639">
  <si>
    <t>Programme</t>
  </si>
  <si>
    <t>Unité</t>
  </si>
  <si>
    <t>Quantités</t>
  </si>
  <si>
    <t>Échéancier de réalisation (USD)</t>
  </si>
  <si>
    <t>Responsable</t>
  </si>
  <si>
    <t>Financement</t>
  </si>
  <si>
    <t>Imputation</t>
  </si>
  <si>
    <t xml:space="preserve">Composante Action Activité </t>
  </si>
  <si>
    <t>Total</t>
  </si>
  <si>
    <t>USD</t>
  </si>
  <si>
    <t>identifié</t>
  </si>
  <si>
    <t>PME</t>
  </si>
  <si>
    <t>1.3.2 Construction de structures publiques</t>
  </si>
  <si>
    <t>1.4.1 Équipement en matériel d'éveil (public et ECE)</t>
  </si>
  <si>
    <t>1.4.2 Guides pédagogiques pour le préscolaire</t>
  </si>
  <si>
    <t>1.5.1. Formation initiale des enseignants et encadreurs</t>
  </si>
  <si>
    <t>1.5.2 Formation continue des enseignants et encadreurs</t>
  </si>
  <si>
    <t>1.6.1 Moyens de déplacement des inspecteurs</t>
  </si>
  <si>
    <t>2. Enseignement primaire : Un enseignement primaire de qualité pour apporter à tous les savoirs et compétences de base</t>
  </si>
  <si>
    <t xml:space="preserve">2.1 Capacité d'accueil du primaire : Augmenter les capacités d’accueil </t>
  </si>
  <si>
    <t>2.1.1 Construction et réhabilitation des salles de classe</t>
  </si>
  <si>
    <t>2.1.2 Réhabilitation des écoles hors normes</t>
  </si>
  <si>
    <t>2.2 Gratuité des écoles publiques : Les frais scolaires sont supprimés dans les écoles primaires publiques conventionnées et non conventionnées</t>
  </si>
  <si>
    <t>2.2.1 Prise en charge des personnels</t>
  </si>
  <si>
    <t>2.3 Résorption des disparités dans l'offre : Une capacité d'accueil mieux répartie sur le territoire</t>
  </si>
  <si>
    <t>2.3.1 Incitations pour les enseignants</t>
  </si>
  <si>
    <t>2.3.2 Recenser les disparités d'offre pour guider la création des écoles/classes</t>
  </si>
  <si>
    <t>2.4 Amélioration de l'équité d'accès : soutenir la scolarisation des populations défavorisées ou marginalisées</t>
  </si>
  <si>
    <t>2.4.1 Coopératives scolaires</t>
  </si>
  <si>
    <t xml:space="preserve">2.4.2 Cantines scolaires </t>
  </si>
  <si>
    <t>2.4.3 Aides directes aux familles</t>
  </si>
  <si>
    <t>2.4.4 Accueil des élèves à besoins spécifiques</t>
  </si>
  <si>
    <t>2.4.5 Scolarisation des enfants autochtones</t>
  </si>
  <si>
    <t>2.5 Scolarisation des filles : Encourager la scolarisation des filles</t>
  </si>
  <si>
    <t xml:space="preserve">2.5.2 Construction de sanitaires séparés </t>
  </si>
  <si>
    <t>2.5.3 Recenser les disparités d'offre pour guider la création des écoles/classes</t>
  </si>
  <si>
    <t xml:space="preserve">2.6 Matériels et équipements pédagogiques : Rendre accessibles et disponibles les manuels scolaires et le matériel didactique </t>
  </si>
  <si>
    <t>2.6.2 Manuels scolaires pour le primaire</t>
  </si>
  <si>
    <t>2.6.3 Plaquettes sur l'éducation à la gestion, l'éducation à la paix et la citoyenneté</t>
  </si>
  <si>
    <t>2.6.4 Guides pédagogiques pour les enseignants</t>
  </si>
  <si>
    <t xml:space="preserve">2.7.1 Former les enseignants </t>
  </si>
  <si>
    <t>2.7.2 Activités de lecture harmonisées</t>
  </si>
  <si>
    <t>2.7.3 Projets pédagogiques centrés sur la lecture</t>
  </si>
  <si>
    <t>2.8.1 Construction de latrines</t>
  </si>
  <si>
    <t>2.8.2 Accès à l'eau</t>
  </si>
  <si>
    <t>2.8.3 Accès à l'électricité</t>
  </si>
  <si>
    <t>2.8.4 Clôtures des écoles</t>
  </si>
  <si>
    <t>2.8.5 Équipement pour activités physiques et sportives</t>
  </si>
  <si>
    <t>2.8.6 Équipement en bibliothèques</t>
  </si>
  <si>
    <t>2.9.2 Formation des directeurs d'écoles</t>
  </si>
  <si>
    <t>2.9.3 Constitution de réseaux de proximité</t>
  </si>
  <si>
    <t>3. Éducation non formelle : Permettre aux personnes non scolarisées d'acquérir les savoirs de base</t>
  </si>
  <si>
    <t>3.1. Amélioration de l’accès aux offres de formation : Diversifier l’offre en développant les partenariats pour satisfaire la demande plurielle d’AENF provenant des provinces sous-scolarisées et des groupes marginalisés d’éducation pour</t>
  </si>
  <si>
    <t>3.1.1 Implication des communautés locales et renforcement des capacités des organisations et des facilitateurs communautaires qui serviront de relais pour la mobilisation et la sensibilisation</t>
  </si>
  <si>
    <t>3.1.2 Ouverture de centres, réhabilitation et construction, équipements des centres, identification des écoles primaires qui serviront en même temps des centres de rattrapage scolaire et d’alphabétisation</t>
  </si>
  <si>
    <t>3.2. Protection sociale : renforcer les capacités des communautés et des familles</t>
  </si>
  <si>
    <t>3.2.1 Identifier les communautés de base et les structures de référencement (écoles, centres de formation,…)</t>
  </si>
  <si>
    <t>3.2.2 Identifier les apprenants les plus vulnérables dans les offres de l’AENF</t>
  </si>
  <si>
    <t>3.2.3 Accorder l’appui institutionnel aux structures d’accueil</t>
  </si>
  <si>
    <t>3.3. Programmes de l'AENF : Harmoniser les programmes et les adapter aux besoins des bénéficiaires</t>
  </si>
  <si>
    <t>3.3.1 Ateliers nationaux de révision et de validation des programmes, normes et standards de qualité</t>
  </si>
  <si>
    <t>3.4.1 Ateliers d'élaboration et de production</t>
  </si>
  <si>
    <t>3.5.1 Ateliers de codification des langues locales</t>
  </si>
  <si>
    <t>3.5.3 Campagnes de vulgarisation des manuels et guides</t>
  </si>
  <si>
    <t>3.6.2 Document de certification, en concertation avec les parties concernées</t>
  </si>
  <si>
    <t>3.9.1 Structure et organigramme de la DGENF et des divisions provinciales</t>
  </si>
  <si>
    <t>3.9.2 Moyens de la DGENF et des structures déconcentrées</t>
  </si>
  <si>
    <t>3.9.3 Transformation du Service polyvalent et d'éducation permanente en Centre de ressources</t>
  </si>
  <si>
    <t>3.10.1 Encadrement de proximité par les inspecteurs du primaire</t>
  </si>
  <si>
    <t>3.11.1 Plan et actions de communication</t>
  </si>
  <si>
    <t>3.11.2 Site web de l'AENF</t>
  </si>
  <si>
    <t>4.1 Mise en place de l'éducation de base de 8 ans : déterminer les contenus, les finalités et le mode d’organisation de l'éducation de base étendue à 8 ans</t>
  </si>
  <si>
    <t>4.1.2 Étude des profils d'enseignants nécessaires</t>
  </si>
  <si>
    <t>4.1.3 Étude infrastructures et répartition territoriale</t>
  </si>
  <si>
    <t>4.1.4 Étude sur la gestion des flux et l'orientation scolaire</t>
  </si>
  <si>
    <t>4.1.5 Étude gouvernance, coûts et regroupement éventuel avec primaire</t>
  </si>
  <si>
    <t>4.2.1 Construction et équipement</t>
  </si>
  <si>
    <t xml:space="preserve">4.3.2 Subventions aux écoles </t>
  </si>
  <si>
    <t xml:space="preserve">4.4.2 Manuels scolaires </t>
  </si>
  <si>
    <t>4.5.1 Équipement en table-bancs</t>
  </si>
  <si>
    <t>4.5.2 Équipement pour activités physiques et sportives</t>
  </si>
  <si>
    <t>4.5.3 Équipement en bibliothèques</t>
  </si>
  <si>
    <t>4.7.1 Moyens de déplacement des inspecteurs</t>
  </si>
  <si>
    <t>4.7.2 Primes d'itinérance</t>
  </si>
  <si>
    <t>4.7.3 Moyens informatiques</t>
  </si>
  <si>
    <t>5.1 Réforme du secondaire : distinguer entre filières générales et filières professionnelles</t>
  </si>
  <si>
    <t>5.1.1 Réforme des filières et spécialisation des écoles secondaires</t>
  </si>
  <si>
    <t>5.3 Moyens des écoles : Apporter des ressources complétées par les frais scolaires payés par les familles</t>
  </si>
  <si>
    <t>5.3.2 Construction des salles de classe</t>
  </si>
  <si>
    <t>5.5.1 Équipement des laboratoires</t>
  </si>
  <si>
    <t>5.5.2 Équipement des bibliothèques</t>
  </si>
  <si>
    <t>5.6.1 Équipement mobiliers</t>
  </si>
  <si>
    <t>6.1 Réorganisation de l'offre de l'ETFP : améliorer et rendre plus équitable et pertinente l'offre d'ETFP</t>
  </si>
  <si>
    <t>6.1.1 Identification des besoins de qualification</t>
  </si>
  <si>
    <t>6.1.2 Étude de redimensionnement des écoles et de faisabilité des nouvelles filières</t>
  </si>
  <si>
    <t>6.1.5 Création de centres de ressources dans chaque Proved</t>
  </si>
  <si>
    <t>6.1.6 Centres d'application dans chaque sous division provinciale</t>
  </si>
  <si>
    <t>6.2 Réforme du système d'orientation : Rendre le système d'orientation plus équitable</t>
  </si>
  <si>
    <t>6.2.1 Activités de sensibilisation pour encourager l'accès des filles à l'ETFP</t>
  </si>
  <si>
    <t>6.2.2 Bourses d'études</t>
  </si>
  <si>
    <t xml:space="preserve">6.3 Matériels et équipements pédagogiques : Rendre accessibles et disponibles les manuels scolaires et le matériel didactique </t>
  </si>
  <si>
    <t>6.3.2 Manuels scolaires</t>
  </si>
  <si>
    <t>6.4.2 Concertations provinciales sur les filières porteuses</t>
  </si>
  <si>
    <t>6.5 Environnement éducatif : Apporter aux écoles les équipements nécessaires à un apprentissage de qualité</t>
  </si>
  <si>
    <t>6.6.1 Création d'un centre national d'ingénierie de la formation</t>
  </si>
  <si>
    <t>6.6.2 Formation des enseignants</t>
  </si>
  <si>
    <t>6.7.1 Moyens de déplacement des inspecteurs</t>
  </si>
  <si>
    <t>6.7.2 Primes d'itinérance</t>
  </si>
  <si>
    <t>6.7.3 Moyens informatiques</t>
  </si>
  <si>
    <t>7. Enseignement supérieur : Former les cadres qualifiés et ouverts aux technologies qui porteront le développement économique</t>
  </si>
  <si>
    <t>7.1.1 Octroi d’une bourse d’études aux filles scolarisées dans les filières d’ingénierie</t>
  </si>
  <si>
    <t>7.2.1 Opérationnalisation de la dimension sociale de l’ESU</t>
  </si>
  <si>
    <t>7.3.1 Prise en charge des personnels</t>
  </si>
  <si>
    <t>7.3.2 Infrastructures</t>
  </si>
  <si>
    <t>7.4.1 Mise en place des Cellules de l’Assurance-Qualité/Autoévaluation</t>
  </si>
  <si>
    <t xml:space="preserve">7.5.1 Développement/Restructuration des Institutions spécifiques pour les filières techniques et technologiques dans les pôles et secteurs de croissance </t>
  </si>
  <si>
    <t>7.6.1 Arrimage progressif au processus de Bologne (Système LMD)</t>
  </si>
  <si>
    <t>7.7.1 Renforcement de l’utilisation des TIC</t>
  </si>
  <si>
    <t>7.7.2 Développement d'une bibliothèque virtuelle nationale</t>
  </si>
  <si>
    <t xml:space="preserve">7.8.1 Interconnectivité des EES </t>
  </si>
  <si>
    <t>7.9.2 Mise en place d’un fonds compétitif pour la Recherche</t>
  </si>
  <si>
    <t>7.9.3 Renforcement des capacités des PUC</t>
  </si>
  <si>
    <t>7.9.4 Création des écoles doctorales</t>
  </si>
  <si>
    <t>7.10.1 Extension du bassin d’emploi du Personnel Enseignant qualifié</t>
  </si>
  <si>
    <t>7.10.2 Mise en place du système d’octroi des bourses doctorales locales</t>
  </si>
  <si>
    <t>7.12.2 Amélioration des infrastructures et équipements des structures de planification</t>
  </si>
  <si>
    <t>7.12.3 Promotion d’une culture statistique, de planification stratégique et de la gestion axée sur les résultats</t>
  </si>
  <si>
    <t>7.13. Renforcement des outils de bonne Gouvernance : Promouvoir la bonne gouvernance dans les EES</t>
  </si>
  <si>
    <t>7.13.1 Simplification du cadre juridique et administratif</t>
  </si>
  <si>
    <t>7.13.2 Mise en place des instruments de gestion académique, financière et administrative dans les EES</t>
  </si>
  <si>
    <t>7.13.3 Mise en place des mécanismes d’évaluation externe</t>
  </si>
  <si>
    <t>7.13.4 Mise en place des contrats de performances avec les EES</t>
  </si>
  <si>
    <t>8.1 Moyens des services administratifs : Moyens des services administratifs</t>
  </si>
  <si>
    <t>8.1.1 Rémunérations</t>
  </si>
  <si>
    <t>8.1.3 Investissements</t>
  </si>
  <si>
    <t>8.2.2 Subvention de fonctionnement</t>
  </si>
  <si>
    <t>8.3 Gestion des carrières : Mettre en place une gestion efficace des carrières</t>
  </si>
  <si>
    <t>8.3.1 Système de retraite</t>
  </si>
  <si>
    <t>8.3.2 Réforme des statuts</t>
  </si>
  <si>
    <t>Thème</t>
  </si>
  <si>
    <t>Plan d'action de la Stratégie sectorielle de l’éducation et de la formation 2016-2025</t>
  </si>
  <si>
    <t>Programme 2016-2020</t>
  </si>
  <si>
    <t>Taux de change</t>
  </si>
  <si>
    <t>CFD / USD</t>
  </si>
  <si>
    <t>Rubrique</t>
  </si>
  <si>
    <t>Coût unitaire</t>
  </si>
  <si>
    <t>Part BIRD</t>
  </si>
  <si>
    <t>Code</t>
  </si>
  <si>
    <t>Libellé</t>
  </si>
  <si>
    <t>monétaire</t>
  </si>
  <si>
    <t>physique</t>
  </si>
  <si>
    <t>Assistance technique internationale (consultants)</t>
  </si>
  <si>
    <t>Pers / j</t>
  </si>
  <si>
    <t>Assistance technique nationale (consultants)</t>
  </si>
  <si>
    <t>Assistance technique internationale (bureaux d'études-Instance internationale)</t>
  </si>
  <si>
    <t>Pers / m</t>
  </si>
  <si>
    <t>Assistance technique nationale (bureaux d'études)</t>
  </si>
  <si>
    <t>Atelier de validation</t>
  </si>
  <si>
    <t>Édition Rapports</t>
  </si>
  <si>
    <t>Forfait</t>
  </si>
  <si>
    <t>Séminaire</t>
  </si>
  <si>
    <t>Construction et équipement de salle de classe au préprimaire</t>
  </si>
  <si>
    <t>Construction et équipement de salle de classe au primaire</t>
  </si>
  <si>
    <t>Construction et équipement de salle de classe au secondaire</t>
  </si>
  <si>
    <t>Construction de salle de classe à l'ETFP</t>
  </si>
  <si>
    <t>Réhabilitation de salle de classe au primaire</t>
  </si>
  <si>
    <t>Réhabilitation de salle de classe au secondaire</t>
  </si>
  <si>
    <t>Réhabilitation de salle de classe à l'ETFP</t>
  </si>
  <si>
    <t>Bicyclette</t>
  </si>
  <si>
    <t>Équipement de bureau</t>
  </si>
  <si>
    <t>Équipement de laboratoire 2</t>
  </si>
  <si>
    <t>Rubriques de dépense et hypothèses de coût unitaire appliquées</t>
  </si>
  <si>
    <t>Les ECE accueillent 20% des élèves du préscolaire en 2025</t>
  </si>
  <si>
    <t>Résultats</t>
  </si>
  <si>
    <t>1.3 Expansion de l'offre publique d'écoles maternelles : accroitre l'offre publique d'enseignement maternel</t>
  </si>
  <si>
    <t>1.4 Équipement des structures : Équiper les écoles maternelles en matériels didactiques</t>
  </si>
  <si>
    <t>1.5 Formation des animateurs : Des enseignants qualifiés</t>
  </si>
  <si>
    <t>1.6 Supervision des structures et des enseignants : Assurer l'encadrement pédagogique et administratif des structures</t>
  </si>
  <si>
    <t>En 2020, tous les inspecteurs sont équipés en moyens de déplacement</t>
  </si>
  <si>
    <t>En 2025, tous les enseignants et encadreurs disposent d'un guide</t>
  </si>
  <si>
    <t>En 2025, 100% des centres publics et communautaires sont équipés</t>
  </si>
  <si>
    <t>1100 salles de classe supplémentaires construites d'ici 2025</t>
  </si>
  <si>
    <t>Atelier technique</t>
  </si>
  <si>
    <t>Support publicitaire : affiches</t>
  </si>
  <si>
    <t>Support publicitaire : panneaux</t>
  </si>
  <si>
    <t>Unité/mois</t>
  </si>
  <si>
    <t>Production et diffusion de spots / sketchs audios</t>
  </si>
  <si>
    <t>Campagne de sensibilisation</t>
  </si>
  <si>
    <t>1.2 Classes préparatoires dans les écoles primaires : développer la préscolarisation des enfants de 5 ans</t>
  </si>
  <si>
    <t>1.2.2 Expérimentation de la classe préparatoire</t>
  </si>
  <si>
    <t>1.2.2.2 Évaluer l'expérience pilote</t>
  </si>
  <si>
    <t>50% des enseignants pris en charge par l'État</t>
  </si>
  <si>
    <t>1.3.2.1 Construction de salles de classe pour le préprimaire</t>
  </si>
  <si>
    <t>Tous les encadreurs des ECE et les enseignants reçoivent une formation d'une semaine lors de leur recrutement</t>
  </si>
  <si>
    <t>Tous les encadreurs des ECE et les enseignants reçoivent une formation d'une semaine tous les deux ans</t>
  </si>
  <si>
    <t>Une étude de faisabilité a été réalisée en 2014</t>
  </si>
  <si>
    <t>Une expérimentation sur 100 écoles en 2015-16 et une évaluation est menée en 2016</t>
  </si>
  <si>
    <t>1.3.1.1 Recenser les enseignants de la classe préparatoire</t>
  </si>
  <si>
    <t>Mission en province des services centraux</t>
  </si>
  <si>
    <t>Mission en province des services déconcentrés</t>
  </si>
  <si>
    <t>Paiement d'un enseignant préscolaire</t>
  </si>
  <si>
    <t>2.1.1.1 Construction de salle de classe primaire</t>
  </si>
  <si>
    <t>En 2025, 28 000 salles de classe sont construites</t>
  </si>
  <si>
    <t>En 2025, 51 000 salles de classe hors norme réhabilitées</t>
  </si>
  <si>
    <t xml:space="preserve">2.1.2.1 Réhabilitation de salle de classe </t>
  </si>
  <si>
    <t>En 2025, tous les enseignants du primaire sont pris en charge par l'état</t>
  </si>
  <si>
    <t>2.2.1.1 Recenser les enseignants du primaire à prendre en charge</t>
  </si>
  <si>
    <t>Paiement d'un enseignant primaire</t>
  </si>
  <si>
    <t>En 2020, les frais directs sont remplacés par une subvention de fonctionnement</t>
  </si>
  <si>
    <t>Mission à Kinhsasa des services centraux</t>
  </si>
  <si>
    <t>Subvention pour une école publique à Kinshsasa ou Lubumbashi pour la prise en charge des frais directs de 1ère à 5ème année</t>
  </si>
  <si>
    <t>Subvention pour prise en charge des frais directs 6ème année</t>
  </si>
  <si>
    <t>En 2025, 10% des enseignants reçoivent une bonification pour exercice dans des zones isolées</t>
  </si>
  <si>
    <t>Prime pour enseignant primaire en zone isolée</t>
  </si>
  <si>
    <t>SECOPE/SG</t>
  </si>
  <si>
    <t>Construction d'un logement pour enseignant en zone difficile</t>
  </si>
  <si>
    <t>En 2025, des outils de carte scolaire sont mis en place dans les services provinciaux</t>
  </si>
  <si>
    <t>Formation à l'étranger</t>
  </si>
  <si>
    <t>Des campagnes de sensibilisation des communautés sont menées dans chaque province administrative</t>
  </si>
  <si>
    <t>3.1.1.1 Définir un plan de communication</t>
  </si>
  <si>
    <t>3.1.1.2 Développer des outils et des supports</t>
  </si>
  <si>
    <t>3.1.1.3 Assurer des campagnes IEC</t>
  </si>
  <si>
    <t>La capacité des centres d'AENF est doublée entre 2016 et 2025</t>
  </si>
  <si>
    <t>3.1.2.1 Identification des écoles primaires pouvant servir d'appui</t>
  </si>
  <si>
    <t>3.1.2.3 Réhabilitation et équipement de centres de promotion sociale</t>
  </si>
  <si>
    <t>Construction et équipement d'un centre d'alpha et rattrapage (4 salles et bureau directeur)</t>
  </si>
  <si>
    <t xml:space="preserve">Réhabilitation et équipement d'un centre d'alpha et rattrapage </t>
  </si>
  <si>
    <t>Subvention pour prise en charge des frais directs des apprenants en rattrapage</t>
  </si>
  <si>
    <t>Les enfants vulnérables sont protégés et référés</t>
  </si>
  <si>
    <t>Tous les centres reçoivent un soutien sous formes d'outils et matériels pédagogiques</t>
  </si>
  <si>
    <t>4.1.1.1 Déterminer les contenus et les finalités de la réforme vers l'éducation de base étendue à 8 ans</t>
  </si>
  <si>
    <t>4.1.2.1 Déterminer les profils des enseignants</t>
  </si>
  <si>
    <t>4.1.3.1 Diagnostic et propositions pour la gestion des infrastructures dans le cadre de l'enseignement de base</t>
  </si>
  <si>
    <t>4.1.4.1 Mise à disposition d'un mécanisme de gestion des flux accompagné d'outils opérationnels</t>
  </si>
  <si>
    <t xml:space="preserve">4.1.5.2 Sensibilisation à la réforme de l'éducation de base </t>
  </si>
  <si>
    <t>4.2.1.1 Construction de salles de classes</t>
  </si>
  <si>
    <t>26 000 salles de classes construites entre 2016 et 2025</t>
  </si>
  <si>
    <t>4.3.1.1 Recenser les enseignants du secondaire à prendre en charge</t>
  </si>
  <si>
    <t>En 2025, toutes les écoles reçoivent une subvention pour le fonctionnement des classes 1&amp;2</t>
  </si>
  <si>
    <t>Subvention pour le fonctionnement d'une école publique secondaire</t>
  </si>
  <si>
    <t>4.3.2.1 Subvention de fonctionnement au secondaire</t>
  </si>
  <si>
    <t>Dispositions règlementaires prises en 2016</t>
  </si>
  <si>
    <t>13 000 salles construites et équipées entre 2016 et 2025</t>
  </si>
  <si>
    <t>5.3.2.1 Construction et équipement des salles au secondaire</t>
  </si>
  <si>
    <t>6.1.5.1 Construction et équipement d'un centre de ressource ETFP</t>
  </si>
  <si>
    <t>Construction d'un centre de ressource ETFP équipé</t>
  </si>
  <si>
    <t>Construction centre d'application ETFP équipé</t>
  </si>
  <si>
    <t>Equipement établissement transformé pour l'ETFP</t>
  </si>
  <si>
    <t>Chaque année, un nouveau  EES est ouvert dans des zones défavorisées</t>
  </si>
  <si>
    <t>5000 postes supplémentaires entre 2015 et 2025</t>
  </si>
  <si>
    <t>7.3.1.1 Paiement des enseignants</t>
  </si>
  <si>
    <t>470 salles et amphithéâtres construits et équipés entre 2015 et 2025</t>
  </si>
  <si>
    <t>Construction et équipement amphithéâtre 300 places</t>
  </si>
  <si>
    <t>7.3.2.1 Construction de 70 amphithéâtres</t>
  </si>
  <si>
    <t>7.3.2.2 Construction de 400 salles pour le supérieur</t>
  </si>
  <si>
    <t>Construction et équipement salle pour le supérieur 100 places</t>
  </si>
  <si>
    <t>7.3.2.3 Réhabilitation des laboratoires et ateliers</t>
  </si>
  <si>
    <t>Réhabilitation des laboratoires et atelier</t>
  </si>
  <si>
    <t>Équipement de laboratoire et atelier (supérieur)</t>
  </si>
  <si>
    <t>Salaire/an/p</t>
  </si>
  <si>
    <t>Prime/an/p</t>
  </si>
  <si>
    <t>Subvention annuelle/élève</t>
  </si>
  <si>
    <t>Subvention annuelle/école</t>
  </si>
  <si>
    <t>En 2025, 3000 écoles disposent d'une cantine scolaire subventionnée</t>
  </si>
  <si>
    <t>En 2025, les familles de 10% des élèves reçoivent une allocation</t>
  </si>
  <si>
    <t xml:space="preserve">En 2025, 50% des écoles sont dotées d'accès facilité pour les personnes handicapées </t>
  </si>
  <si>
    <t>En 2025, 300 000 élèves autochtones reçoivent une allocation</t>
  </si>
  <si>
    <t>La proportion de filles/femmes augmente parmi les apprenants</t>
  </si>
  <si>
    <t>Dispositions règlementaires prises en 2017</t>
  </si>
  <si>
    <t>études progressivement menées jusqu'en 2020,  pour déterminer les modalités de création</t>
  </si>
  <si>
    <t>Critères définis et dispositions règlementaires prises  pour 2017</t>
  </si>
  <si>
    <t>Tous les programmes d'enseignement sont actualisés entre 2016 et 2020</t>
  </si>
  <si>
    <t>En 2025, chaque province éducationnelle possède au moins un centre de ressources</t>
  </si>
  <si>
    <t>En 2025, toutes les sous-divisions provinciales sont munies d'un centre d'application</t>
  </si>
  <si>
    <t>En 2018, tous les établissements transformés pour l'ETP possèdent les équipements nécessaires à leurs filières</t>
  </si>
  <si>
    <t>2.4.4.1  Définition d'une politique nationale pour l'éducation inclusive</t>
  </si>
  <si>
    <t>2.4.4.2 Formation des chefs d'établissement et enseignants à l'éducation inclusive</t>
  </si>
  <si>
    <t>2.4.4.3 Intégration des modules de formation à l'éducation inclusive dans la formation initiale des enseignants</t>
  </si>
  <si>
    <t>UNICEF</t>
  </si>
  <si>
    <t>Voyage d'études et autres missions à l'étranger (Jumelage et echange d'expérience)</t>
  </si>
  <si>
    <t>Construction d'une place assise (1m2/ étudiant) à l'enseignement supérieur</t>
  </si>
  <si>
    <t>Réhabilitation de salle de classe au primaire ( local ESU)</t>
  </si>
  <si>
    <t xml:space="preserve">Construction de sanitaires séparés </t>
  </si>
  <si>
    <t>Équipement de bibliothèque</t>
  </si>
  <si>
    <t>Équipement de filière technique</t>
  </si>
  <si>
    <t>Forfait/Ecole</t>
  </si>
  <si>
    <t>Achat Voiture et ou Jeep (4x4)</t>
  </si>
  <si>
    <t>Achat de Moto</t>
  </si>
  <si>
    <t>Pirogues Motorisées</t>
  </si>
  <si>
    <t>Équipement informatique (lot PC, logiciel,  imprimante, photocopieuse, scanner)</t>
  </si>
  <si>
    <t>Équipement de laboratoire 1</t>
  </si>
  <si>
    <t>Table banc/Table (ETFP)</t>
  </si>
  <si>
    <t>Kit d'équipements sportifs</t>
  </si>
  <si>
    <t>Construction du CNIF</t>
  </si>
  <si>
    <t>Équipement du CNIF</t>
  </si>
  <si>
    <t>Armoire de stockage</t>
  </si>
  <si>
    <t>Energie Solaire (voltaique)</t>
  </si>
  <si>
    <t>Acquisition et distribution des manuels scolaires</t>
  </si>
  <si>
    <t>Acquisition et distribution de plaquettes/brochures/guides/livres</t>
  </si>
  <si>
    <t>Numérisation de modules de formation (PROSEB)</t>
  </si>
  <si>
    <t>Numérisation de modules de formation</t>
  </si>
  <si>
    <t>Dotation à la création de CRESD</t>
  </si>
  <si>
    <t>Réhabilitation d'un EES</t>
  </si>
  <si>
    <t>Construction d'un EES (Art et métiers)</t>
  </si>
  <si>
    <t>Équipement d'un EES (Art et métiers)</t>
  </si>
  <si>
    <t>Connexions internet</t>
  </si>
  <si>
    <t>Budget/an</t>
  </si>
  <si>
    <t>Production d'un spot et d'un sketch vidéo</t>
  </si>
  <si>
    <t>Diffusion de spots / sketchs video</t>
  </si>
  <si>
    <t>Fonctionnement d'une classe prépatoire (phase pilote)</t>
  </si>
  <si>
    <t>Fonctionnement d'une classe prépatoire (phase de généralisation)</t>
  </si>
  <si>
    <t>Fonctionnement point focal Genre</t>
  </si>
  <si>
    <t>Forfait annuel</t>
  </si>
  <si>
    <t>Bonification pour exercice dans des zones isolées</t>
  </si>
  <si>
    <t>Bourse d'études pour les filles à l'ETFP</t>
  </si>
  <si>
    <t>Bourse d'études pour les filles dans les filière d'ingénieurs</t>
  </si>
  <si>
    <t>Enveloppe pour réhabilitation et équipement des CAQ</t>
  </si>
  <si>
    <t>Enveloppe pour mobilité des enseignants et chercheurs</t>
  </si>
  <si>
    <t>Enveloppe pour réhabilitation et équipement de la CPE</t>
  </si>
  <si>
    <t>Budget de fonctionnement de la CPE</t>
  </si>
  <si>
    <t>Enveloppe pour équipement du Plan Numérique</t>
  </si>
  <si>
    <t>Forfait/ESS</t>
  </si>
  <si>
    <t>Enveloppe pour installation et équipement du CUI</t>
  </si>
  <si>
    <t>Budget de fonctionnement du CUI</t>
  </si>
  <si>
    <t>Enveloppe pour installation et équipement de la BVN</t>
  </si>
  <si>
    <t>Budget de fonctionnement de la BVN</t>
  </si>
  <si>
    <t>Budget de fonctionnement du réseau numérique</t>
  </si>
  <si>
    <t>Budget de fonctionnement de l'université virtuelle</t>
  </si>
  <si>
    <t>Enveloppe pour réhabilitation et équipement des PUC</t>
  </si>
  <si>
    <t>Budget de fonctionnement du PUC</t>
  </si>
  <si>
    <t>Enveloppe pour installer une ED</t>
  </si>
  <si>
    <t>Budget de fonctionnement d'une ED</t>
  </si>
  <si>
    <t>Budget de vacation</t>
  </si>
  <si>
    <t>Budget pour recrutement d'un enseignant</t>
  </si>
  <si>
    <t>Bourse doctorale</t>
  </si>
  <si>
    <t>Forfait/an</t>
  </si>
  <si>
    <t>Fonctionnement et maintenance d'un site web</t>
  </si>
  <si>
    <t>Enveloppe pour réhabilitation et équipement du centre de ressurce (ENF)</t>
  </si>
  <si>
    <t>Budget de fonctionnement du centre de ressurce (ENF)</t>
  </si>
  <si>
    <t>Budget de production de plan stratégique (EES)</t>
  </si>
  <si>
    <t>Kit pédagogique pour le primaire</t>
  </si>
  <si>
    <t>Kit pédagogique pour le secondaire</t>
  </si>
  <si>
    <t xml:space="preserve">Kit en matériels d'éveil pour une classe </t>
  </si>
  <si>
    <t>Primes Non Permanentes</t>
  </si>
  <si>
    <t>Primes d'itinérance (Inspecteurs itinérants)</t>
  </si>
  <si>
    <t>Prime/an</t>
  </si>
  <si>
    <t>P/j</t>
  </si>
  <si>
    <t>Subvention de fonctionnement des BG du MEPSINC</t>
  </si>
  <si>
    <t>Subvention de fonctionnement des services déconcentrés du METP</t>
  </si>
  <si>
    <t>Subvention de fonctionnement des services déconcentrés du MAS (ENF)</t>
  </si>
  <si>
    <t>Subvention de fonctionnement des Universités et des EES</t>
  </si>
  <si>
    <t>Frais de fonctionnement services centraux EPS-INC</t>
  </si>
  <si>
    <t>Frais de fonctionnement services centraux ETP</t>
  </si>
  <si>
    <t>Frais de fonctionnement services centraux MAS (ENF)</t>
  </si>
  <si>
    <t>Frais de fonctionnement services centraux MESU</t>
  </si>
  <si>
    <t>Frais de fonctionnement services déconcentrés EPS-INC (Budget)</t>
  </si>
  <si>
    <t>Frais de fonctionnement services déconcentrés EPS-INC (Autres)</t>
  </si>
  <si>
    <t>Frais de fonctionnement services déconcentrés ETP</t>
  </si>
  <si>
    <t>Frais de fonctionnement services déconcentrés MAS (ENF)</t>
  </si>
  <si>
    <t>Frais de fonctionnement services déconcentrés MESU</t>
  </si>
  <si>
    <t>1.4.1.1 Dotation en matériel d'éveil</t>
  </si>
  <si>
    <t xml:space="preserve">1.4.2.2 Impression et diffusion du guide </t>
  </si>
  <si>
    <t>1.5.2.1 Révision et validation des modules existants</t>
  </si>
  <si>
    <t>Équipement directeurs</t>
  </si>
  <si>
    <t>Salles de classe et nouveaux encadreurs</t>
  </si>
  <si>
    <t>Total des encadreurs</t>
  </si>
  <si>
    <t>Enseignants primaire</t>
  </si>
  <si>
    <t>Enseignants S1</t>
  </si>
  <si>
    <t>Part</t>
  </si>
  <si>
    <t>Enseignants S2</t>
  </si>
  <si>
    <t>Total secondaire</t>
  </si>
  <si>
    <t>2Guides pour préprimaire et S1</t>
  </si>
  <si>
    <t>Ecoles</t>
  </si>
  <si>
    <t>F</t>
  </si>
  <si>
    <t>M</t>
  </si>
  <si>
    <t>S</t>
  </si>
  <si>
    <t>ECM</t>
  </si>
  <si>
    <t>Rattrapage scolaire</t>
  </si>
  <si>
    <t>Alphabétisation</t>
  </si>
  <si>
    <t>Apprentissage</t>
  </si>
  <si>
    <t>Alpha</t>
  </si>
  <si>
    <t>Ecoles secondaires</t>
  </si>
  <si>
    <t>Part premier cycle</t>
  </si>
  <si>
    <t>Ecoles à équiper en kits</t>
  </si>
  <si>
    <t>Besoins en table banc</t>
  </si>
  <si>
    <t>Table banc à acheter</t>
  </si>
  <si>
    <t>Deuxième cycle</t>
  </si>
  <si>
    <t xml:space="preserve">Enseignants </t>
  </si>
  <si>
    <t>Elèves</t>
  </si>
  <si>
    <t>Manuel (3/élève)</t>
  </si>
  <si>
    <t>Guide pour enseignants</t>
  </si>
  <si>
    <t>Labo</t>
  </si>
  <si>
    <t>Besoins en TB S2</t>
  </si>
  <si>
    <t>ETFP</t>
  </si>
  <si>
    <t>Ecoles à équiper</t>
  </si>
  <si>
    <t>Manuel</t>
  </si>
  <si>
    <t>Mobilier</t>
  </si>
  <si>
    <t>Sport</t>
  </si>
  <si>
    <t>En 2025, toutes les écoles disposent de matériels pédagogiques</t>
  </si>
  <si>
    <t>2.6.1.1 Définition d'un kit minimal en matériel pédagogique pour une classe et une école</t>
  </si>
  <si>
    <t>2.6.1.2 Production, acquisition et distribution du matériel pédagogique</t>
  </si>
  <si>
    <t xml:space="preserve">En 2025, tous les enfants disposent de 3 manuels </t>
  </si>
  <si>
    <t>2.6.2.3 Suivi de distribution des manuels scolaires</t>
  </si>
  <si>
    <t>A partir de 2017, toutes les écoles disposent de la documentation</t>
  </si>
  <si>
    <t xml:space="preserve">2.6.3.2 Acquisition et distribution des plaquettes </t>
  </si>
  <si>
    <t>2.6.3.3 Formation à l'utilisation des plaquettes</t>
  </si>
  <si>
    <t>En 2025, tous les enseignants du préscolaire au 1er cycle secondaire disposent de 2 guides</t>
  </si>
  <si>
    <t>2.6.4.1 Élaboration des guides pédagogiques</t>
  </si>
  <si>
    <t>2.6.4.2 Production et distribution des guides pédagogiques</t>
  </si>
  <si>
    <t>2.6.5 Les COGES disposant de moyens de conservation des matériels</t>
  </si>
  <si>
    <t>En 2020, toutes les écoles disposent d'armoires de stockage</t>
  </si>
  <si>
    <t>2.6.5.1 Acquisition et distribution d'armoires de stockage</t>
  </si>
  <si>
    <t>Tous les enseignants de 1ère et 2ème année reçoivent une semaine de formation à l'utilisation des programmes lecture, tous les 2 ans</t>
  </si>
  <si>
    <t>à partir de 2016, toutes les écoles développent des activités de lecture</t>
  </si>
  <si>
    <t>2.7.2.3. Formation des formateurs</t>
  </si>
  <si>
    <t>En 2020, toutes les écoles disposent d'un projet pédagogique centré sur la lecture</t>
  </si>
  <si>
    <t>2.7.4.1 Élaboration d'outils d'évaluation</t>
  </si>
  <si>
    <t>2.7.4.2  Réalisation par les inspecteurs d'évaluations régulières des actions des écoles pour la lecture</t>
  </si>
  <si>
    <t>En 2025, toutes les écoles disposent d'un bloc latrine pour 2 classes</t>
  </si>
  <si>
    <t>En 2025, toutes les écoles ont accès à l'eau potable</t>
  </si>
  <si>
    <t>En 2025, 50% des écoles ont accès à l'énergie électrique</t>
  </si>
  <si>
    <t>En 2025, toutes les écoles ont une clôture</t>
  </si>
  <si>
    <t xml:space="preserve">2.8.5.1 Définition d'un kit minimum pour une école d'équipements pour activités physiques et sportives </t>
  </si>
  <si>
    <t>2.8.5.2 Acquisition et distribution d'équipement pour activités physiques et sportives</t>
  </si>
  <si>
    <t>2.8.6.4 Acquisition et distribution de livres</t>
  </si>
  <si>
    <t>2.9.1 Renforcer la formation continue des enseignants</t>
  </si>
  <si>
    <t>Tous les enseignants reçoivent deux semaines de formation tous les deux ans</t>
  </si>
  <si>
    <t>2.9.1.2 Numérisation et opérationnalisation des modules de formation</t>
  </si>
  <si>
    <t>PROSEB</t>
  </si>
  <si>
    <t>2.9.1.4 Mise en place des CRESD dans les différentes provinces</t>
  </si>
  <si>
    <t>2.9.1.5 Formation des inspecteurs et des conseillers d'enseignement</t>
  </si>
  <si>
    <t>Tous les directeurs reçoivent une formation d'une semaine chaque année</t>
  </si>
  <si>
    <t>En 2025, toutes les écoles font partie d'un réseau de proximité</t>
  </si>
  <si>
    <t>2.9.3.2 Extension des REP sur tout le territoire</t>
  </si>
  <si>
    <t>2.9.4 Systématisation du mécanisme d'évaluation de l'impact des formations</t>
  </si>
  <si>
    <t>Les programmes sont révisés en 2018</t>
  </si>
  <si>
    <t>3.3.1.1 Révision des programmes</t>
  </si>
  <si>
    <t>10 000 animateurs formés en 2019 et 2020</t>
  </si>
  <si>
    <t>3.3.2.1 Formation du personnel, de la société civile à l'utilisation des programmes</t>
  </si>
  <si>
    <t xml:space="preserve">Ateliers organisés en 2017, après la révision des programmes </t>
  </si>
  <si>
    <t xml:space="preserve">3.4.1.1 Ateliers techniques de révision du programme de rattrapage scolaire </t>
  </si>
  <si>
    <t>3.4.1.2 Harmoniser les programmes d'alphabétisation existants</t>
  </si>
  <si>
    <t>En 2020, tous les centres sont équipés en matériels andragogiques</t>
  </si>
  <si>
    <t>3.4.2.2 Formation des utilisateurs aux manuels et guides pédagogiques de rattrapage scolaire</t>
  </si>
  <si>
    <t>3.4.3 Uniformisation des manuels d'alphabétisation et d'apprentissage professionnel</t>
  </si>
  <si>
    <t>Plusieurs ateliers menés chaque année à partir de 2016</t>
  </si>
  <si>
    <t>3.5.2 Aide à la production des manuels et guides en langue locale d'alphabétisation et post alphabétisation</t>
  </si>
  <si>
    <t>Un budget annuel de 50 000 $ pour des subventions accordées aux auteurs et éditeurs</t>
  </si>
  <si>
    <t>3.5.2.2 Atelier de validation des manuels et guides en langue locale</t>
  </si>
  <si>
    <t>3.5.2.3 Production et distribution des manuels et guides en langue locale</t>
  </si>
  <si>
    <t>une campagne est menée dans chaque sous division après la mise au point des guides dans chaque langue</t>
  </si>
  <si>
    <t>3.5.3.1 Formation des enseignants à l'utilisation des manuels et guides</t>
  </si>
  <si>
    <t>3.6.1 Harmonisation des outils de suivi et d'évaluation des apprenants</t>
  </si>
  <si>
    <t>Outils élaborés et opérationnels en 2017</t>
  </si>
  <si>
    <t>Un document de certification opérationnel en 2017</t>
  </si>
  <si>
    <t xml:space="preserve">3.6.2.1 Standardisation des documents de certification </t>
  </si>
  <si>
    <t>Modules de formation mis au point en 2017</t>
  </si>
  <si>
    <t>3.7.1 Actualisation des modules de formation</t>
  </si>
  <si>
    <t>Tous les enseignants reçoivent une semaine de formation tous les deux ans</t>
  </si>
  <si>
    <t xml:space="preserve">3.7.1.1 Actualisation des modules de formation de rattrapage scolaire </t>
  </si>
  <si>
    <t>3.7.1.2 Actualisation des modules de formation d'alphabétisation</t>
  </si>
  <si>
    <t>3.7.1.3 Actualisation des modules de formation d'apprentissage professionnel</t>
  </si>
  <si>
    <t>3.7.2 Formation des éducateurs sociaux</t>
  </si>
  <si>
    <t xml:space="preserve">3.7.2.1 Formation des formateurs des éducateurs sociaux </t>
  </si>
  <si>
    <t>4.4.1 Équipements pédagogiques</t>
  </si>
  <si>
    <t>4.4.1.1 Définition du kit d'équipement en matériel pédagogique pour le premier cycle du secondaire</t>
  </si>
  <si>
    <t>4.4.1.2 Acquisition et distribution de kits pédagogiques</t>
  </si>
  <si>
    <t>4.4.2.4 Acquisition et distribution des manuels scolaires en français, mathématiques et sciences</t>
  </si>
  <si>
    <t>4.4.3 Guides pédagogiques pour les enseignants</t>
  </si>
  <si>
    <t>En 2018, tous les enseignants du 1er cycle disposent d'un guide</t>
  </si>
  <si>
    <t>4.4.2.4 Acquisition et distribution des guides pédagogiques pour les enseignants</t>
  </si>
  <si>
    <t>En 2025, toutes les écoles sont équipées en tables-bancs</t>
  </si>
  <si>
    <t>En 2025, toutes les écoles ont accès à des équipements sportifs pour les activités d'EPS</t>
  </si>
  <si>
    <t xml:space="preserve">4.5.2.1 Définition d'un kit minimum pour une école d'équipements pour activités physiques et sportives </t>
  </si>
  <si>
    <t>4.5.2.2 Acquisition et distribution d'équipement pour activités physiques et sportives</t>
  </si>
  <si>
    <t>En 2025, toutes les écoles disposent d'une bibliothèque</t>
  </si>
  <si>
    <t>4.5.3.1 Analyse des besoins en bibliothèques (audit de l'existant)</t>
  </si>
  <si>
    <t>4.5.3.2 Définition d'une bibliothèque standard et élaboration d'un guide de gestion</t>
  </si>
  <si>
    <t>4.5.3.5 Acquisition et distribution de livres et de matériel</t>
  </si>
  <si>
    <t>4.6.1 Formation continue des enseignants</t>
  </si>
  <si>
    <t>4.6.1.1 Développer et actualiser les modules de formation</t>
  </si>
  <si>
    <t>4.6.1.2 Mettre en place le plan de formation</t>
  </si>
  <si>
    <t>5.4.1.1 Définition du kit d'équipement en matériel pédagogique pour le premier cycle du secondaire</t>
  </si>
  <si>
    <t>5.4.1.2 Acquisition et distribution de kits pédagogiques</t>
  </si>
  <si>
    <t xml:space="preserve">5.4.2 Manuels scolaires </t>
  </si>
  <si>
    <t>5.4.2.4 Acquisition et distribution des manuels scolaires en français, mathématiques et sciences</t>
  </si>
  <si>
    <t>En 2025 tous les établissements secondaires disposent des équipements de laboratoires nécessaires</t>
  </si>
  <si>
    <t>En 2025 tous les établissements secondaires disposent d'une bibliothèque équipée</t>
  </si>
  <si>
    <t>5.5.3.1 Analyse des besoins en bibliothèques (audit de l'existant)</t>
  </si>
  <si>
    <t>5.5.3.2 Définition d'une bibliothèque standard et élaboration d'un guide de gestion</t>
  </si>
  <si>
    <t>5.5.3.5 Acquisition et distribution de livres et de matériel</t>
  </si>
  <si>
    <t xml:space="preserve">80 000 table-bancs 2 places sont achetés chaque année </t>
  </si>
  <si>
    <t>5.6.1.1 Acquisition et distribution de table banc</t>
  </si>
  <si>
    <t>5.6.2 Équipement pour activités physiques et sportives</t>
  </si>
  <si>
    <t>En 2025, tous les établissements auront reçu un lot de matériel</t>
  </si>
  <si>
    <t>5.6.2.1 Acquisition et distribution d'équipement pour activités physiques et sportives</t>
  </si>
  <si>
    <t>5.7.1.1 Développer et actualiser les modules de formation</t>
  </si>
  <si>
    <t>5.7.1.2 Mettre en place le plan de formation</t>
  </si>
  <si>
    <t>En 2025, toutes les écoles disposent de matériels pédagogiques nécessaires</t>
  </si>
  <si>
    <t>6.3.1.1 Équipement pédagogiques pour les filières prioritaires</t>
  </si>
  <si>
    <t>En 2025, tous les élèves disposent de tous les manuels nécessaires en fonction de leurs options (moyenne 5)</t>
  </si>
  <si>
    <t>6.3.2.1 Définition des besoins en manuels scolaires</t>
  </si>
  <si>
    <t>6.3.2.2 Acquisition et distribution de manuels scolaires</t>
  </si>
  <si>
    <t>6.4 Adaptation au marché du travail : Mettre en adéquation les formations avec les besoins du marché du travail</t>
  </si>
  <si>
    <t>6.4.1 Cadre de concertation entre l'administration et secteur privé productif</t>
  </si>
  <si>
    <t>Un cadre national de concertation élaboré et opérationnel</t>
  </si>
  <si>
    <t>6.4.1.1 Définition du cadre national de concertation</t>
  </si>
  <si>
    <t>6.4.1.2 Mise en place et fonctionnement du mécanisme de concertation</t>
  </si>
  <si>
    <t>Des concertations sont menées dans chaque province sur les filières porteuses, entre 2016 et 2018</t>
  </si>
  <si>
    <t>6.4.2.1 Définition des modalités de concertation régionale</t>
  </si>
  <si>
    <t>6.4.2.2 Assurer les concertations régionales</t>
  </si>
  <si>
    <t>6.4.3 Promotion du partenariat avec le secteur privé</t>
  </si>
  <si>
    <t>En 2020, tous les centres de ressources et d'application auront des accords de partenariat avec des entreprises</t>
  </si>
  <si>
    <t>6.4.3.1 Définition de modèles de partenariat</t>
  </si>
  <si>
    <t>6.4.3.2 Mise en place des accords de partenariat</t>
  </si>
  <si>
    <t>En 2020, tous les établissements ont accès à des équipements sportifs</t>
  </si>
  <si>
    <t>6.5.2.1 Acquisition et distribution d'équipement pour activités physiques et sportives</t>
  </si>
  <si>
    <t>En 2020, tous les établissements possèdent une bibliothèque</t>
  </si>
  <si>
    <t>6.5.3.1 Analyse des besoins en bibliothèques (audit de l'existant)</t>
  </si>
  <si>
    <t>6.5.3.2 Définition d'une bibliothèque standard et élaboration d'un guide de gestion</t>
  </si>
  <si>
    <t>Le centre est créé en 2018</t>
  </si>
  <si>
    <t>6.6.1.2 Construction et équipement du CNIF</t>
  </si>
  <si>
    <t>En 2025, tous les EES disposent d'une cellule assurance qualité opérationnelle</t>
  </si>
  <si>
    <t>7.4.1.1 Actualisation des textes régissant les cellules d'assurance qualité (CAQ)</t>
  </si>
  <si>
    <t>7.4.1.3 Réhabilitation et équipement des CAQ</t>
  </si>
  <si>
    <t>7.4.2 Établir une Agence nationale indépendante d’Assurance-Qualité</t>
  </si>
  <si>
    <t>L'agence est établie en 2018</t>
  </si>
  <si>
    <t>7.4.2.2 Mise en place de l'ANIAQ</t>
  </si>
  <si>
    <t>7.5 Développement des filières techniques, technologiques et professionnelles dans les pôles et secteurs de croissance : Adapter le système de formation aux besoin de l'économie</t>
  </si>
  <si>
    <t>7.5.1.1 Définition / révision des programmes</t>
  </si>
  <si>
    <t>7.5.2.2 Mise en œuvre du programme de développement</t>
  </si>
  <si>
    <t xml:space="preserve">7.6 Inscription du Système Congolais d’Enseignement Supérieur dans la mouvance mondiale : Promouvoir la participation des EES de la RDC aux partenariats régionaux et internationaux d'enseignement supérieur et de recherche </t>
  </si>
  <si>
    <t>7.6.1.1 Définition du programme de mise en place du système LMD</t>
  </si>
  <si>
    <t>7.6.1.2 Révision des programmes selon le système LMD</t>
  </si>
  <si>
    <t>7.6.1.3 Édition et distribution des nouveaux programmes</t>
  </si>
  <si>
    <t>7.6.1.4 Formation aux nouveaux programmes</t>
  </si>
  <si>
    <t xml:space="preserve">En 2025, un fonds annuel de 500 000$ pour faciliter la mobilité des enseignants et des chercheurs </t>
  </si>
  <si>
    <t>7.6.2.1 Mise à niveau et fonctionnement de la CPE</t>
  </si>
  <si>
    <t>7.6.3.2 Subvention de la mobilité</t>
  </si>
  <si>
    <t>7.7 Implantation des TIC : Promouvoir l'utilisation des TIC dans l'enseignement, l'apprentissage, la recherche et la gouvernance</t>
  </si>
  <si>
    <t>En 2020, tous les enseignants, les chercheurs et les étudiants ont accès à des ressources informatiques</t>
  </si>
  <si>
    <t>7.7.1.1 Définition du Plan numérique des universités</t>
  </si>
  <si>
    <t>7.7.1.2 Mise en place du Plan numérique</t>
  </si>
  <si>
    <t>7.7.1.3 Mise en place d'un centre universitaire informatique</t>
  </si>
  <si>
    <t>En 2020, la RDC dispose d'une bibliothèque virtuelle nationale</t>
  </si>
  <si>
    <t>7.7.2.1 Définir l'architecture de la BVN</t>
  </si>
  <si>
    <t>7.7.2.2 Mise en place et fonctionnement de la BVN</t>
  </si>
  <si>
    <t>7.8 Désenclavement numérique des EES : Promouvoir l'utilisation des TIC dans l'enseignement, l'apprentissage, la recherche et la gouvernance de l'enseignement supérieur</t>
  </si>
  <si>
    <t>7.8.1.1 Définition du réseau numérique</t>
  </si>
  <si>
    <t>7.8.1.2 Mise en place et fonctionnement du réseau numérique des EES</t>
  </si>
  <si>
    <t>7.8.2.1 Définition du concept et du mécanisme de fonctionnement</t>
  </si>
  <si>
    <t>7.8.2.2 Développement de la formation à distance</t>
  </si>
  <si>
    <t>7.9.1 Valorisation des résultats de la recherche au niveau provincial et national</t>
  </si>
  <si>
    <t>7.9.1.1 Assurer la tenue des exposition régionales et nationales</t>
  </si>
  <si>
    <t>7.9.1.2 Octroi des prix aux œuvres porteuses</t>
  </si>
  <si>
    <t>7.9.2.1 Définition du concept et du mode de fonctionnement</t>
  </si>
  <si>
    <t>7.9.2.2 Fonctionnement du fonds compétitif</t>
  </si>
  <si>
    <t>7.9.3.1 Définition du programme de mise à niveau</t>
  </si>
  <si>
    <t>7.9.3.2 Réhabilitation et équipement du PUC</t>
  </si>
  <si>
    <t>7.9.4.1 Étude de faisabilité de création des ED</t>
  </si>
  <si>
    <t>7.9.4.2 Mise en place des ED</t>
  </si>
  <si>
    <t>7.9.4.3 Assurer le fonctionnement des ED</t>
  </si>
  <si>
    <t>7.10.1.1 Développement d'un fichier des compétences nationales</t>
  </si>
  <si>
    <t>7.10.1.2 Recrutement de nouveaux enseignants et vacations</t>
  </si>
  <si>
    <t>1000 bourses sont attribuées chaque année aux enseignants/chercheurs inscrits dans les écoles doctorales</t>
  </si>
  <si>
    <t>7.10.2.1 Étude de définition du dispositif</t>
  </si>
  <si>
    <t>7.10.2.2 Assurer l'octroi des bourses doctorales</t>
  </si>
  <si>
    <t>2.5.1.1 Élaboration du programme d'allocation pour les provinces cibles</t>
  </si>
  <si>
    <t>2.5.1.2 Assurer la distribution des allocations</t>
  </si>
  <si>
    <t>En 2025, toutes les écoles disposent des sanitaires séparés</t>
  </si>
  <si>
    <t>2.5.2.1 Recensement de la situation</t>
  </si>
  <si>
    <t>2.5.2.2 Mise en place du programme de construction de sanitaires séparés</t>
  </si>
  <si>
    <t>Des outils de carte scolaire sont mis en place dans les services provinciaux</t>
  </si>
  <si>
    <t>2.5.3.1 Recensement de l'offre</t>
  </si>
  <si>
    <t>DGENF</t>
  </si>
  <si>
    <t>Des actions d'information sont menées auprès des élèves du premier cycle secondaire dans chaque province</t>
  </si>
  <si>
    <t>6.2.1.1 Définir un plan de sensibilisation</t>
  </si>
  <si>
    <t>6.2.1.2 Développer des outils et des supports</t>
  </si>
  <si>
    <t>6.2.1.3 Assurer des campagnes</t>
  </si>
  <si>
    <t>1000 bourses accordées chaque année pour les filles scolarisées dans des filières économiques prioritaires</t>
  </si>
  <si>
    <t>7.1. Accès des Filles à l’ESU : Promotion d’accès des Filles à l’ESU</t>
  </si>
  <si>
    <t>1000 bourses attribuées chaque année à partir de 2016</t>
  </si>
  <si>
    <t>7.1.1.1 Octroi d’une bourse d’études aux filles scolarisées dans les filières d'ingénieur</t>
  </si>
  <si>
    <t>Un plan de communication est établi et des actions menées dans les médias</t>
  </si>
  <si>
    <t>USAID/DFID</t>
  </si>
  <si>
    <t>Les cas de violence sont systématiquement rapportés et les dossiers instruits</t>
  </si>
  <si>
    <t>Encourager le recrutement de femmes enseignantes</t>
  </si>
  <si>
    <t>Des campagnes de sensibilisation sont menées</t>
  </si>
  <si>
    <t>Les préoccupations genre sont prises en compte lors de la révision des programmes et manuels</t>
  </si>
  <si>
    <t>Unicef/Save Children</t>
  </si>
  <si>
    <t>Unicef/Unesco</t>
  </si>
  <si>
    <t>Former 30 formateurs et 35 000 enseignants</t>
  </si>
  <si>
    <t>En 2025, tous les directeurs sont équipés en matériels informatique</t>
  </si>
  <si>
    <t>En 2025, tous les directeurs sont formés à l'utilisation de l'informatique</t>
  </si>
  <si>
    <t>3.8.1 Réunions du Comité de Concertation COMCON</t>
  </si>
  <si>
    <t>Les instances de conseil et de coordination se réunissent de manière régulière</t>
  </si>
  <si>
    <t>3.8.1.1 Dynamiser les instances de conseil et de coordination</t>
  </si>
  <si>
    <t>La DGENF est réorganisée</t>
  </si>
  <si>
    <t>3.9.2.1 Renforcement des capacités du personnel</t>
  </si>
  <si>
    <t>3.9.2.2 Renforcement des moyen matériels</t>
  </si>
  <si>
    <t>La DGENF et les structures déconcentrées sont opérationnelles</t>
  </si>
  <si>
    <t>Le centre de ressources est opérationnel en 2018</t>
  </si>
  <si>
    <t>3.9.3.1 Étude de faisabilité de la transformation service en centre de ressource</t>
  </si>
  <si>
    <t>3.9.3.2 Réhabilitation, équipement et fonctionnement du centre</t>
  </si>
  <si>
    <t>3.10.1.1 Formation spécifique destinée aux inspecteurs</t>
  </si>
  <si>
    <t>Les centres sont inspectés par les inspecteurs de l'enseignement primaire</t>
  </si>
  <si>
    <t>Un plan de communication et des supports de communication disponibles dès 2016</t>
  </si>
  <si>
    <t>Site Web opérationnel en 2017</t>
  </si>
  <si>
    <t>3.11.2.1 Développement et fonctionnement du site web</t>
  </si>
  <si>
    <t>A partir de 2018, tous les inspecteurs perçoivent la prime d'itinérance</t>
  </si>
  <si>
    <t>à partir de 2018, tous les inspecteurs sont équipés avec un ordinateur portable</t>
  </si>
  <si>
    <t>à partir de 2018, tous les inspecteurs disposent des moyens de déplacement (moto)</t>
  </si>
  <si>
    <t>à partir de 2016, tous les inspecteurs perçoivent la prime d'itinérance</t>
  </si>
  <si>
    <t>6.7.3.1 Équipement des inspecteurs en ordinateurs portables</t>
  </si>
  <si>
    <t>7.11 Restructuration et réorganisation du Système</t>
  </si>
  <si>
    <t>7.11.1.1 Étude d'élaboration du cadre normatif avec une cellule d'experts</t>
  </si>
  <si>
    <t xml:space="preserve">7.11.2 Organisation des états généraux de l'ESU </t>
  </si>
  <si>
    <t>7.11.2.1  Organisation et tenue des états généraux de l'enseignement supérieur</t>
  </si>
  <si>
    <t>7.11.3 Redimensionnement et réorganisation des EES publics</t>
  </si>
  <si>
    <t>7.11.4 Renforcement des audits internes et externes de la gestion des EES</t>
  </si>
  <si>
    <t>7.11.4.1  Définir les modèles d'audits interne et externe</t>
  </si>
  <si>
    <t>En 2025 tous les EES ont fait l'objet d'audits organisationnels de viabilité et de la scolarité</t>
  </si>
  <si>
    <t>7.12 Renforcement du Système d’information pour la Planification Stratégique et la Gestion axée sur les résultats : Promouvoir la planification stratégique et la gestion axée sur les résultats</t>
  </si>
  <si>
    <t xml:space="preserve">7.12.1 Consolidation du système d’information et de gestion de l’enseignement supérieur </t>
  </si>
  <si>
    <t>7.12.1.1 Définition de la cellule de planification et sa mise en place dans tous les EES</t>
  </si>
  <si>
    <t xml:space="preserve">7.12.1.2 Mise à jour de la carte universitaire </t>
  </si>
  <si>
    <t>7.12.1.3 Renforcement des capacité en matière de planification</t>
  </si>
  <si>
    <t>7.12.2.1 Réhabilitation et équipement des 26 cellules des planifications aux niveaux des conférences des chefs d'EES</t>
  </si>
  <si>
    <t>7.12.2.2 Appui technique aux EES pour l'élaboration de leur plan stratégique</t>
  </si>
  <si>
    <t xml:space="preserve">7.12.2.3 Utilisation par les EES de logiciels de gestion informatisée des ressources </t>
  </si>
  <si>
    <t>7.12.3.1 Production annuelle du plan stratégique des ESS</t>
  </si>
  <si>
    <t>7.13.2.1 Conception des outils de bonne  gouvernance</t>
  </si>
  <si>
    <t>7.13.2.2 Renforcement des capacités des gestionnaires des EES sur l'utilisation des outils de bonne gouvernance</t>
  </si>
  <si>
    <t>En 2025, les mécanismes de participation des partenaires externes à la gestion des EES publics sont en place</t>
  </si>
  <si>
    <t>7.13.3.1 Mise en place d'un cadre permanent de concertation</t>
  </si>
  <si>
    <t xml:space="preserve">7.13.4.1 Élaboration et validation des contrats des performances </t>
  </si>
  <si>
    <t>Les services gestionnaires ont les ressources suffisantes pour un fonctionnement efficace</t>
  </si>
  <si>
    <t>8.1.1.4 Rémunération des personnels des services centraux  ETP</t>
  </si>
  <si>
    <t>8.1.2 Autres dépenses de fonctionnement</t>
  </si>
  <si>
    <t>8.1.2.3 Fonctionnement des services centraux MAS</t>
  </si>
  <si>
    <t>8.1.2.4 Fonctionnement des services centraux ETP</t>
  </si>
  <si>
    <t>8.2.1 Rémunération du personnel</t>
  </si>
  <si>
    <t>8.2.2.1 Subvention de fonctionnement des BG du MEPSINC</t>
  </si>
  <si>
    <t>à partir de 2017, tous les établissements élaborent un projet</t>
  </si>
  <si>
    <t>Des rapports type sont élaborés et diffusés</t>
  </si>
  <si>
    <t>Conventions révisées en 2017</t>
  </si>
  <si>
    <t>Textes règlementaires pris en 2016 et 2017</t>
  </si>
  <si>
    <t>Étude sur un système de gestion des scolarités en 2017</t>
  </si>
  <si>
    <t>Formation au niveau local</t>
  </si>
  <si>
    <t>2.3.1.1 Prime et logement pour enseignants en zones isolées</t>
  </si>
  <si>
    <t>Formation - Action et Formation de formateurs</t>
  </si>
  <si>
    <t>Lot d'équipement de la CIEAS</t>
  </si>
  <si>
    <t>Aménagement des locaux pour la CIEAS</t>
  </si>
  <si>
    <t>Réhabilitation/Construction de salles de classe préparatoire</t>
  </si>
  <si>
    <t>1.2.1.1 Réalisation et validation d'une étude de faisabilité</t>
  </si>
  <si>
    <t>Étude réalisée</t>
  </si>
  <si>
    <t>1.2.3 Préparation et mise en œuvre de la classe préparatoire</t>
  </si>
  <si>
    <t>1.2.3.1 Préparation du programme de développement : Recensement et formation</t>
  </si>
  <si>
    <t>1.1.1.1 Évaluation de l'expérience des ECE et définition des possibilités de son extension</t>
  </si>
  <si>
    <t>1.1.1.2 Définir un plan de communication</t>
  </si>
  <si>
    <t>1.1.1.3 Développer des outils et des supports</t>
  </si>
  <si>
    <t>1.1.1.4 Assurer des campagnes IEC</t>
  </si>
  <si>
    <t>En 2025, 20% des élèves bénéficient d'uniformes et de fournitures scolaires à prix réduits</t>
  </si>
  <si>
    <t>GVT</t>
  </si>
  <si>
    <t>EPS/SERNAFOR</t>
  </si>
  <si>
    <t>ND</t>
  </si>
  <si>
    <t>1.2.2.1 Assurer le fonctionnement de la phase pilote de la classe préparatoire</t>
  </si>
  <si>
    <t>1.2.3.2 Mise en place de la classe préparatoire (objectif 7000 en 2020)</t>
  </si>
  <si>
    <t>2.2.2.1 Identification des écoles bénéficiaires de la subvention</t>
  </si>
  <si>
    <t>2.2.2.3 Prise en charge des frais directs pour la 6ème année</t>
  </si>
  <si>
    <t>BM</t>
  </si>
  <si>
    <t>20% des écoles</t>
  </si>
  <si>
    <t>Uniforme et fournitures scolaires à prix réduit</t>
  </si>
  <si>
    <t>2.4.1.2 Mise en place de mesures d'incitation à la création de coopératives scolaires</t>
  </si>
  <si>
    <t>Fonds de roulement pour coopérative scolaire</t>
  </si>
  <si>
    <t>EPS</t>
  </si>
  <si>
    <t>2.4.2.2 Mise en place de mesures d'incitations à la création de cantines scolaires</t>
  </si>
  <si>
    <t>Subvention aux cantines scolaires</t>
  </si>
  <si>
    <t>Cantines scolaires</t>
  </si>
  <si>
    <t>PAM</t>
  </si>
  <si>
    <t>2.4.5.1  Recensement des familles, des élèves et des écoles autochtones</t>
  </si>
  <si>
    <t>Subvention élèves autochtones</t>
  </si>
  <si>
    <t xml:space="preserve">Allocation pour la scolarisation d'un élève au primaire </t>
  </si>
  <si>
    <t>2.4.5.2 Distribution de l'allocation aux élèves</t>
  </si>
  <si>
    <t>2.5.1 Allocation aux écoles dans les 3 provinces les plus en retard pour la scolarisation des filles</t>
  </si>
  <si>
    <t>2.5.3.2 Programme de mise à niveau de la carte scolaire</t>
  </si>
  <si>
    <t>2.6.1 Équipements pédagogiques</t>
  </si>
  <si>
    <t>2.6.2.2 Acquisition et distribution de manuels scolaires</t>
  </si>
  <si>
    <t>UNICEF/BM</t>
  </si>
  <si>
    <t>2.7 Apprentissage de la lecture-écriture : améliorer les apprentissages de la lecture-écriture</t>
  </si>
  <si>
    <t>ACCELERE</t>
  </si>
  <si>
    <t>2.7.1.1 Formation des formateurs</t>
  </si>
  <si>
    <t>A partir de 2016, toutes les écoles reçoivent chaque année un lot de matériels pour les activités physiques et sportives</t>
  </si>
  <si>
    <t>A partir de 2016, les inspecteurs effectuent une évaluation régulière des actions des écoles pour la lecture</t>
  </si>
  <si>
    <t>EPS/Dir. Sport et loisirs</t>
  </si>
  <si>
    <t>2.9.1.6 Formation des enseignants</t>
  </si>
  <si>
    <t>2.9.1.1 Développement et actualisation des modules de formation</t>
  </si>
  <si>
    <t>GVT/ACCELERE</t>
  </si>
  <si>
    <t>PTF (AFD, CTB, PROSEB)</t>
  </si>
  <si>
    <t>GVT/PTF (AFD, CTB, PROSEB)</t>
  </si>
  <si>
    <t>BM/UNESCO</t>
  </si>
  <si>
    <t>Latrines</t>
  </si>
  <si>
    <t>MAS-DGENF/EPS-DEP</t>
  </si>
  <si>
    <t>3.1.2.2 Construction et équipement de centres de promotion sociale (alphabétisation, rattrapage)</t>
  </si>
  <si>
    <t>MAS-DSG</t>
  </si>
  <si>
    <t>Fonds Qatar</t>
  </si>
  <si>
    <t xml:space="preserve">En 2020, les enfants déscolarisés sont identifiés et en majorité insérés/réinsérés dans le système formel </t>
  </si>
  <si>
    <t>MAS-DGENF</t>
  </si>
  <si>
    <t>Identification par les services de l'AENF</t>
  </si>
  <si>
    <t>3.2.1.1 Recensement des communautés de base et structures de référencement</t>
  </si>
  <si>
    <t>MAS-DGNEF-DEP</t>
  </si>
  <si>
    <t>Chaque année, 10% des animateurs reçoivent une formation d'une semaine</t>
  </si>
  <si>
    <t>3.2.3.1 Identification des structures d'accueil</t>
  </si>
  <si>
    <t xml:space="preserve">3.2.3.2 Définition des outils et matériels pédagogiques </t>
  </si>
  <si>
    <t xml:space="preserve">3.2.3.3 Acquisition et distribution des outils et matériels pédagogiques </t>
  </si>
  <si>
    <t>Equipement d'un établissement du secondaire spécialisé</t>
  </si>
  <si>
    <t>3.2.4 Former les bénéficiaires à des Activités Génératrices de Revenus</t>
  </si>
  <si>
    <t>MAS-DEP/GFE</t>
  </si>
  <si>
    <t>MAS-DGNEF</t>
  </si>
  <si>
    <t>MAS-DGNEF/EPS-DIPROMAD</t>
  </si>
  <si>
    <t xml:space="preserve">3.3.2 Formation de animateurs (MAS.AH.SN, société civile) à l'utilisation et la gestion des programmes </t>
  </si>
  <si>
    <t>MAS-DGNEF/SENAPEP</t>
  </si>
  <si>
    <t>3.4 Supports et matériels andragogiques : équiper les centres en supports andragogiques rénovés</t>
  </si>
  <si>
    <t>MAS-DGENF-DIC</t>
  </si>
  <si>
    <t>MAS-DGNEF-DIC</t>
  </si>
  <si>
    <t>MAS-DGNEF-DIC/ETP</t>
  </si>
  <si>
    <t>MAS-DGNEF-DIC/EPS-DIPROMAD</t>
  </si>
  <si>
    <t>MAS-DGENF-DEP</t>
  </si>
  <si>
    <t>3.5 Utilisation des langues locales : codifier les langues locales utilisées pour l'alphabétisation et promouvoir leur utilisation</t>
  </si>
  <si>
    <t>MAS-DGNEF/CELTA</t>
  </si>
  <si>
    <t>MAS-DGENF/SENAPEP</t>
  </si>
  <si>
    <t xml:space="preserve">3.6.1.1 Standardisation des outils de suivi et d'évaluation des apprenants </t>
  </si>
  <si>
    <t>MAS-DGENF-DIC/EPS-IG</t>
  </si>
  <si>
    <t>3.6.3 Formation des inspecteurs aux outils de suivi et d'évaluation aux documents de certification</t>
  </si>
  <si>
    <t>MAS-DGENF-DIC/EPS-DIPROMAD</t>
  </si>
  <si>
    <t>MAS-DGENF-DIC/ETP</t>
  </si>
  <si>
    <t>MAS-DGENF/SENAPEP/EPS-DIPROMAD</t>
  </si>
  <si>
    <t>3.8. Organes de conseil et coordination : dynamiser les instances de conseil et de coordination</t>
  </si>
  <si>
    <t>MAS/SG</t>
  </si>
  <si>
    <t>MAS-DGENF/SG</t>
  </si>
  <si>
    <t>3.9. DGENF et structures déconcentrées : opérationnaliser les structures de supervision et de pilotage de l'AENF</t>
  </si>
  <si>
    <t>3.9.1.1 Étude sur la réorganisation de la DGENF</t>
  </si>
  <si>
    <t>MAS-DEP/SG</t>
  </si>
  <si>
    <t>3.10 Supervision et inspection : assurer l'encadrement pédagogique des centres</t>
  </si>
  <si>
    <t>MAS/EPS-IG</t>
  </si>
  <si>
    <t>MAS-DIC/EPS-IG</t>
  </si>
  <si>
    <t>3.10.1.2 Assurer l'encadrement pédagogique et administratif des centres</t>
  </si>
  <si>
    <t>3.11. Visibilité du sous-secteur : assurer la visibilité et la crédibilité du sous-secteur</t>
  </si>
  <si>
    <t>MAS-DEP-DGENF</t>
  </si>
  <si>
    <t>DSG</t>
  </si>
  <si>
    <t>4. Enseignement du premier cycle secondaire : développer l'accès au premier cycle et préparer l'éducation de base de 8 ans</t>
  </si>
  <si>
    <t>EPS-DIPROMAD-DEP</t>
  </si>
  <si>
    <t>EPS-IG</t>
  </si>
  <si>
    <t>EPS-DIS</t>
  </si>
  <si>
    <t>EPS-DEP</t>
  </si>
  <si>
    <t>EPS-CGC</t>
  </si>
  <si>
    <t>4.2 Accès équitable au premier cycle secondaire : apporter des infrastructures et équipements nécessaires</t>
  </si>
  <si>
    <t>4.4 Matériels et équipements pédagogiques : apporter aux écoles les manuels et matériels didactiques nécessaires</t>
  </si>
  <si>
    <t>EPS-DIPROMAD</t>
  </si>
  <si>
    <t>EPS-DIPROMAD/SERNAFOR</t>
  </si>
  <si>
    <t>4.5 Environnement éducatif : apporter aux écoles les équipements nécessaires</t>
  </si>
  <si>
    <t>4.5.1.1 Acquisition de table-bancs</t>
  </si>
  <si>
    <t>4.6 Formation des enseignants : former les enseignants</t>
  </si>
  <si>
    <t>EPS-SERNAFOR</t>
  </si>
  <si>
    <t>4.7 Supervision des structures et des enseignants : assurer l'encadrement pédagogique et administratif des écoles</t>
  </si>
  <si>
    <t>5. Enseignement du second cycle secondaire : maitriser et diversifier l'accès et préparer les élèves aux études supérieures</t>
  </si>
  <si>
    <t xml:space="preserve">5.4 Matériels et équipements pédagogiques : rendre accessibles et disponibles les manuels scolaires et le matériel didactique </t>
  </si>
  <si>
    <t xml:space="preserve">5.6 Environnement éducatif : apporter les équipements mobiliers </t>
  </si>
  <si>
    <t>Ordinateur portable</t>
  </si>
  <si>
    <t>6. Enseignement technique et formation professionnelle : apporter les qualifications nécessaires à l'économie nationale</t>
  </si>
  <si>
    <t>AFD</t>
  </si>
  <si>
    <t>EPS-DEP-SERNAFOR</t>
  </si>
  <si>
    <t>EPS-SECOPE</t>
  </si>
  <si>
    <t>EPS-SECOPE-IPP-SG</t>
  </si>
  <si>
    <t>EPS-SECOPE-SG</t>
  </si>
  <si>
    <t>EPS-SECOPE-DEP</t>
  </si>
  <si>
    <t>EPS-SECOPE-SG-DIS</t>
  </si>
  <si>
    <t>EPS-EVF-PROVED</t>
  </si>
  <si>
    <t>EPS-EVF</t>
  </si>
  <si>
    <t>EPS-SERNAFOR-DIPROMAD</t>
  </si>
  <si>
    <t>EPS-DIPROMAD-PROVED</t>
  </si>
  <si>
    <t>EPS-SERNAFOR-INC</t>
  </si>
  <si>
    <t>EPS-DIS-PROVED</t>
  </si>
  <si>
    <t>EPS-Dir. Sport et loisirs</t>
  </si>
  <si>
    <t>EPS-SERNAFOR/PROVED</t>
  </si>
  <si>
    <t>EPS-SERNAFOR-PROVED</t>
  </si>
  <si>
    <t>MAS-DGENF/CGC</t>
  </si>
  <si>
    <t>MAS-DGENF-DEP/EPS-DEP</t>
  </si>
  <si>
    <t>3.2.4.1 Formation des animateurs</t>
  </si>
  <si>
    <t>2.4.3.1 Identification des familles bénéficiaires</t>
  </si>
  <si>
    <t>2.4.3.2 Distribution de l'allocation aux familles</t>
  </si>
  <si>
    <t>10% des élèves</t>
  </si>
  <si>
    <t>DSA</t>
  </si>
  <si>
    <t>A Rechercher</t>
  </si>
  <si>
    <t>MESU/DEP-DP</t>
  </si>
  <si>
    <t>GVT/BM/BAD</t>
  </si>
  <si>
    <t>MESU/DEP</t>
  </si>
  <si>
    <t>7.4.1.2 Formation et renforcement des membres des CAQ</t>
  </si>
  <si>
    <t>VLIR/BM</t>
  </si>
  <si>
    <t>MESU/DEP-CPE</t>
  </si>
  <si>
    <t>MESU/CPE</t>
  </si>
  <si>
    <t>GVT/BM</t>
  </si>
  <si>
    <t>MESU/DEP-DI</t>
  </si>
  <si>
    <t>MESU/DEOD</t>
  </si>
  <si>
    <t>MESU</t>
  </si>
  <si>
    <t>SADEC</t>
  </si>
  <si>
    <t>MESU/PUC</t>
  </si>
  <si>
    <t>MESU/DEP-CA</t>
  </si>
  <si>
    <t>MESU/SG-CA</t>
  </si>
  <si>
    <t>MESU/DEP-DSG</t>
  </si>
  <si>
    <t>MESU/DEP-DSA</t>
  </si>
  <si>
    <t>BM/GIZ</t>
  </si>
  <si>
    <t>MESU/DSA-DESP</t>
  </si>
  <si>
    <t>GVT/BM/UNESCO</t>
  </si>
  <si>
    <t>GVTBM/UNESCO</t>
  </si>
  <si>
    <t>Tous les inspecteurs bénéficient de deux semaines de formation tous les deux ans</t>
  </si>
  <si>
    <t>Les services d'orientation ont des moyens renforcés</t>
  </si>
  <si>
    <t xml:space="preserve">Un Comité scientifique réunissant tous les secteurs chargé de définir les socles de compétences et les profils de sortie est constitué </t>
  </si>
  <si>
    <t>EPS/ESU/ETP/MAS</t>
  </si>
  <si>
    <t>EPS/ETP/MAS</t>
  </si>
  <si>
    <t>Des modules de formation à utiliser pendant les périodes de formation des enseignants sont disponibles en 2018</t>
  </si>
  <si>
    <t>Guide élaboré en 2016 et diffusé aux établissements</t>
  </si>
  <si>
    <t>Guide redoublement</t>
  </si>
  <si>
    <t>Tous les directeurs et inspecteurs sensibilisés entre 2016 et 2018</t>
  </si>
  <si>
    <t>En 2025, tous les directeurs d'écoles maternelles, primaires et secondaires ont reçu une formation</t>
  </si>
  <si>
    <t>Guide élaboré et diffusé aux établissements en 2017</t>
  </si>
  <si>
    <t>EPS/ESU/ETP</t>
  </si>
  <si>
    <t>EPS/ESU-DSA-DESP/ETP</t>
  </si>
  <si>
    <t>Préparation d'un module de formation pouvant être utilisé pendant les périodes de formation en 2017</t>
  </si>
  <si>
    <t>CGC/EVF/DGENF/CC(MTFP et MESU-DEP)</t>
  </si>
  <si>
    <t>Plus d’absence des enseignants pour recevoir leur salaire</t>
  </si>
  <si>
    <t xml:space="preserve">Dispositions pour imposer à chaque école le rattrapage des heures perdues </t>
  </si>
  <si>
    <t xml:space="preserve">A partir de 2017, chaque Proved publie un tableau de bord </t>
  </si>
  <si>
    <t>La cellule de coordination est créée en 2016</t>
  </si>
  <si>
    <t>Réhabilitation de salle de classe (primaire et secondaire)/conflit et/ou catastrophe naturelle</t>
  </si>
  <si>
    <t>Installation d'infrastructures temporaires d'apprentissage (1 école de 6 classes)</t>
  </si>
  <si>
    <t>EPS-DIS-PROVED/MAS</t>
  </si>
  <si>
    <t>Equipement scolaire pour structure temporaire d'apprentissage (pour une école de 6 classes)</t>
  </si>
  <si>
    <t>ETP</t>
  </si>
  <si>
    <t>Fourniture de repas pendant les crises</t>
  </si>
  <si>
    <t>Forfait/élève</t>
  </si>
  <si>
    <t>EPS/EVF</t>
  </si>
  <si>
    <t>EPS-IG-PROVED/MAS-DIC</t>
  </si>
  <si>
    <t>EPS-IG/ETP-IG</t>
  </si>
  <si>
    <t>8.1.1.3 Rémunération des personnels des services centraux MAS</t>
  </si>
  <si>
    <t>Le profil d'entrée, de sortie et la durée de formation sont définis</t>
  </si>
  <si>
    <t>En 2025, 10% des enseignants en formation reçoivent une bourse</t>
  </si>
  <si>
    <t>Bourse d'études pour les enseignants en formation</t>
  </si>
  <si>
    <t>Equipement d'un établissement supérieur en matériel didactique, atelier</t>
  </si>
  <si>
    <t>GVT et BM</t>
  </si>
  <si>
    <t>A partir de 2018, tous les enseignants en formation effectuent des périodes de stage dans les écoles</t>
  </si>
  <si>
    <t xml:space="preserve">Frais de fonctionnement d'un comité scientifique/cadre de coordination </t>
  </si>
  <si>
    <t>DSG-EPS/ESU-DEP/ETP/MAS</t>
  </si>
  <si>
    <t>7.5.1.2 Formation sur les nouveaux programmes</t>
  </si>
  <si>
    <t xml:space="preserve">7.5.2.1 Élaboration du programme de développement des établissements existants </t>
  </si>
  <si>
    <t>Enveloppe d'installation et équipement de l'ANIAQ</t>
  </si>
  <si>
    <t>Enveloppe de fonctionnement de l'ANIAQ</t>
  </si>
  <si>
    <t>Budget des exposition des Résultats de Recherche</t>
  </si>
  <si>
    <t>Prix aux Résultats de Recherche</t>
  </si>
  <si>
    <t xml:space="preserve">7.8.2.3 Dotation des enseignants et étudiants en ordinateurs portables </t>
  </si>
  <si>
    <t>7.8.2.4 Formation des enseignants aux TIC dans les enseignements</t>
  </si>
  <si>
    <t>Les filières obsolètes et les filières à créer sont identifiées</t>
  </si>
  <si>
    <t>ETP-DEP</t>
  </si>
  <si>
    <t>GVT/BM/CTB</t>
  </si>
  <si>
    <t>ETP/EPS-DIPROMAD</t>
  </si>
  <si>
    <t>ETP/Privé (FEC, ANEP, COPMECO)</t>
  </si>
  <si>
    <t>ETP-DIS</t>
  </si>
  <si>
    <t>ETP-IG</t>
  </si>
  <si>
    <t>6.7.2.1 Assurer l'encadrement pédagogique et administratif des centres d'ingénierie, d'application et de ressources</t>
  </si>
  <si>
    <t>ETP-DEP-IG</t>
  </si>
  <si>
    <t>6.1.3 Définir les critères d'ouverture des nouvelles filières et leur répartition territoriale</t>
  </si>
  <si>
    <t>6.1.4 Refondation, revitalisation ou actualisation des programmes selon l'approche par compétence, avec la contribution du secteur productif</t>
  </si>
  <si>
    <t>USAID/CTB</t>
  </si>
  <si>
    <t>6.1.6.1 Construction et équipement des centres d'application</t>
  </si>
  <si>
    <t>6.1.7.2 Acquisition et installation des équipements pour les établissements transformés</t>
  </si>
  <si>
    <t>6.7.4 Mise en place d'un observatoire national ETFP tripartite (Gouvernement, employeurs et syndicats) pour l'employabilité des sortants</t>
  </si>
  <si>
    <t>6.7 Supervision des structures et des enseignants : assurer l'encadrement pédagogique et administratif des écoles</t>
  </si>
  <si>
    <t>6.4.4 Création de Chambres des métiers et artisanat</t>
  </si>
  <si>
    <t>BM/CTB</t>
  </si>
  <si>
    <t>Les cadres et agents d'exécution de planification sont formés</t>
  </si>
  <si>
    <t>EPS/ESU/ETP-DEP/MAS-DGENF</t>
  </si>
  <si>
    <t>EPS/ETP-DEP/MAS-DGENF</t>
  </si>
  <si>
    <t>MESU-DEP</t>
  </si>
  <si>
    <t>MESU-DSA</t>
  </si>
  <si>
    <t>5.2.1.2 Textes réglementaires adoptés</t>
  </si>
  <si>
    <t>MAS</t>
  </si>
  <si>
    <t>Fonctionnement des services</t>
  </si>
  <si>
    <t>5.2 Gestion de l'accès à l'enseignement secondaire : assurer la gestion et l'orientation des élèves à la fin de l'enseignement de base</t>
  </si>
  <si>
    <t>5.2.1 Mise en place d'un examen concours en fin de l'enseignement de base (ex fin de la 2ème année du premier cycle secondaire)</t>
  </si>
  <si>
    <t>5.2.1.3 Assurer la réalisation de l'examen national</t>
  </si>
  <si>
    <t>Taux d'équipement actuel</t>
  </si>
  <si>
    <t>Électricité</t>
  </si>
  <si>
    <t>Résorption du défcit</t>
  </si>
  <si>
    <t>Eau</t>
  </si>
  <si>
    <t>Clôture</t>
  </si>
  <si>
    <t>Salaires et rémunérations de la CIEAS</t>
  </si>
  <si>
    <t>Frais de fonctionnement de la CIEAS</t>
  </si>
  <si>
    <t>Construction de latrines (bloc de 2 cabines)</t>
  </si>
  <si>
    <t>Installation de point d'eau</t>
  </si>
  <si>
    <t>Installation électrique</t>
  </si>
  <si>
    <t>Construction de clôture légère</t>
  </si>
  <si>
    <t>Forfait/école</t>
  </si>
  <si>
    <t>2.8.1.1 Identification des besoins et préparation du programme de mise à niveau</t>
  </si>
  <si>
    <t>2.8.1.1 Réalisation du programme de construction de latrines</t>
  </si>
  <si>
    <t>2.8.2.1 Identification des besoins et préparation du programme de mise à niveau</t>
  </si>
  <si>
    <t>2.8.3.1 Identification des besoins et préparation du programme de mise à niveau</t>
  </si>
  <si>
    <t>2.8.4.1 Identification des besoins et préparation du programme de mise à niveau</t>
  </si>
  <si>
    <t>2.8.2.2 Réalisation du programme d'équipement en point d'eau</t>
  </si>
  <si>
    <t xml:space="preserve">2.8.4.2 Réalisation du programme de construction des clôtures </t>
  </si>
  <si>
    <t>A partir de 2016, toutes les écoles reçoivent chaque année un lot de livres ou une dotation financière</t>
  </si>
  <si>
    <t>2.8 Environnement éducatif : Mise à niveau de l'infrastructure et de l'environnement scolaire</t>
  </si>
  <si>
    <t>2.8.6.1 Diagnostic de la situation et définition d'une bibliothèque standard (équipements, ouvrages, etc.)</t>
  </si>
  <si>
    <t>A partir de 2020, tous les inspecteurs disposent des moyens de déplacement</t>
  </si>
  <si>
    <t>Lot de matériel pédagogique pour centre d'acceuil</t>
  </si>
  <si>
    <t>Forfait/Centre</t>
  </si>
  <si>
    <t>Frais d'organisation de l'examen de fin de l'enseignement de base</t>
  </si>
  <si>
    <t>4.3.1.2 Paiement des enseignants du secondaire 1</t>
  </si>
  <si>
    <t>En 2025, tous les enseignants disposent d'un guide</t>
  </si>
  <si>
    <t>7.2. Dimension sociale de l’ESU : Renforcement de la dimension sociale de l’ESU</t>
  </si>
  <si>
    <t>7.3 Moyens des EES : Apporter des ressources complétées par les droits payés par les familles</t>
  </si>
  <si>
    <t>7.2.1.2 Création d'un EES dans une zone défavorisée</t>
  </si>
  <si>
    <t>7.2.1.1 Faisabilité de création des ESS dans les zones défavorisées</t>
  </si>
  <si>
    <t>Inspecteurs</t>
  </si>
  <si>
    <t>Primaire</t>
  </si>
  <si>
    <t>Secondaire</t>
  </si>
  <si>
    <t>Secondaire 1</t>
  </si>
  <si>
    <t>Secondaire 2</t>
  </si>
  <si>
    <t>Connextion internet</t>
  </si>
  <si>
    <t>A partir de 2018, tous les inspecteurs sont équipés avec un ordinateur portable</t>
  </si>
  <si>
    <t>En 2025, tous les établissements sont équipés en ordinateur</t>
  </si>
  <si>
    <t>En 2025, tous les établissements ont accès à internet</t>
  </si>
  <si>
    <t>Attention éliminer lycée techniques</t>
  </si>
  <si>
    <t>8.1.2.2 Fonctionnement des services centraux MESU</t>
  </si>
  <si>
    <t>8.1.1.2 Rémunération des personnels des services centraux du MESU</t>
  </si>
  <si>
    <t>Salaires des fonctionnaires services centraux EPS-INC</t>
  </si>
  <si>
    <t>Salaires des fonctionnaires services centraux ESU</t>
  </si>
  <si>
    <t>Salaires des fonctionnaires services centraux MAS</t>
  </si>
  <si>
    <t>Salaires des fonctionnaires services centraux ETP</t>
  </si>
  <si>
    <t>Salaires des fonctionnaires des bureaux gestionnaires ESU</t>
  </si>
  <si>
    <t>Salaires des fonctionnaires des bureaux gestionnaires MAS</t>
  </si>
  <si>
    <t>Salaires des fonctionnaires des bureaux gestionnaires ETP</t>
  </si>
  <si>
    <t>Salaires des enseignants du supérieur</t>
  </si>
  <si>
    <t>Estimation</t>
  </si>
  <si>
    <t>8.1.3.3 Investissements MAS (ENF)</t>
  </si>
  <si>
    <t>8.1.3.4 Investissements  ETP</t>
  </si>
  <si>
    <t>Les données et indicateurs statistiques sont produites et diffusées avant la fin de l'année scolaire/académique</t>
  </si>
  <si>
    <t xml:space="preserve">Les structures centrales et déconcentrées sont dotées en capacités et moyens pour collecter et traiter les données </t>
  </si>
  <si>
    <t>Lot d'équipement informatique pour GISE</t>
  </si>
  <si>
    <t>Diffusion des publications sur support numérique (CD/F USB)</t>
  </si>
  <si>
    <t>Formation</t>
  </si>
  <si>
    <t>Les cartes scolaires/universitaires sont élaborées et actualisées chaque année</t>
  </si>
  <si>
    <t>Les cartes scolaires/universitaires sont diffusées sous différents supports</t>
  </si>
  <si>
    <t>Enveloppe de réhabilitation/Equipement pour Formation initiale d'enseignants</t>
  </si>
  <si>
    <t>Construction et équipement d'une école normale pilote</t>
  </si>
  <si>
    <t>2.2.2 Prise en charge des frais directs dans les villes de Kinshasa et Lubumbashi</t>
  </si>
  <si>
    <t>8.1.3.2 Investissements MESU</t>
  </si>
  <si>
    <t>Frais d'investissement services centraux/déconcentrées EPS-INC</t>
  </si>
  <si>
    <t>Frais d'investissement services centraux/déconcentrées ETP</t>
  </si>
  <si>
    <t>Frais d'investissement services centraux/déconcentrées MAS (ENF)</t>
  </si>
  <si>
    <t>Frais d'investissement services centraux/déconcentrées MESU</t>
  </si>
  <si>
    <t>8.2 Moyens des bureaux gestionnaires et des services déconcentrés du MEPSINC</t>
  </si>
  <si>
    <t>5.4.3 Guides pédagogiques pour les enseignants</t>
  </si>
  <si>
    <t>5.4.3.1 Acquisition et distribution des guides pédagogiques pour les enseignants</t>
  </si>
  <si>
    <t>Total général</t>
  </si>
  <si>
    <t xml:space="preserve">Coût </t>
  </si>
  <si>
    <t>Unitaire</t>
  </si>
  <si>
    <t>(Montant en USD)</t>
  </si>
  <si>
    <t>Étude réalisée en 2016</t>
  </si>
  <si>
    <t>Étude réalisée en 2017</t>
  </si>
  <si>
    <t>En 2025, 200 enseignants de la diaspora scientifique congolaise et 500 partenaires du monde du travail sont impliqués dans l'enseignement et la recherche dans les EES</t>
  </si>
  <si>
    <t>Récapitulatif par activité</t>
  </si>
  <si>
    <t>Estimation détaillée</t>
  </si>
  <si>
    <t>Récapitulatif par programme et composante</t>
  </si>
  <si>
    <t>Récapitulatif par programme</t>
  </si>
  <si>
    <t>(en 1000 USD)</t>
  </si>
  <si>
    <t>Ecoles primaires publiques</t>
  </si>
  <si>
    <r>
      <t>Réhabilitation d'une place assise (1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/étudiant) à l'enseignement supérieur </t>
    </r>
  </si>
  <si>
    <t>6.6 Formation et rémunération des enseignants : Former les enseignants et assurer leur rémunération</t>
  </si>
  <si>
    <t>5.3.1 Prise en charge du personnel</t>
  </si>
  <si>
    <t>4.3.1.2 Paiement des enseignants du secondaire 2</t>
  </si>
  <si>
    <t>Rémunération d'un enseignant du secondaire 1</t>
  </si>
  <si>
    <t>Rémunération d'un enseignant du secondaire 2</t>
  </si>
  <si>
    <r>
      <t>2.2.2.2 Subvention aux écoles primaires de la première à la 5</t>
    </r>
    <r>
      <rPr>
        <vertAlign val="superscript"/>
        <sz val="8"/>
        <color theme="1"/>
        <rFont val="Arial"/>
        <family val="2"/>
      </rPr>
      <t>ème</t>
    </r>
    <r>
      <rPr>
        <sz val="8"/>
        <color theme="1"/>
        <rFont val="Arial"/>
        <family val="2"/>
      </rPr>
      <t xml:space="preserve"> année</t>
    </r>
  </si>
  <si>
    <t>6.6.3 Rémunération du personnel</t>
  </si>
  <si>
    <t>6.6.3.1 Paiement des enseignants de l'ETFP</t>
  </si>
  <si>
    <t>3.7 Formation et rémunération des animateurs : former les enseignants et assurer leur rémunération</t>
  </si>
  <si>
    <t>3.7.3 Rémunérer les enseignants</t>
  </si>
  <si>
    <t>Rémunération d'un enseignant ENF</t>
  </si>
  <si>
    <t>3.7.3.1 Rémunération des enseignants</t>
  </si>
  <si>
    <t>1.3.1.2 Paiement des enseignants (préscolaire yc préparatoire)</t>
  </si>
  <si>
    <t>Salaires des fonctionnaires des bureaux gestionnaires EPSINC</t>
  </si>
  <si>
    <t>Forfait/BG</t>
  </si>
  <si>
    <t>8.2.1.1 Rémunération du personnel des bureaux gestionnaires  EPSINC</t>
  </si>
  <si>
    <t xml:space="preserve">3.4.1.5 Actualisation du guide d'alphabétisation </t>
  </si>
  <si>
    <t xml:space="preserve">3.4.1.6 Actualisation du guide d'apprentissage professionnel </t>
  </si>
  <si>
    <t>3.4.3.1 Uniformisation des manuels et des guides andragogiques et pédagogiques</t>
  </si>
  <si>
    <t>3.4.3.2 Formation des utilisateurs aux manuels et guides andragogiques et pédagogiques</t>
  </si>
  <si>
    <t>3.4.4 Équipement des centres</t>
  </si>
  <si>
    <t xml:space="preserve">3.4.4.1 Acquisition et distribution des programmes </t>
  </si>
  <si>
    <t>3.4.4.2 Acquisition et distribution des manuels</t>
  </si>
  <si>
    <t>3.4.4.3 Acquisition et distribution des guides</t>
  </si>
  <si>
    <t>6.5.3.3 Acquisition et distribution de livres et de matériel</t>
  </si>
  <si>
    <t>6.5.4 Moyens informatiques</t>
  </si>
  <si>
    <t>6.5.4.1 Équipement des élèves en ordinateurs portables</t>
  </si>
  <si>
    <t>6.6.2.1 Développer et actualiser les modules de formation</t>
  </si>
  <si>
    <t>6.6.2.2 Mettre en place le plan de formation</t>
  </si>
  <si>
    <t xml:space="preserve">7.11.5 Poursuite des Audits Organisationnels et enquête de viabilité ainsi que des contrôles de scolarité </t>
  </si>
  <si>
    <t>7.11.5.1 Audit organisationnel et enquête de viabilité pour les différents ESS</t>
  </si>
  <si>
    <t>7.11.5.2 Contrôles de scolarité dans tous les EES publics et privés agréés</t>
  </si>
  <si>
    <t>7.11.5.3 Organisations des campagnes de sensibilisation dans les 26 provinces pour impliquer toutes les parties prenantes dans l'effort d'assainissement du sous secteur</t>
  </si>
  <si>
    <t>3.1.4 Identification et réinsertion scolaire des enfants déscolarisés</t>
  </si>
  <si>
    <t>3.1.4.2 Renforcement de l'offre alternative d’éducation pour les enfants en âge scolaire non scolarisés (9-14 ans)</t>
  </si>
  <si>
    <t>1. Enseignement préscolaire : Développer une préscolarisation de qualité, particulièrement en milieu rural</t>
  </si>
  <si>
    <t>Préprimaire</t>
  </si>
  <si>
    <t>Le programme de développement de la classe préparatoire est élaboré</t>
  </si>
  <si>
    <t>Échéancier de réalisation (1000 USD)</t>
  </si>
  <si>
    <t>1.6.2 Primes d'itinérance</t>
  </si>
  <si>
    <t>Structure</t>
  </si>
  <si>
    <t>1.5.1.2 Assurer la formation pour les nouveaux recrutements</t>
  </si>
  <si>
    <t>1.2.1 Étude de faisabilité d'une classe préparatoire dans les écoles primaires</t>
  </si>
  <si>
    <t>1.3.1 Rémunération du personnel</t>
  </si>
  <si>
    <t>Accès</t>
  </si>
  <si>
    <t>Qualité</t>
  </si>
  <si>
    <t>Gouvernance</t>
  </si>
  <si>
    <t>(1000 USD)</t>
  </si>
  <si>
    <t>P1. Enseignement préscolaire</t>
  </si>
  <si>
    <t>P2. Enseignement primaire</t>
  </si>
  <si>
    <t>P3. Éducation non formelle</t>
  </si>
  <si>
    <t>P4. Enseignement du premier cycle secondaire</t>
  </si>
  <si>
    <t>P5. Enseignement du second cycle secondaire</t>
  </si>
  <si>
    <t>P6. Enseignement technique et formation professionnelle</t>
  </si>
  <si>
    <t>P7. Enseignement supérieur</t>
  </si>
  <si>
    <t>P8. Gestion du système éducatif</t>
  </si>
  <si>
    <t>P9. Pilotage et évaluation</t>
  </si>
  <si>
    <t>1.1 Espaces Communautaires d'Éveil : Susciter et encourager les initiatives communautaires</t>
  </si>
  <si>
    <t>1.1.1 Sensibilisation des communautés à la création d'Espaces Communautaires d'Éveil</t>
  </si>
  <si>
    <t>1.4.2.1 Élaboration de guide pédagogiques pour le préscolaire</t>
  </si>
  <si>
    <t>1.5.1.1 Élaboration et validation d'un module de formation</t>
  </si>
  <si>
    <t>1.5.2.2 Assurer la formation continue pour les encadreurs et enseignants</t>
  </si>
  <si>
    <t>1.6.1.1 Équipement des Inspecteurs en Moto</t>
  </si>
  <si>
    <t>En 2020, tous les inspecteurs sont dotés en primes d'itinérance</t>
  </si>
  <si>
    <t>1.6.2.1 Dotation en prime d'itinérance</t>
  </si>
  <si>
    <t>2.2.1.3 Paiement des enseignants du primaire non recensés</t>
  </si>
  <si>
    <t>2.3.2.1 Élaboration d'une carte scolaire (nationale et provinciale) à travers l'exploitation des données du SIGE</t>
  </si>
  <si>
    <t>2.4.1.1 Étude de faisabilité de création des coopératives scolaires</t>
  </si>
  <si>
    <t>2.4.2.1 Étude de faisabilité sur la mise en place des cantines scolaires</t>
  </si>
  <si>
    <t>2.6.3.1 Élaboration de plaquettes sur l'éducation à la gestion, l'éducation à la paix et à la citoyenneté</t>
  </si>
  <si>
    <t>EPSINC/MAS-DGENF</t>
  </si>
  <si>
    <t>2.7.2.1 Élaboration d'un guide sur des activités de lecture harmonisées</t>
  </si>
  <si>
    <t>2.7.2.2 Acquisition et distribution du guide sur des activités de lecture harmonisées</t>
  </si>
  <si>
    <t>2.7.3.1 Élaboration d'un guide d'aide à la réalisation de projets pédagogiques centrés sur la lecture</t>
  </si>
  <si>
    <t>2.7.3.2. Acquisition  et distribution du guide d'aide à la réalisation de projets pédagogiques centrés sur la lecture</t>
  </si>
  <si>
    <t>2.7.4 Évaluations périodiques</t>
  </si>
  <si>
    <t>2.8.3.2 Réalisation du programme d'équipement en électricité</t>
  </si>
  <si>
    <t>2.8.6.3 Élaboration d'un guide de gestion d'une bibliothèque (archivage, etc.) et formation à la gestion de bibliothèque</t>
  </si>
  <si>
    <t>2.9.1.3 Évaluation et capitalisation du pilote de la composante "Formation continue" du PROSEB</t>
  </si>
  <si>
    <t>2.2.1.2 Paiement des enseignants du primaire recensés par SECOPE</t>
  </si>
  <si>
    <t>2.9.2.1 Formation aux modules et au leadership</t>
  </si>
  <si>
    <t>2.9.3.1 Établissement d'une cartographie des REP existants</t>
  </si>
  <si>
    <t xml:space="preserve">2.9.4.1 Élaboration d'outils de suivi et d'évaluation </t>
  </si>
  <si>
    <t>3.1.3 Prise de mesures pour la réduction des disparités d’accès liées au genre, l’âge, à la localité, aux handicaps, à la pauvreté, etc. (ciblage et intégration des enfants et jeunes hors du système éducatif formel)</t>
  </si>
  <si>
    <t>3.1.3.1 Recensement des disparités et élaboration d'un plan de réduction des disparités</t>
  </si>
  <si>
    <t>3.1.4.1 Élaboration d’une stratégie de réinsertion scolaire des enfants déscolarisés et des outils d’identification de ces enfants</t>
  </si>
  <si>
    <t>3.1.4.3 Évaluation de l'efficacité de la subvention</t>
  </si>
  <si>
    <t>3.2.2.1 Élaboration d'une carte sociale des familles les plus vulnérables</t>
  </si>
  <si>
    <t>3.4.1.3 Harmoniser les programmes d'apprentissage professionnel</t>
  </si>
  <si>
    <t xml:space="preserve">3.4.1.4 Actualisation des guides des trois niveaux de rattrapage scolaire </t>
  </si>
  <si>
    <t>3.4.2 Élaboration de manuels de rattrapage scolaire</t>
  </si>
  <si>
    <t>3.4.2.1 Élaboration de manuels et de guides pédagogiques de rattrapage scolaire</t>
  </si>
  <si>
    <t>3.5.1.1 État des lieux de la codification des langues</t>
  </si>
  <si>
    <t xml:space="preserve">3.6. Évaluation et certification : mettre en place un système de suivi, d’évaluation et de certification des acquis des apprenants </t>
  </si>
  <si>
    <t>3.6.3.1 Formation des inspecteurs des Affaires sociales (alphabétisation, rattrapage scolaire et apprentissage professionnel)</t>
  </si>
  <si>
    <t>3.6.3.2 Formation des inspecteurs de l'EPSINC (rattrapage scolaire)</t>
  </si>
  <si>
    <t>Activités génératrices des revenus (Atelier de couture, cordonnerie, vanille, meuble par les PVH, les familles les plus vulnérables et marginalisées (pygmées) pour leur autonomisation )</t>
  </si>
  <si>
    <t>4.1.1 Étude sur les compétences de base</t>
  </si>
  <si>
    <t>4.1.5.1 Étude sur les coût, les financements et les impacts probables de la réforme</t>
  </si>
  <si>
    <t>4.3 Moyens des écoles publiques : apporter un soutien fort de l'État, complété par des frais scolaires payés par les familles</t>
  </si>
  <si>
    <t>En 2025 tous les enseignants sont rémunérés par l'État</t>
  </si>
  <si>
    <t>4.4.2.1 Élaboration de manuels scolaires en français, mathématiques et sciences et de leurs guides pédagogiques</t>
  </si>
  <si>
    <t>4.4.2.3 Élaboration du module de formation à l'utilisation des manuels scolaires en français, mathématiques et sciences</t>
  </si>
  <si>
    <t>4.7.1.1 Renforcement des moyen des déplacements</t>
  </si>
  <si>
    <t>4.7.2.1 Assurer l'encadrement pédagogique et administratifs des écoles</t>
  </si>
  <si>
    <t>4.7.3.1 Équipement informatique et de communication</t>
  </si>
  <si>
    <t>5.1.1.1 Évaluation de la réforme en cours et rédaction des dispositions réglementaires</t>
  </si>
  <si>
    <t>5.1.1.2 Équipement en matériel pour les établissements spécialisés</t>
  </si>
  <si>
    <t>5.2.1.1 Étude sur les modalités de l'examen de fin du cycle</t>
  </si>
  <si>
    <t>101 000 personnels payés par l'État en 2025 (65 000 en 2014)</t>
  </si>
  <si>
    <t>5.4.1 Équipement pédagogiques</t>
  </si>
  <si>
    <t>5.4.2.1 Élaboration de manuels scolaires en français, mathématiques et sciences et de leurs guides pédagogiques</t>
  </si>
  <si>
    <t>5.4.2.3 Élaboration du module de formation à l'utilisation des manuels scolaires en français, mathématiques et sciences</t>
  </si>
  <si>
    <t>5.5 Équipement des bibliothèques et laboratoires : acquérir des fonds documentaires et matériels nécessaires aux bibliothèques, laboratoires et salles spécialisées</t>
  </si>
  <si>
    <t>5.5.1.1 Définition d'un programme d'équipement</t>
  </si>
  <si>
    <t>5.5.1.2 Équipement de laboratoire de physique chimie</t>
  </si>
  <si>
    <t>5.5.1.3 Équipement de laboratoire de biologie</t>
  </si>
  <si>
    <t>6.1.1.1 Étude sur les filières obsolètes et porteuses d'emploi</t>
  </si>
  <si>
    <t>6.1.2.1 Étude préalable à la mise en place des nouvelles filières</t>
  </si>
  <si>
    <t>6.1.3.1 Étude pour la définition des nouvelles critères d'ouverture des filières sur le territoire national</t>
  </si>
  <si>
    <t>6.1.4.1 Étude sur l'actualisation des programmes</t>
  </si>
  <si>
    <t>6.1.7 Équipement des établissements transformés pour ETFP (voir aussi 5.1.1.2)</t>
  </si>
  <si>
    <t>6.1.7.1 Évaluation des établissements transformés et état des lieux des établissements à transformer</t>
  </si>
  <si>
    <t>6.2.2.1 Octroi des bourses pour les filles dans les filières prometteuses</t>
  </si>
  <si>
    <t>6.3.1 Équipement pédagogiques</t>
  </si>
  <si>
    <t>6.4.4.1 Étude de faisabilité sur la création de Chambres des métiers et d'artisanat</t>
  </si>
  <si>
    <t>6.5.1 Équipement en mobilier scolaire</t>
  </si>
  <si>
    <t>Tous les établissements sont équipés avec un mobilier suffisant à l'horizon 2020</t>
  </si>
  <si>
    <t>6.5.1.1 Équipement des écoles techniques en mobilier scolaire</t>
  </si>
  <si>
    <t>6.5.2 Équipement pour activités physiques et sportives</t>
  </si>
  <si>
    <t>6.5.3 Équipement en bibliothèques</t>
  </si>
  <si>
    <t xml:space="preserve">6.6.1.1 Étude de faisabilité du national d'ingénierie de la formation </t>
  </si>
  <si>
    <t>6.7.1.1 Renforcement des moyen des déplacements</t>
  </si>
  <si>
    <t>6.7.4.1 Élaboration des accords de partenariat entre les trois entités concernés</t>
  </si>
  <si>
    <t>6.7.4.2 Étude d'employabilité des sortants</t>
  </si>
  <si>
    <t>7.4 Promotion de l’Assurance-Qualité : Établir les standards de qualité et assurer la conformité des programme et des institutions à ces normes</t>
  </si>
  <si>
    <t>7.4.2.1 Définition du statut et du modèle de fonctionnement de l'ANIAQ</t>
  </si>
  <si>
    <t>7.5.2 Développement des établissements d’Arts et Métiers</t>
  </si>
  <si>
    <t>7.6.2 Renforcement des capacités institutionnelle de la Commission permanente des études (CPE)</t>
  </si>
  <si>
    <t>7.6.3 Promotion de la mobilité des Enseignants et Étudiants des EES</t>
  </si>
  <si>
    <t>7.8.2 Développement de la formation ouverte, à distance et e-learning</t>
  </si>
  <si>
    <t xml:space="preserve">7.9 Revitalisation de la Recherche : Promouvoir la recherche dans le cadre de la mise en œuvre de la réforme LMD </t>
  </si>
  <si>
    <t>7.10. Renouvellement des ressources professorales : Former les enseignants et les chercheurs qui remplaceront ceux qui partent à la retraite</t>
  </si>
  <si>
    <t xml:space="preserve">7.11.1 Élaboration du cadre normatif susceptible d'arrimer les systèmes d'ESU aux standards internationaux </t>
  </si>
  <si>
    <t>7.11.4.2  Formation aux méthodes d'audit interne</t>
  </si>
  <si>
    <t>7.11.5.4 Conclusion d'accord de collaboration avec les associations de la société civile et du monde économique</t>
  </si>
  <si>
    <t>7.13.1.1 Élaboration des textes réglementaires (mise en œuvre de la Loi-Cadre)</t>
  </si>
  <si>
    <t>8.1.1.1 Rémunération des personnels des services centraux  EPSINC</t>
  </si>
  <si>
    <t>8.1.2.1 Fonctionnement des services centraux EPSINC</t>
  </si>
  <si>
    <t>8.1.3.1 Investissements EPSINC</t>
  </si>
  <si>
    <t>8.3.1.1 Études sur la mise à la retraite des agents</t>
  </si>
  <si>
    <t xml:space="preserve">8.3.2.1 Études sur la rationalisation et la modernisation des statuts </t>
  </si>
  <si>
    <t>Étude en 2016 et mise en place à partir de 2018</t>
  </si>
  <si>
    <t>Étude en 2016</t>
  </si>
  <si>
    <t>Évaluations tous les deux ans</t>
  </si>
  <si>
    <t>Étude menée en 2017</t>
  </si>
  <si>
    <t>Étude menée en 2018</t>
  </si>
  <si>
    <t>Des campagnes de sensibilisation sont menées, en utilisant les médias mobilisables</t>
  </si>
  <si>
    <t>Récapitulatif par programme et sous-programme</t>
  </si>
  <si>
    <t>Récapitulatif par axe stratégique et par programme</t>
  </si>
  <si>
    <t>SPACE</t>
  </si>
  <si>
    <t>SPACE/CGC/Directions sectorielles</t>
  </si>
  <si>
    <t>SPACE/Directions sectorielles</t>
  </si>
  <si>
    <t>SPACE/Directions Techniques</t>
  </si>
  <si>
    <t>SPACE/CTINC/Directions sectorielles</t>
  </si>
  <si>
    <t>SPACE/CTINC/CGC/Directions sectorielles</t>
  </si>
  <si>
    <t>Les besoins réels de fonctionnement des différentes catégories des bureaux gestionnaires sont évalués avec précision</t>
  </si>
  <si>
    <t>Les budgets types sont définis : Niveaux à retenir, modalité d'élaboration et schéma de financement</t>
  </si>
  <si>
    <t>Les flux acsendants sont évalués : montants et affectations à tous les niveaux</t>
  </si>
  <si>
    <t>Fonctionnement d'une commission (budget annuel)</t>
  </si>
  <si>
    <t>EPS-Cabinet</t>
  </si>
  <si>
    <t>2.10.1 Élaboration d'un curriculum</t>
  </si>
  <si>
    <t>2.10.1.1 Actualisation du référentiel de compétences des enseignants réalisé en 2013</t>
  </si>
  <si>
    <t>2.10.1.2 Révision du curriculum de formation des enseignants</t>
  </si>
  <si>
    <t>2.10.2 Définition du profil d'entrée, de sortie et durée de formation des futurs enseignants et du profil de leurs formateurs</t>
  </si>
  <si>
    <t>2.10.2.1 Étude sur les profils d'entrée, de sortie et de durée de formation des futurs enseignants</t>
  </si>
  <si>
    <t>2.10.2.2 Définition du profil des formateurs des formateurs</t>
  </si>
  <si>
    <t>2.10.3 Élaboration et mise en place d'un programme de restructuration/spécialisation des établissements</t>
  </si>
  <si>
    <t>2.10.3.1 Étude sur la carte scolaire des écoles normales et de l'enseignement des humanités pédagogiques</t>
  </si>
  <si>
    <t>2.10.3.2 Mise en place du programme de restructuration/spécialisation des établissements</t>
  </si>
  <si>
    <t>2.10.4 Bourses d'études pour les élèves enseignants méritants</t>
  </si>
  <si>
    <t>2.10.2.1 Allocation de la bourse d'études pour les enseignants en formation</t>
  </si>
  <si>
    <t>2.11 Supervision des écoles et des enseignants : assurer l'encadrement pédagogique et administratif des écoles</t>
  </si>
  <si>
    <t>2.11.1 Moyens de déplacement des inspecteurs</t>
  </si>
  <si>
    <t>2.11.1.1 Équipement des inspecteurs en Moto</t>
  </si>
  <si>
    <t>2.11.2 Primes d'itinérance</t>
  </si>
  <si>
    <t>2.11.2.1 Assurer l'encadrement pédagogique et administratifs des écoles</t>
  </si>
  <si>
    <t>2.12 Équipement informatique des directeurs : permettre aux directeurs de mieux gérer et communiquer</t>
  </si>
  <si>
    <t>2.12.1 Équipement informatique des directeurs</t>
  </si>
  <si>
    <t>2.12.1.1 Équipement informatique et de communication</t>
  </si>
  <si>
    <t>2.12.2 Formation en informatique et communication</t>
  </si>
  <si>
    <t>2.12.2.1 Formation en informatique et aux TIC</t>
  </si>
  <si>
    <t>5.7 Formation continue des enseignants : former les enseignants</t>
  </si>
  <si>
    <t>5.7.1 Développer et assurer la formation continue des enseignants</t>
  </si>
  <si>
    <t>5.8.1 Spécialisation des institutions</t>
  </si>
  <si>
    <t>5.8.1.1 Étude sur la spécialisation des institutions</t>
  </si>
  <si>
    <t>5.8.2 Réforme des ISP/ISPT/UPN</t>
  </si>
  <si>
    <t>5.8.2.1 Étude sur la réforme structurelle des ISP/ISPT/UPN</t>
  </si>
  <si>
    <t>5.8.3 Révision des curricula de formation</t>
  </si>
  <si>
    <t>5.8.3.1 Actualisation du référentiel de compétences des enseignants réalisé en 2013</t>
  </si>
  <si>
    <t>5.8.3.2 Révision du curriculum de formation des enseignants</t>
  </si>
  <si>
    <t>5.8.3.3 Équipement en matériel de laboratoire, ateliers et matériels didactiques des ISP/ISPT/UPN</t>
  </si>
  <si>
    <t>5.8.4 Organisation de périodes de stage</t>
  </si>
  <si>
    <t>5.8.4.1 Validation du guide de stage élaboré en 2015</t>
  </si>
  <si>
    <t>5.8.4.2 Élaboration d'un cadre de suivi des stages des enseignants en formation</t>
  </si>
  <si>
    <t>5.8.5 Coordination entre le MEPSINC, MESU, METP et MAS</t>
  </si>
  <si>
    <t xml:space="preserve">5.8.5.1 Définition d'un cadre de coordination des 4 ministères </t>
  </si>
  <si>
    <t>5.8.5.2 Mise en place et fonctionnement du cadre de coordination</t>
  </si>
  <si>
    <t>5.9 Supervision des structures et des enseignants : assurer l'encadrement pédagogique et administratif des écoles</t>
  </si>
  <si>
    <t>5.9.1 Moyens de déplacement des inspecteurs</t>
  </si>
  <si>
    <t>5.9.1.1 Renforcement des moyen des déplacements</t>
  </si>
  <si>
    <t>5.9.2 Primes d'itinérance</t>
  </si>
  <si>
    <t>5.9.2.1 Assurer l'encadrement pédagogique et administratifs des écoles</t>
  </si>
  <si>
    <t>5.9.3 Moyens informatiques</t>
  </si>
  <si>
    <t>5.9.3.1 Équipement des inspecteurs en ordinateurs portables</t>
  </si>
  <si>
    <t>5.10 Technologies de l'information : apporter les équipements informatiques et de communication</t>
  </si>
  <si>
    <t>5.10.1 Matériel informatique</t>
  </si>
  <si>
    <t>5.10.1.1 Équipement des lycées en kit informatique</t>
  </si>
  <si>
    <t>5.10.2 Connexions internet</t>
  </si>
  <si>
    <t>5.10.2.1 Assurer la connexion à internet</t>
  </si>
  <si>
    <t>8.4 Gestion des ressources financières : Améliorer la gestion des ressources financières</t>
  </si>
  <si>
    <t>8.4.1 Formation des cadres de la gestion financière et comptable</t>
  </si>
  <si>
    <t>8.4.1.3 Suivi  et évaluation des cadres des services déconcentrés</t>
  </si>
  <si>
    <t>8.5 Gestion des infrastructures scolaires : Améliorer les capacités de pilotage et de gestion des infrastructures scolaires</t>
  </si>
  <si>
    <t>8.4.1.2 Formation des cadres des services déconcentrés</t>
  </si>
  <si>
    <t>8.4.1.1 Formation des cadres des services centraux</t>
  </si>
  <si>
    <t>8.4</t>
  </si>
  <si>
    <t>2.10</t>
  </si>
  <si>
    <t>8.5</t>
  </si>
  <si>
    <t>5.8</t>
  </si>
  <si>
    <t>Rémunération d'ingégneur (DIS)</t>
  </si>
  <si>
    <t>8.5.1 Élaboration d'un plan renforcement de DIS au niveau central et déconcentré</t>
  </si>
  <si>
    <t>8.5.1.1 Plan de renforcement des capacités</t>
  </si>
  <si>
    <t>8.5.2 Mise en place du plan de renforcement des capacités de la DIS</t>
  </si>
  <si>
    <t>8.6.1 Renforcement des audits internes et externes</t>
  </si>
  <si>
    <t xml:space="preserve">8.6.1.1 Production d'outils d'audits internes et externes </t>
  </si>
  <si>
    <t>8. Gestion, pilotage et évaluation du système éducatif : Renforcer les capacités de gestion des ministères en charge de l'éducation et assurer le pilotage et le suivi-évaluation du système</t>
  </si>
  <si>
    <t>Subvention du Fonds compétif de la recherche</t>
  </si>
  <si>
    <t>Budget de fonctionnement de SPACE</t>
  </si>
  <si>
    <t>Budget d'organisation et de tenue d'une Revue conjointe</t>
  </si>
  <si>
    <t xml:space="preserve">8.6.1.2 Opérations d'audits internes et externes </t>
  </si>
  <si>
    <t>8.6 Redevabilité et gouvernance financière : Assurer la redevabilité des structures et Maitriser les flux ascendants</t>
  </si>
  <si>
    <t>8.6.2 Évaluation des besoins de fonctionnement des bureaux gestionnaires et définition des budgets types</t>
  </si>
  <si>
    <t>8.6.2.1 Évaluation des besoins effectifs de fonctionnement des différentes catégories des bureaux gestionnaires</t>
  </si>
  <si>
    <t xml:space="preserve">8.6.2.2 Définition des budgets des catégories des BG et des modalités de leur financement </t>
  </si>
  <si>
    <t>8.6.3 Évaluation des flux ascendants : contributions et circuits</t>
  </si>
  <si>
    <t>8.6.3.1 Étude d'évaluation des flux ascendants</t>
  </si>
  <si>
    <t>8.6.4 Commission des flux ascendants : Instance de concertation, de décision et de suivi évaluation</t>
  </si>
  <si>
    <t>8.6.4.1 Fonctionnement régulier de la Commission des flux ascendants</t>
  </si>
  <si>
    <t>8.7 Gestion financière des établissements : Renforcer la participation des communautés et des OSC dans la gestion des établissements</t>
  </si>
  <si>
    <t>8.7.1 Systématiser les projets d'établissement</t>
  </si>
  <si>
    <t>8.7.1.1 Accompagnement des structures dans l'élaboration d'un projet a l'EPSINC</t>
  </si>
  <si>
    <t>8.7.1.2 Accompagnement des structures dans l'élaboration d'un projet au MAS</t>
  </si>
  <si>
    <t xml:space="preserve">8.7.1.3 Accompagnement des structures dans l'élaboration d'un projet de l'ETP </t>
  </si>
  <si>
    <t>8.7.2 Outils standards pour le compte rendu du budget</t>
  </si>
  <si>
    <t>8.7.2.1 Élaboration et diffusion des projets d'établissement</t>
  </si>
  <si>
    <t>8.8 Gestion des manuels scolaires : amélioration des capacité de production et de gestion des manuels</t>
  </si>
  <si>
    <t>8.8.1 Étude sur la production des manuels</t>
  </si>
  <si>
    <t>8.8.1.1 Production et distribution du document de la politique nationale du livre scolaire</t>
  </si>
  <si>
    <t>8.8.2 Amélioration des capacités de production et de gestion des manuels</t>
  </si>
  <si>
    <t>8.8.2.1 Élaboration d'un guide à destination des concepteurs des manuels tenant compte des questions transversales (genre, éducation à la vie, paix et citoyenneté, environnement et santé)</t>
  </si>
  <si>
    <t>8.8.2.2 Renforcement des capacités à l'élaboration et à la gestion des manuels scolaires</t>
  </si>
  <si>
    <t xml:space="preserve">8.9 Gestion décentralisée : Améliorer le cadre institutionnel pour une meilleure gestion décentralisée du secteur de l’éducation </t>
  </si>
  <si>
    <t>8.9.1 Convention de gestion avec les confessions</t>
  </si>
  <si>
    <t>8.9.1.1 Élaboration et mise en place d'une nouvelle convention</t>
  </si>
  <si>
    <t>8.9.2 Rôles des acteurs centraux, provinciaux, BG et établissements</t>
  </si>
  <si>
    <t>8.9.2.1 Révision et mise à jour des textes réglementaires</t>
  </si>
  <si>
    <t>8.9.3 Renforcement des COPA et COGES</t>
  </si>
  <si>
    <t xml:space="preserve">8.9.3.1 Formation et échange d'expérience entre différents COGES et COPA </t>
  </si>
  <si>
    <t>8.10 Curricula et Méthodes pédagogiques innovantes : Réformer les programmes, harmoniser les référentiels de compétences et promouvoir des méthodes pédagogiques innovantes</t>
  </si>
  <si>
    <t>8.10.1.1 Définition des prérogatives et de la composition du Comité scientifique</t>
  </si>
  <si>
    <t>8.10.1.2 Mise en place du Comité scientifique</t>
  </si>
  <si>
    <t>8.10.2 Réforme des curricula</t>
  </si>
  <si>
    <t>8.10.2.1 Mise en place de la réforme des curricula aux différents et entre les niveaux</t>
  </si>
  <si>
    <t>8.10.2.2 Étude sur l'harmonisation des profils de sortie</t>
  </si>
  <si>
    <t>8.10.3 Former les enseignants aux méthodes innovantes</t>
  </si>
  <si>
    <t xml:space="preserve">8.10.3.1 Élaboration de modules de formation </t>
  </si>
  <si>
    <t>8.11.1 Formation des inspecteurs de l'ESU</t>
  </si>
  <si>
    <t>8.11.1.1 Élaboration d'un module de formation</t>
  </si>
  <si>
    <t>8.11.1.2 Formation des inspecteurs de l'ESU</t>
  </si>
  <si>
    <t>8.11.2 Évaluation des acquis scolaires : mise en place d'un système d'évaluation des acquis scolaires</t>
  </si>
  <si>
    <t>8.11.2.1 Mise en place d'une Cellule indépendante de l'évaluation des acquis scolaires</t>
  </si>
  <si>
    <t>8.11.2.2 Développement des outils d'évaluation</t>
  </si>
  <si>
    <t>8.11.2.3 Administration des évaluations nationales et fonctionnement de la Cellule</t>
  </si>
  <si>
    <t>8.11.3 EPT : Mettre en place une Commission Nationale de Qualification et de Certification</t>
  </si>
  <si>
    <t>8.11.3.1 Définition d'un commission de Qualification et de Certification</t>
  </si>
  <si>
    <t>8.11.3.2 Textes réglementaires de création de la CNQC</t>
  </si>
  <si>
    <t xml:space="preserve">8.11.3.3 Mise en place et fonctionnement de la CNQC </t>
  </si>
  <si>
    <t>8.11.4 Pilotage de la qualité : Guides de diagnostic de facteurs de non qualité</t>
  </si>
  <si>
    <t>8.11.4.1 Élaboration des guides de diagnostic par type d'établissement</t>
  </si>
  <si>
    <t>8.11.4.2 Acquisition et diffusion des guides de diagnostic</t>
  </si>
  <si>
    <t>8.11.5 Formation des inspecteurs et directeurs</t>
  </si>
  <si>
    <t xml:space="preserve">8.12 Gestion des flux d'élèves : améliorer les instruments de gestion des flux et mise en place de l’éducation de base </t>
  </si>
  <si>
    <t>8.12.1 Étude sur les passerelles</t>
  </si>
  <si>
    <t xml:space="preserve">8.12.1.1 Étude sur la mise en place de passerelles entre les filières </t>
  </si>
  <si>
    <t>8.12.1.2 Mise en place des passerelles entre les filières à partir de 2018</t>
  </si>
  <si>
    <t>8.12.2 Services d'orientation</t>
  </si>
  <si>
    <t>8.12.2.1 Étude sur la création de services d'orientation dans le secondaire</t>
  </si>
  <si>
    <t>8.12.2.2 Étude sur la réorganisation des services d'orientation des EES</t>
  </si>
  <si>
    <t>8.12.2.3 Formation des formateurs des services d'orientation des EES</t>
  </si>
  <si>
    <t>8.12.2.4 Formation des personnels des services d'orientation des EES</t>
  </si>
  <si>
    <t>8.12.3 Étude réforme du TENAFEP</t>
  </si>
  <si>
    <t>8.12.3.1 Étude sur la réforme du TENAFEP</t>
  </si>
  <si>
    <t>8.13 Redoublements: mettre en place une politique de réduction des redoublements au primaire et d'une nouvelle réglementation des redoublements au secondaire et au supérieur</t>
  </si>
  <si>
    <t>8.13.1 Guide pratique sur la question du redoublement au primaire</t>
  </si>
  <si>
    <t>8.13.1.1 Élaboration d'un guide pour les écoles en vue de diminuer les redoublements</t>
  </si>
  <si>
    <t>8.13.1.2 Acquisition et diffusion du guide</t>
  </si>
  <si>
    <t>8.13.2 Campagne de sensibilisation</t>
  </si>
  <si>
    <t>8.13.2.1 Sensibilisation des directeurs d'écoles et des inspecteurs</t>
  </si>
  <si>
    <t>8.13.3 Systématisation du rattrapage</t>
  </si>
  <si>
    <t>8.13.3.1 Formation des directeurs d'établissement scolaire au dispositif de rattrapage pour les élèves en difficulté</t>
  </si>
  <si>
    <t>8.13.4 Système de gestion et de suivi des scolarités au secondaire et au supérieur</t>
  </si>
  <si>
    <t>8.13.4.1 Mise en place d'un système de suivi des carrières scolaires</t>
  </si>
  <si>
    <t>8.13.4.2 Mise en œuvre du dispositif</t>
  </si>
  <si>
    <t>8.14 Scolarisation des filles : Encourager la scolarisation des filles</t>
  </si>
  <si>
    <t>8.14.1 Actions de communication pour agir sur les comportements</t>
  </si>
  <si>
    <t>8.14.1.1 Définir un plan de communication spécifique à la scolarisation des filles</t>
  </si>
  <si>
    <t>8.14.1.2 Développer des outils et des supports</t>
  </si>
  <si>
    <t>8.14.1.3 Assurer des campagnes de sensibilisation et de communication</t>
  </si>
  <si>
    <t xml:space="preserve">8.14.2 Code de conduite et sanctions contre les violences </t>
  </si>
  <si>
    <t>8.14.2.1 Élaboration et adoption d'un code de conduite unique</t>
  </si>
  <si>
    <t>8.14.2.2 Vulgarisation des principes du code de conduite</t>
  </si>
  <si>
    <t xml:space="preserve">8.14.2.3 Élargissement de l'expérience "Points focaux genre" : Identification des cas de violence dans les écoles et mise en place de mécanisme de suivi des dossiers et de références des victimes </t>
  </si>
  <si>
    <t>8.14.3 Proposition de modèles féminins inspirants</t>
  </si>
  <si>
    <t>8.14.3.1 Discrimination positive au recrutement dans la fonction d'enseignement</t>
  </si>
  <si>
    <t>8.14.3.2 Organisation de journées d'information et d'échange</t>
  </si>
  <si>
    <t>8.14.4 Information sur la prévention des mariages et grossesses précoces</t>
  </si>
  <si>
    <t>8.14.4.1 Sensibiliser les communautés à la prévention des mariages précoces et les filles et adolescentes aux grossesses non désirées</t>
  </si>
  <si>
    <t>8.14.4.2 Créer des clubs des pairs  (es) éducateurs  (trices)</t>
  </si>
  <si>
    <t>8.14.5 Éliminer les stéréotypes genre dans les programmes et les manuels</t>
  </si>
  <si>
    <t>8.14.5.1 Révision des programmes à tous les niveaux pour éliminer les stéréotypes et intégrer la dimension genre</t>
  </si>
  <si>
    <t>8.14.5.2 Élaboration d'un guide méthodologique de révision des manuels scolaires</t>
  </si>
  <si>
    <t>8.14.5.3 Réviser les manuels pour éliminer les stéréotypes et intégrer la dimension genre</t>
  </si>
  <si>
    <t>8.14.5.4 Formation des enseignants à l'utilisation des programmes et manuels révisés</t>
  </si>
  <si>
    <t>8.15 Préparation de rentrée : mettre en place un dispositif assurant le respect du temps scolaire et d’enseignement</t>
  </si>
  <si>
    <t>8.15.1 Préparation de la rentrée scolaire</t>
  </si>
  <si>
    <t xml:space="preserve">8.15.1.1 Préparation d'une circulaire/instruction académique par le Ministre portant interdiction de toute mobilité pendant l'année scolaire/académique </t>
  </si>
  <si>
    <t>8.15.1.2 Vulgarisation et suivi de l'application de la circulaire/instruction académique</t>
  </si>
  <si>
    <t xml:space="preserve">8.15.2 Procédure de paiement des salaires </t>
  </si>
  <si>
    <t xml:space="preserve">8.15.2.1 Identifier des solutions pour le paiement des enseignants </t>
  </si>
  <si>
    <t>8.15.3 Rattrapage des heures perdues</t>
  </si>
  <si>
    <t>8.15.3.1 Définition des dispositions d'imposition de rattrapage des heures perdues</t>
  </si>
  <si>
    <t>8.16.1 Équipement informatique et collecte statistique</t>
  </si>
  <si>
    <t>8.16.1.1 Mise en place progressive du dispositif numérique de collecte de données et de saisie des données</t>
  </si>
  <si>
    <t xml:space="preserve">8.16.1.2 Formation des cadres au logiciel de collecte et de saisie des données </t>
  </si>
  <si>
    <t>8.16.1.3 Campagne de collecte de données</t>
  </si>
  <si>
    <t>8.16.2 Traitement, analyse, publication et diffusion des données</t>
  </si>
  <si>
    <t>8.16.2.1 Traitement et analyse des données</t>
  </si>
  <si>
    <t>8.16.2.2 Publication des annuaires nationaux et provinciaux et des cartes scolaires</t>
  </si>
  <si>
    <t>8.16.3 Consolidation et publication de la carte scolaire/universitaire</t>
  </si>
  <si>
    <t>8.16.3.1 Élaboration des cartes scolaires/universitaires</t>
  </si>
  <si>
    <t>8.16.3.2 Publication de la carte scolaire/universitaire (papier et numérique)</t>
  </si>
  <si>
    <t>8.16.4 Définition des tableaux de bord provinciaux</t>
  </si>
  <si>
    <t>8.16.4.1 Définition des méthodes d'élaboration des tableaux des tableaux de bord provinciaux</t>
  </si>
  <si>
    <t>8.16.4.2 Élaboration des premiers tableaux de bord provinciaux</t>
  </si>
  <si>
    <t>8.16.5 Généralisation des tableaux de bord provinciaux</t>
  </si>
  <si>
    <t>8.16.5.1 Formation aux outils et méthodes</t>
  </si>
  <si>
    <t>8.16.5.2 Publication et diffusion des tableaux de bords provinciaux</t>
  </si>
  <si>
    <t>8.17 Politique nationale Éducation en situation d’urgence, post-conflits &amp; post catastrophes : identifier les stratégies pour prévenir et atténuer les risques de conflits et de catastrophes et Renforcer des capacités institutionnelles et améliorer la gestion des risques</t>
  </si>
  <si>
    <t>8.17.1 Prévention des catastrophes : Création d'une cellule de coordination</t>
  </si>
  <si>
    <t>8.17.1.1 Définition de la structure/prérogatives/composition de la cellule</t>
  </si>
  <si>
    <t>8.17.4.4 Équipement des infrastructures temporaires d’apprentissage</t>
  </si>
  <si>
    <t>8.18 Éducation à la nouvelle citoyenneté et à la paix et Prévention des violences</t>
  </si>
  <si>
    <t>8.18.1 Élaboration d'une stratégie et d'un plan d'action pour l'éducation à la paix et à la nouvelle citoyenneté</t>
  </si>
  <si>
    <t>8.18.1.1 Établir un diagnostic de la situation</t>
  </si>
  <si>
    <t>8.18.1.2 Élaboration du/des document(s) de stratégie pour l'éducation à la paix à la citoyenneté</t>
  </si>
  <si>
    <t>8.18.1.3 Élaboration et validation des plans d'action pour l'éducation à la paix, en situation d'urgence et à la citoyenneté</t>
  </si>
  <si>
    <t>8.18.1.4 Publication et vulgarisation des plans d'action pour l'éducation à la paix et à la nouvelle citoyenneté</t>
  </si>
  <si>
    <t>8.18.2 Élaboration d'instruments et outils d'éducation à la paix et à la Nouvelle citoyenneté</t>
  </si>
  <si>
    <t>8.18.2.1 Élaboration de modules de formation et de guides pratiques</t>
  </si>
  <si>
    <t>8.18.2.2 Élaboration d'un référentiel de cours d'éducation civique et morale et d'éducation à la nouvelle citoyenneté</t>
  </si>
  <si>
    <t>8.18.3 Assurer une large diffusion des principes d'éducation à la paix et à la Nouvelle citoyenneté</t>
  </si>
  <si>
    <t>8.18.3.1 Élaboration d'un plan de communication</t>
  </si>
  <si>
    <t>8.18.3.2 Développer des outils et des supports</t>
  </si>
  <si>
    <t>8.18.3.3 Assurer des campagnes IEC</t>
  </si>
  <si>
    <t>8.18.4 Renforcer des capacités institutionnelles et humaines</t>
  </si>
  <si>
    <t>8.18.4.1 Organisation du montage institutionnel et installation des structures provinciales</t>
  </si>
  <si>
    <t>8.18.4.2 Renforcement des capacités</t>
  </si>
  <si>
    <t>8.19.1.1 Renforcement des structures de pilotage et coordination</t>
  </si>
  <si>
    <t>8.19.1.2 Renforcement des structures de mise en œuvre du Plan sectoriel</t>
  </si>
  <si>
    <t>2.9 Formation continue des enseignants : renforcer la formation continue</t>
  </si>
  <si>
    <t>2.10 Formation initiale des enseignants du primaire : Professionnaliser les humanités pédagogiques</t>
  </si>
  <si>
    <t>5.8 Formation initiale des enseignants du secondaire : Professionnaliser les filières de formation</t>
  </si>
  <si>
    <t>8.5.2.1 Recrutement d'ingénieurs</t>
  </si>
  <si>
    <t>8.5.2.2 Actions de formation</t>
  </si>
  <si>
    <t>8.11.5.1 Élaboration d'un module de formation aux guides de diagnostic</t>
  </si>
  <si>
    <t>8.17.2 Étude sur la vulnérabilité</t>
  </si>
  <si>
    <t>8.17.2.1 Élaboration d'une étude sur la vulnérabilité</t>
  </si>
  <si>
    <t>8.17.3 Définition des stratégies pour prévenir et atténuer les risques</t>
  </si>
  <si>
    <t>8.17.3.1 Élaboration d'une stratégie de prévention des risques</t>
  </si>
  <si>
    <t>8.17.3.2 Définir les indicateurs de vulnérabilité et les modalité de leur production</t>
  </si>
  <si>
    <t>8.17.4 Renforcer le rôle de coordination aux niveaux central et décentralisés</t>
  </si>
  <si>
    <t>8.17.4.1 Organisation du montage institutionnel et installation des structures provinciales</t>
  </si>
  <si>
    <t>8.17.5 Plans d'action pour les zones à risque</t>
  </si>
  <si>
    <t>8.17.5.1 Élaboration et validation du plan d'action pour les zones à risque</t>
  </si>
  <si>
    <t>8.17.6 Intégrer la réduction des risques dans les programmes des ministères en charge de l'éducation</t>
  </si>
  <si>
    <t>8.17.6.1 Révision des programmes en intégrant les principes de réduction des risques</t>
  </si>
  <si>
    <t>8.17.7 Évaluer et réparer les dégâts sur les infrastructures</t>
  </si>
  <si>
    <t xml:space="preserve">8.17.7.1 Identification des structures scolaires affectées par les conflits et catastrophes naturelles </t>
  </si>
  <si>
    <t xml:space="preserve">8.17.7.2 Réhabilitation des infrastructures et des équipements éducatifs </t>
  </si>
  <si>
    <t>8.17.7.3 Mise en place des infrastructures temporaires d’apprentissage</t>
  </si>
  <si>
    <t>8.17.8 Renforcer le contrôle qualité des constructions</t>
  </si>
  <si>
    <t xml:space="preserve">8.17.8.1 Respect des normes de constructions </t>
  </si>
  <si>
    <t>8.17.8.2 Élaboration d'un guide des normes de construction des établissements ETFP</t>
  </si>
  <si>
    <t>8.17.9 Fourniture de repas pendant les crises</t>
  </si>
  <si>
    <t>8.17.9.1 Fourniture des repas pendant les crises</t>
  </si>
  <si>
    <t>8.17.10 Renforcer les dispositifs d'accueil des déplacés</t>
  </si>
  <si>
    <t>8.17.10.1 Mise en place des infrastructures temporaires d’apprentissage pour les déplacés</t>
  </si>
  <si>
    <t>8.17.10.2 Équipement des infrastructures temporaires d’apprentissage pour les déplacés</t>
  </si>
  <si>
    <t>8.17.11 Adaptation des calendriers et horaires</t>
  </si>
  <si>
    <t>8.17.11.1 Élaboration d'un guide pratique pour adapter le calendrier et les horaires</t>
  </si>
  <si>
    <t>8.17.12 Appui psychologique aux enfants traumatisés</t>
  </si>
  <si>
    <t>8.17.12.1 Sensibiliser les élèves et les enseignants sur les risques des crises ainsi que le comportement à adopter y compris le soutien psycho-social</t>
  </si>
  <si>
    <t>8.17.12.2 Former les inspecteurs formateurs des enseignants sur les risques de catastrophe naturelle, leurs conséquences et le comportement à tenir à destination des élèves</t>
  </si>
  <si>
    <t>8.17.13 Exemption des frais directs pour les élèves/étudiants déplacés</t>
  </si>
  <si>
    <t xml:space="preserve">8.17.13.1 Élaboration d'un arrêté interministériel exemptant les élèves/étudiants déplacés des frais directs </t>
  </si>
  <si>
    <t>8.17.13.2 Identification des élèves/étudiants déplacés ainsi que leurs établissements</t>
  </si>
  <si>
    <t>8.18.5 Prévention des violences : Développement des services sociaux des établissements</t>
  </si>
  <si>
    <t>8.18.5.1 Formation du personnel enseignant et des administrateurs sur la prévention des conflits et des violences en milieu scolaire et universitaire</t>
  </si>
  <si>
    <t>8.18.6 Assurer des campagnes de sensibilisation sur la prévention des violences</t>
  </si>
  <si>
    <t>8.18.6.1 Campagnes de sensibilisation à travers les radios communautaires</t>
  </si>
  <si>
    <t>8.19.2 Assurer le suivi et l'évaluation du Plan sectoriel</t>
  </si>
  <si>
    <t>8.19.2.1 Organisation et tenue des Revues conjointes</t>
  </si>
  <si>
    <t>8.19.3 Assurer le fonctionnement du cadre de coordination interministérielle</t>
  </si>
  <si>
    <t>8.19.3.1 Définition d'un cadre de coordination interministérielle</t>
  </si>
  <si>
    <t>8.19.3.2 Mise en place et fonctionnement du cadre de coordination interministérielle</t>
  </si>
  <si>
    <t>8.19.1 Assurer la coordination stratégique et opérationnelle du Plan sectoriel</t>
  </si>
  <si>
    <t>P8. Gestion, pilotage et évaluation du système éducatif</t>
  </si>
  <si>
    <t>IFM</t>
  </si>
  <si>
    <t>12 salles de classe, une bibliothèque, une médiathèque, une infirmerie et dortoirs</t>
  </si>
  <si>
    <t>EPS-DSG</t>
  </si>
  <si>
    <t>EPT-DSG</t>
  </si>
  <si>
    <t>MAS-DEP</t>
  </si>
  <si>
    <t>ETP-DSG</t>
  </si>
  <si>
    <t>SPACE/DEP/CTS</t>
  </si>
  <si>
    <t>SPACE/DIPROMAD/MESU/EPT/MAS</t>
  </si>
  <si>
    <t>SPACE/SERNAFOR/MESU/EPT/MAS</t>
  </si>
  <si>
    <t>SPACE/EPS/ESU/ETP/MASND</t>
  </si>
  <si>
    <t>SPACE/EPS/ESU/ETP/MAS</t>
  </si>
  <si>
    <t>SPACE/EPS/ETP/MAS</t>
  </si>
  <si>
    <t>SPACE/EPS/ETP</t>
  </si>
  <si>
    <t>SPACE/DEP-EPS/ETP/MAS</t>
  </si>
  <si>
    <t>SPACE/DEP-EPS/ESU/ETP/MAS</t>
  </si>
  <si>
    <t>MESU/DSG</t>
  </si>
  <si>
    <t>MESU/DSA</t>
  </si>
  <si>
    <t>MESU-CPE-DEP</t>
  </si>
  <si>
    <t>EPS-DEP-DIS</t>
  </si>
  <si>
    <t>4.3.1 Prise en charge du personnel</t>
  </si>
  <si>
    <t>SPACE-EPS-MESU</t>
  </si>
  <si>
    <t>SPACE/EPS-DEP</t>
  </si>
  <si>
    <t>SPACE/MAS-DEP-DGENF</t>
  </si>
  <si>
    <t>SPACE/EPT</t>
  </si>
  <si>
    <t>MESU-Corps des inspecteurs</t>
  </si>
  <si>
    <t>MESU-CPE</t>
  </si>
  <si>
    <t>SPACE/EPS/MESU/ETP/MAS</t>
  </si>
  <si>
    <t>SPACE/EPS-SECOPE/MESU-DSG/ETP-SECOPE/MAS-DSG</t>
  </si>
  <si>
    <t>MESU-DSG</t>
  </si>
  <si>
    <t>Nombre d'activités</t>
  </si>
  <si>
    <t>(Montants en 1000 USD)</t>
  </si>
  <si>
    <t>MEPS</t>
  </si>
  <si>
    <t>Cabinet et CGC</t>
  </si>
  <si>
    <t>1.4.2.2 Impression et diffusion du guide</t>
  </si>
  <si>
    <t>2.1.2.1 Réhabilitation de salle de classe</t>
  </si>
  <si>
    <t>2.2.2.2 Subvention aux écoles primaires de la première à la 5ème année</t>
  </si>
  <si>
    <t>2.6.3.2 Acquisition et distribution des plaquettes</t>
  </si>
  <si>
    <t>2.8.4.2 Réalisation du programme de construction des clôtures</t>
  </si>
  <si>
    <t>2.8.5.1 Définition d'un kit minimum pour une école d'équipements pour activités physiques et sportives</t>
  </si>
  <si>
    <t>2.9.4.1 Élaboration d'outils de suivi et d'évaluation</t>
  </si>
  <si>
    <t>3.2.3.2 Définition des outils et matériels pédagogiques</t>
  </si>
  <si>
    <t>3.2.3.3 Acquisition et distribution des outils et matériels pédagogiques</t>
  </si>
  <si>
    <t>3.4.1.1 Ateliers techniques de révision du programme de rattrapage scolaire</t>
  </si>
  <si>
    <t>3.4.1.4 Actualisation des guides des trois niveaux de rattrapage scolaire</t>
  </si>
  <si>
    <t>3.4.1.5 Actualisation du guide d'alphabétisation</t>
  </si>
  <si>
    <t>3.4.1.6 Actualisation du guide d'apprentissage professionnel</t>
  </si>
  <si>
    <t>3.4.4.1 Acquisition et distribution des programmes</t>
  </si>
  <si>
    <t>3.6.1.1 Standardisation des outils de suivi et d'évaluation des apprenants</t>
  </si>
  <si>
    <t>3.6.2.1 Standardisation des documents de certification</t>
  </si>
  <si>
    <t>3.7.1.1 Actualisation des modules de formation de rattrapage scolaire</t>
  </si>
  <si>
    <t>3.7.2.1 Formation des formateurs des éducateurs sociaux</t>
  </si>
  <si>
    <t>4.1.5.2 Sensibilisation à la réforme de l'éducation de base</t>
  </si>
  <si>
    <t>4.5.2.1 Définition d'un kit minimum pour une école d'équipements pour activités physiques et sportives</t>
  </si>
  <si>
    <t>5.8.5.1 Définition d'un cadre de coordination des 4 ministères</t>
  </si>
  <si>
    <t>6.6.1.1 Étude de faisabilité du national d'ingénierie de la formation</t>
  </si>
  <si>
    <t>7.11.4.1  Étude sur le dimensionnement et l'organisation des EES publics</t>
  </si>
  <si>
    <t>7.12.1.2 Mise à jour de la carte universitaire</t>
  </si>
  <si>
    <t>7.12.2.3 Utilisation par les EES de logiciels de gestion informatisée des ressources</t>
  </si>
  <si>
    <t>7.13.4.1 Élaboration et validation des contrats des performances</t>
  </si>
  <si>
    <t>7.5.2.1 Élaboration du programme de développement des établissements existants</t>
  </si>
  <si>
    <t>7.8.2.3 Dotation des enseignants et étudiants en ordinateurs portables</t>
  </si>
  <si>
    <t>8.10.3.1 Élaboration de modules de formation</t>
  </si>
  <si>
    <t>8.11.3.3 Mise en place et fonctionnement de la CNQC</t>
  </si>
  <si>
    <t>8.12.1.1 Étude sur la mise en place de passerelles entre les filières</t>
  </si>
  <si>
    <t>8.14.2.3 Élargissement de l'expérience "Points focaux genre" : Identification des cas de violence dans les écoles et mise en place de mécanisme de suivi des dossiers et de références des victimes</t>
  </si>
  <si>
    <t>8.15.1.1 Préparation d'une circulaire/instruction académique par le Ministre portant interdiction de toute mobilité pendant l'année scolaire/académique</t>
  </si>
  <si>
    <t>8.15.2.1 Identifier des solutions pour le paiement des enseignants</t>
  </si>
  <si>
    <t>8.16.1.2 Formation des cadres au logiciel de collecte et de saisie des données</t>
  </si>
  <si>
    <t>8.17.7.1 Identification des structures scolaires affectées par les conflits et catastrophes naturelles</t>
  </si>
  <si>
    <t>8.17.7.2 Réhabilitation des infrastructures et des équipements éducatifs</t>
  </si>
  <si>
    <t>8.17.8.1 Respect des normes de constructions</t>
  </si>
  <si>
    <t>8.3.2.1 Études sur la rationalisation et la modernisation des statuts</t>
  </si>
  <si>
    <t>8.6.1.1 Production d'outils d'audits internes et externes</t>
  </si>
  <si>
    <t>8.6.1.2 Opérations d'audits internes et externes</t>
  </si>
  <si>
    <t>8.6.2.2 Définition des budgets des catégories des BG et des modalités de leur financement</t>
  </si>
  <si>
    <t>8.7.1.3 Accompagnement des structures dans l'élaboration d'un projet de l'ETP</t>
  </si>
  <si>
    <t>8.9.3.1 Formation et échange d'expérience entre différents COGES et COPA</t>
  </si>
  <si>
    <t>5.8.5.1 Définition d'un cadre de coordination des 4 ministères ; 5.8.5.2 Mise en place et fonctionnement du cadre de coordination ; 8.12.3.1 Étude sur la réforme du TENAFEP ; 8.14.2.1 Élaboration et adoption d'un code de conduite unique ; 8.14.2.2 Vulgarisation des principes du code de conduite ; 8.14.2.3 Élargissement de l'expérience "Points focaux genre" : Identification des cas de violence dans les écoles et mise en place de mécanisme de suivi des dossiers et de références des victimes ; 8.14.3.1 Discrimination positive au recrutement dans la fonction d'enseignement ; 8.17.1.1 Définition de la structure/prérogatives/composition de la cellule ; 8.17.2.1 Élaboration d'une étude sur la vulnérabilité ; 8.17.3.1 Élaboration d'une stratégie de prévention des risques ; 8.19.1.1 Renforcement des structures de pilotage et coordination ; 8.19.1.2 Renforcement des structures de mise en œuvre du Plan sectoriel ; 8.19.2.1 Organisation et tenue des Revues conjointes ; 8.19.3.1 Définition d'un cadre de coordination interministérielle ; 8.19.3.2 Mise en place et fonctionnement du cadre de coordination interministérielle ; 8.3.1.1 Études sur la mise à la retraite des agents ; 8.3.2.1 Études sur la rationalisation et la modernisation des statuts ; 8.6.2.1 Évaluation des besoins effectifs de fonctionnement des différentes catégories des bureaux gestionnaires ; 8.6.2.2 Définition des budgets des catégories des BG et des modalités de leur financement ; 8.6.3.1 Étude d'évaluation des flux ascendants ;</t>
  </si>
  <si>
    <t>5.8.3.3 Équipement en matériel de laboratoire, ateliers et matériels didactiques des ISP/ISPT/UPN ; 7.10.1.1 Développement d'un fichier des compétences nationales ; 7.11.2.1  Organisation et tenue des états généraux de l'enseignement supérieur ; 7.11.4.1  Définir les modèles d'audits interne et externe ; 7.11.4.1  Étude sur le dimensionnement et l'organisation des EES publics ; 7.11.4.2  Formation aux méthodes d'audit interne ; 7.11.5.1 Audit organisationnel et enquête de viabilité pour les différents ESS ; 7.11.5.3 Organisations des campagnes de sensibilisation dans les 26 provinces pour impliquer toutes les parties prenantes dans l'effort d'assainissement du sous secteur ; 7.11.5.4 Conclusion d'accord de collaboration avec les associations de la société civile et du monde économique ; 7.12.1.1 Définition de la cellule de planification et sa mise en place dans tous les EES ; 7.12.1.2 Mise à jour de la carte universitaire ; 7.12.1.3 Renforcement des capacité en matière de planification ; 7.12.2.1 Réhabilitation et équipement des 26 cellules des planifications aux niveaux des conférences des chefs d'EES ; 7.12.2.2 Appui technique aux EES pour l'élaboration de leur plan stratégique ; 7.12.2.3 Utilisation par les EES de logiciels de gestion informatisée des ressources ; 7.12.3.1 Production annuelle du plan stratégique des ESS ; 7.13.2.1 Conception des outils de bonne  gouvernance ; 7.13.2.2 Renforcement des capacités des gestionnaires des EES sur l'utilisation des outils de bonne gouvernance ; 8.1.3.2 Investissements MESU ; 8.1.3.4 Investissements  ETP</t>
  </si>
  <si>
    <t>1.4.1.1 Dotation en matériel d'éveil ; 1.4.2.1 Élaboration de guide pédagogiques pour le préscolaire ; 1.4.2.2 Impression et diffusion du guide ; 2.10.1.1 Actualisation du référentiel de compétences des enseignants réalisé en 2013 ; 2.10.1.2 Révision du curriculum de formation des enseignants ; 2.10.2.1 Étude sur les profils d'entrée, de sortie et de durée de formation des futurs enseignants ; 2.10.2.2 Définition du profil des formateurs des formateurs ; 2.10.3.1 Étude sur la carte scolaire des écoles normales et de l'enseignement des humanités pédagogiques ; 2.10.3.2 Mise en place du programme de restructuration/spécialisation des établissements ; 2.6.1.1 Définition d'un kit minimal en matériel pédagogique pour une classe et une école ; 2.6.1.2 Production, acquisition et distribution du matériel pédagogique ; 2.6.2.2 Acquisition et distribution de manuels scolaires ; 2.6.3.2 Acquisition et distribution des plaquettes ; 2.6.4.1 Élaboration des guides pédagogiques ; 2.7.2.1 Élaboration d'un guide sur des activités de lecture harmonisées ; 2.7.2.2 Acquisition et distribution du guide sur des activités de lecture harmonisées ; 2.7.3.1 Élaboration d'un guide d'aide à la réalisation de projets pédagogiques centrés sur la lecture ; 2.7.3.2. Acquisition  et distribution du guide d'aide à la réalisation de projets pédagogiques centrés sur la lecture ; 2.8.6.1 Diagnostic de la situation et définition d'une bibliothèque standard (équipements, ouvrages, etc.) ; 2.8.6.3 Élaboration d'un guide de gestion d'une bibliothèque (archivage, etc.) et formation à la gestion de bibliothèque ; 2.8.6.4 Acquisition et distribution de livres ; 4.4.1.1 Définition du kit d'équipement en matériel pédagogique pour le premier cycle du secondaire ; 4.4.1.2 Acquisition et distribution de kits pédagogiques ; 4.4.2.1 Élaboration de manuels scolaires en français, mathématiques et sciences et de leurs guides pédagogiques ; 4.4.2.4 Acquisition et distribution des guides pédagogiques pour les enseignants ; 4.4.2.4 Acquisition et distribution des manuels scolaires en français, mathématiques et sciences ; 4.5.3.1 Analyse des besoins en bibliothèques (audit de l'existant) ; 4.5.3.2 Définition d'une bibliothèque standard et élaboration d'un guide de gestion ; 4.5.3.5 Acquisition et distribution de livres et de matériel ; 5.1.1.1 Évaluation de la réforme en cours et rédaction des dispositions réglementaires ; 5.4.1.1 Définition du kit d'équipement en matériel pédagogique pour le premier cycle du secondaire ; 5.4.1.2 Acquisition et distribution de kits pédagogiques ; 5.4.2.1 Élaboration de manuels scolaires en français, mathématiques et sciences et de leurs guides pédagogiques ; 5.4.2.3 Élaboration du module de formation à l'utilisation des manuels scolaires en français, mathématiques et sciences ; 5.4.2.4 Acquisition et distribution des manuels scolaires en français, mathématiques et sciences ; 5.4.3.1 Acquisition et distribution des guides pédagogiques pour les enseignants ; 5.5.1.1 Définition d'un programme d'équipement ; 5.5.1.2 Équipement de laboratoire de physique chimie ; 5.5.1.3 Équipement de laboratoire de biologie ; 5.5.3.1 Analyse des besoins en bibliothèques (audit de l'existant) ; 5.5.3.2 Définition d'une bibliothèque standard et élaboration d'un guide de gestion ; 5.5.3.5 Acquisition et distribution de livres et de matériel ; 5.7.1.1 Développer et actualiser les modules de formation ; 5.7.1.2 Mettre en place le plan de formation ; 8.8.1.1 Production et distribution du document de la politique nationale du livre scolaire ; 8.8.2.1 Élaboration d'un guide à destination des concepteurs des manuels tenant compte des questions transversales (genre, éducation à la vie, paix et citoyenneté, environnement et santé) ; 8.8.2.2 Renforcement des capacités à l'élaboration et à la gestion des manuels scolaires</t>
  </si>
  <si>
    <t>SG</t>
  </si>
  <si>
    <t>IG</t>
  </si>
  <si>
    <t>DEP</t>
  </si>
  <si>
    <t>DIS</t>
  </si>
  <si>
    <t>DIPROMAD</t>
  </si>
  <si>
    <t>SERNAFOR</t>
  </si>
  <si>
    <t>SECOPE</t>
  </si>
  <si>
    <t>EVF</t>
  </si>
  <si>
    <t>Direction des Sports et loisirs</t>
  </si>
  <si>
    <t>METP</t>
  </si>
  <si>
    <t>Cabinet et SG</t>
  </si>
  <si>
    <t>CPE</t>
  </si>
  <si>
    <t>DEOD</t>
  </si>
  <si>
    <t>PUC</t>
  </si>
  <si>
    <t>Corps des inspecteurs</t>
  </si>
  <si>
    <t>Activités spécifiques</t>
  </si>
  <si>
    <t>Activités de coordination et intersectorielles</t>
  </si>
  <si>
    <t>Activités intersectorielles et activités communes</t>
  </si>
  <si>
    <r>
      <t xml:space="preserve">Ministère/Structure
      </t>
    </r>
    <r>
      <rPr>
        <sz val="8"/>
        <color theme="1"/>
        <rFont val="Arial"/>
        <family val="2"/>
      </rPr>
      <t>Chef de file</t>
    </r>
  </si>
  <si>
    <t>MEPSINC</t>
  </si>
  <si>
    <t>8.19 Pilotage et coordination du Plan sectoriel : Renforcement des structures, dispositifs et mesures institutionnels de pilotage, de coordination et de mise en œuvre et de suivi du Plan sectoriel</t>
  </si>
  <si>
    <t>Budget d'installation de SPACE (construction/réhabilitation et équipement)</t>
  </si>
  <si>
    <t>Enveloppe pour équipement des structures clés de mise en œuvre du Plan sectoriel</t>
  </si>
  <si>
    <t>Forfait/Structure</t>
  </si>
  <si>
    <t>3.1. Amélioration de l’accès aux offres de formation</t>
  </si>
  <si>
    <t>7.12 Renforcement du Système d’information pour la Planification Stratégique et la Gestion axée sur les résultats</t>
  </si>
  <si>
    <t>Capacités pédagogiques</t>
  </si>
  <si>
    <t>P</t>
  </si>
  <si>
    <t>G</t>
  </si>
  <si>
    <t>8.17 Politique nationale Éducation en situation d’urgence, post-conflits &amp; post catastrophes</t>
  </si>
  <si>
    <t>Capacités de gestion</t>
  </si>
  <si>
    <t xml:space="preserve">Composante et  Activité </t>
  </si>
  <si>
    <t>1.1 Espaces Communautaires d'Eveil : Susciter et encourager les initiatives communautaires</t>
  </si>
  <si>
    <t>1.1.1 Sensibilisation des communautés à la création d'Espaces Communautaires d'Eveil</t>
  </si>
  <si>
    <t>Total Programme 1</t>
  </si>
  <si>
    <t>C1</t>
  </si>
  <si>
    <t>C2</t>
  </si>
  <si>
    <t>C3</t>
  </si>
  <si>
    <t>1.1 Espaces Communautaires d'Eveil</t>
  </si>
  <si>
    <t>1.2 Classes préparatoires dans les écoles primaires</t>
  </si>
  <si>
    <t>1.3 Expansion de l'offre publique d'écoles maternelles</t>
  </si>
  <si>
    <t>1.4 Équipement des structures</t>
  </si>
  <si>
    <t>1.5 Formation des animateurs</t>
  </si>
  <si>
    <t>1.6 Supervision des structures et des enseignants</t>
  </si>
  <si>
    <t>2.1 Capacité d'accueil du primaire</t>
  </si>
  <si>
    <t>2.2 Gratuité des écoles publiques</t>
  </si>
  <si>
    <t>2.3 Résorption des disparités dans l'offre</t>
  </si>
  <si>
    <t>2.4 Amélioration de l'équité d'accès</t>
  </si>
  <si>
    <t>2.5 Scolarisation des filles</t>
  </si>
  <si>
    <t>2.6 Matériels et équipements pédagogiques</t>
  </si>
  <si>
    <t>2.7 Apprentissage de la lecture-écriture</t>
  </si>
  <si>
    <t>2.8 Environnement éducatif</t>
  </si>
  <si>
    <t>2.9 Formation des enseignants</t>
  </si>
  <si>
    <t>2.10 Supervision des écoles et des enseignants</t>
  </si>
  <si>
    <t>2.11 Équipement informatique des directeurs</t>
  </si>
  <si>
    <t xml:space="preserve">3.6. Evaluation et certification : mettre en place un système de suivi, d’évaluation et de certification des acquis des apprenants </t>
  </si>
  <si>
    <t>Total Programme 3</t>
  </si>
  <si>
    <t>3.2. Protection sociale</t>
  </si>
  <si>
    <t>3.3. Programmes de l'AENF</t>
  </si>
  <si>
    <t>3.4 Supports et matériels andragogiques</t>
  </si>
  <si>
    <t>3.5 Utilisation des langues locales</t>
  </si>
  <si>
    <t>3.6. Evaluation et certification</t>
  </si>
  <si>
    <t>3.7 Formation et rémunération des animateurs</t>
  </si>
  <si>
    <t>3.8. Organes de conseil et coordination</t>
  </si>
  <si>
    <t>3.9. DGENF et structures déconcentrées</t>
  </si>
  <si>
    <t>3.10 Supervision et inspection</t>
  </si>
  <si>
    <t>3.11. Visibilité du sous-secteur</t>
  </si>
  <si>
    <t>4.3 Moyens des écoles publiques : apporter un soutien fort de l'Etat, complété par des frais scolaires payés par les familles</t>
  </si>
  <si>
    <t>Total Programme 4</t>
  </si>
  <si>
    <t>4.1 Mise en place de l'éducation de base de 8 ans</t>
  </si>
  <si>
    <t>4.2 Accès équitable au premier cycle secondaire</t>
  </si>
  <si>
    <t>4.3 Moyens des écoles publiques</t>
  </si>
  <si>
    <t>4.4 Matériels et équipements pédagogiques</t>
  </si>
  <si>
    <t>4.5 Environnement éducatif</t>
  </si>
  <si>
    <t>4.6 Formation des enseignants</t>
  </si>
  <si>
    <t>4.7 Supervision des structures et des enseignants</t>
  </si>
  <si>
    <t>Total Programme 5</t>
  </si>
  <si>
    <t>5.1 Réforme du secondaire</t>
  </si>
  <si>
    <t>5.2 Gestion de l'accès à l'enseignement secondaire</t>
  </si>
  <si>
    <t>5.3 Moyens des écoles</t>
  </si>
  <si>
    <t>5.4 Matériels et équipements pédagogiques</t>
  </si>
  <si>
    <t>5.5 Equipement des bibliothèques et laboratoires</t>
  </si>
  <si>
    <t>5.6 Environnement éducatif</t>
  </si>
  <si>
    <t>Total Programme 6</t>
  </si>
  <si>
    <t>6.1 Réorganisation de l'offre de l'ETFP</t>
  </si>
  <si>
    <t>6.2 Réforme du système d'orientation</t>
  </si>
  <si>
    <t>6.3 Matériels et équipements pédagogiques</t>
  </si>
  <si>
    <t>6.4 Adaptation au marché du travail</t>
  </si>
  <si>
    <t>6.5 Environnement éducatif</t>
  </si>
  <si>
    <t>6.6 Formation et rémunération des enseignants</t>
  </si>
  <si>
    <t>6.7 Supervision des structures et des enseignants</t>
  </si>
  <si>
    <t>Total Programme 7</t>
  </si>
  <si>
    <t>7.1. Accès des Filles à l’ESU</t>
  </si>
  <si>
    <t>7.2. Dimension sociale de l’ESU</t>
  </si>
  <si>
    <t>7.3 Moyens des EES</t>
  </si>
  <si>
    <t>7.4 Promotion de l’Assurance-Qualité</t>
  </si>
  <si>
    <t>7.5 Développement des filières techniques, technologiques et professionnelles dans les pôles et secteurs de croissance</t>
  </si>
  <si>
    <t>7.6 Inscription du Système Congolais d’Enseignement Supérieur dans la mouvance mondiale</t>
  </si>
  <si>
    <t>7.7 Implantation des TIC</t>
  </si>
  <si>
    <t>7.8 Désenclavement numérique des EES</t>
  </si>
  <si>
    <t>7.9 Revitalisation de la Recherche</t>
  </si>
  <si>
    <t>7.10. Renouvellement des ressources professorales</t>
  </si>
  <si>
    <t>7.13. Renforcement des outils de bonne Gouvernance</t>
  </si>
  <si>
    <t>Total Programme 8</t>
  </si>
  <si>
    <t>8.1 Moyens des services administratifs</t>
  </si>
  <si>
    <t>8.3 Gestion des carrières</t>
  </si>
  <si>
    <t>Développer une préscolarisation de qualité, particulièrement en milieu rural</t>
  </si>
  <si>
    <t>Un enseignement primaire de qualité pour apporter à tous les savoirs et compétences de base</t>
  </si>
  <si>
    <t>Permettre aux personnes non scolarisées d'acquérir les savoirs de base</t>
  </si>
  <si>
    <t>développer l'accès au premier cycle et préparer l'éducation de base de 8 ans</t>
  </si>
  <si>
    <t>maitriser et diversifier l'accès et préparer les élèves aux études supérieures</t>
  </si>
  <si>
    <t>apporter les qualifications nécessaires à l'économie nationale</t>
  </si>
  <si>
    <t>Former les cadres qualifiés et ouverts aux technologies qui porteront le développement économique</t>
  </si>
  <si>
    <t>Renforcer les capacités de gestion des ministères en charge de l'éducation</t>
  </si>
  <si>
    <t>2.4.4.1 Définition d'une politique nationale pour l'éducation inclusive</t>
  </si>
  <si>
    <t>2.7.3.2. Acquisition et distribution du guide d'aide à la réalisation de projets pédagogiques centrés sur la lecture</t>
  </si>
  <si>
    <t>2.7.4.2 Réalisation par les inspecteurs d'évaluations régulières des actions des écoles pour la lecture</t>
  </si>
  <si>
    <t>Réalisé en 2016</t>
  </si>
  <si>
    <t>Construction des IFM et réhabilitation</t>
  </si>
  <si>
    <t>Programme élaboré en 2017</t>
  </si>
  <si>
    <t>5.7 Formation continue des enseignants</t>
  </si>
  <si>
    <t>5.8 Formation initiale des enseignants</t>
  </si>
  <si>
    <t>5.9 Supervision des structures et des enseignants</t>
  </si>
  <si>
    <t>5.10 Technologies de l'information</t>
  </si>
  <si>
    <t>2.4.5.1 Recensement des familles, des élèves et des écoles autochtones</t>
  </si>
  <si>
    <t>7.11.2.1 Organisation et tenue des états généraux de l'enseignement supérieur</t>
  </si>
  <si>
    <t xml:space="preserve">7.11.4.1 Étude sur le dimensionnement et l'organisation des EES publics </t>
  </si>
  <si>
    <t>7.11.4.1 Définir les modèles d'audits interne et externe</t>
  </si>
  <si>
    <t>7.11.4.2 Formation aux méthodes d'audit interne</t>
  </si>
  <si>
    <t>7.13.2.1 Conception des outils de bonne gouvernance</t>
  </si>
  <si>
    <t>8.1.1.1 Rémunération des personnels des services centraux EPSINC</t>
  </si>
  <si>
    <t>8.1.1.4 Rémunération des personnels des services centraux ETP</t>
  </si>
  <si>
    <t>8.1.3.4 Investissements ETP</t>
  </si>
  <si>
    <t>8.2.1.1 Rémunération du personnel des bureaux gestionnaires EPSINC</t>
  </si>
  <si>
    <t>8.4.1.3 Suivi et évaluation des cadres des services déconcentrés</t>
  </si>
  <si>
    <t xml:space="preserve">8.10.1 Création d'un Comité scientifique </t>
  </si>
  <si>
    <t>8.11 Assurance qualité et Pilotage de la qualité : développer une culture et des mécanismes de suivi et évaluation et de pilotage de la qualité des apprentissages</t>
  </si>
  <si>
    <t>8.14.4.2 Créer des clubs des pairs (es) éducateurs (trices)</t>
  </si>
  <si>
    <t xml:space="preserve">8.16 Système d'information central et provincial : Renforcer le système d’information et de gestion de l’éducation (SIGE) et développer les outils et les initiatives d’exploitation locale des données </t>
  </si>
  <si>
    <t>8.4 Gestion des ressources financières</t>
  </si>
  <si>
    <t>8.5 Gestion des infrastructures scolaires</t>
  </si>
  <si>
    <t>8.6 Redevabilité et gouvernance financière</t>
  </si>
  <si>
    <t>8.7 Gestion financière des établissements</t>
  </si>
  <si>
    <t>8.8 Gestion des manuels scolaires</t>
  </si>
  <si>
    <t>8.9 Gestion décentralisée</t>
  </si>
  <si>
    <t>8.10 Curricula et Méthodes pédagogiques innovantes</t>
  </si>
  <si>
    <t>8.11 Assurance qualité et Pilotage de la qualité</t>
  </si>
  <si>
    <t>8.12 Gestion des flux d'élèves</t>
  </si>
  <si>
    <t>8.13 Redoublements</t>
  </si>
  <si>
    <t>8.14 Scolarisation des filles</t>
  </si>
  <si>
    <t>8.15 Préparation de rentrée</t>
  </si>
  <si>
    <t>8.16 Système d'information central et provincial</t>
  </si>
  <si>
    <t>Répartition par unité de mise en œuvre</t>
  </si>
  <si>
    <r>
      <t xml:space="preserve">Ministère/Structure
      </t>
    </r>
    <r>
      <rPr>
        <sz val="8"/>
        <color theme="0"/>
        <rFont val="Arial"/>
        <family val="2"/>
      </rPr>
      <t>Chef de file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</si>
</sst>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"/>
    <numFmt numFmtId="165" formatCode="0.0%"/>
    <numFmt numFmtId="166" formatCode="#,##0.0"/>
    <numFmt numFmtId="167" formatCode="&quot;Modèle&quot;"/>
    <numFmt numFmtId="168" formatCode="0.000"/>
    <numFmt numFmtId="169" formatCode="0.0"/>
  </numFmts>
  <fonts count="56" x14ac:knownFonts="1">
    <font>
      <sz val="12"/>
      <color theme="1"/>
      <name val="Calibri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rgb="FF0033CC"/>
      <name val="Arial"/>
      <family val="2"/>
    </font>
    <font>
      <b/>
      <sz val="8"/>
      <color rgb="FF0033CC"/>
      <name val="Arial"/>
      <family val="2"/>
    </font>
    <font>
      <i/>
      <sz val="8"/>
      <color theme="3" tint="-0.499984740745262"/>
      <name val="Arial"/>
      <family val="2"/>
    </font>
    <font>
      <b/>
      <i/>
      <sz val="8"/>
      <color theme="3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8"/>
      <name val="Arial"/>
      <family val="2"/>
    </font>
    <font>
      <b/>
      <sz val="10"/>
      <color rgb="FF00B050"/>
      <name val="Arial Narrow"/>
      <family val="2"/>
    </font>
    <font>
      <b/>
      <sz val="10"/>
      <color theme="1"/>
      <name val="Arial Narrow"/>
      <family val="2"/>
    </font>
    <font>
      <sz val="9"/>
      <name val="Arial Narrow"/>
      <family val="2"/>
    </font>
    <font>
      <b/>
      <i/>
      <sz val="12"/>
      <color theme="1"/>
      <name val="Calibri"/>
      <family val="2"/>
    </font>
    <font>
      <sz val="10"/>
      <color theme="1"/>
      <name val="Arial Narrow"/>
      <family val="2"/>
    </font>
    <font>
      <i/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0033CC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9"/>
      <name val="Arial Narrow"/>
      <family val="2"/>
    </font>
    <font>
      <sz val="12"/>
      <color rgb="FFFF0000"/>
      <name val="Calibri"/>
      <family val="2"/>
    </font>
    <font>
      <sz val="8"/>
      <name val="Arial Narrow"/>
      <family val="2"/>
    </font>
    <font>
      <i/>
      <sz val="8"/>
      <color rgb="FF0033CC"/>
      <name val="Arial"/>
      <family val="2"/>
    </font>
    <font>
      <i/>
      <sz val="9"/>
      <name val="Arial"/>
      <family val="2"/>
    </font>
    <font>
      <b/>
      <sz val="12"/>
      <color rgb="FFFF0000"/>
      <name val="Calibri"/>
      <family val="2"/>
    </font>
    <font>
      <i/>
      <sz val="8"/>
      <color rgb="FF0033CC"/>
      <name val="Arial Narrow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33CC"/>
      <name val="Arial"/>
      <family val="2"/>
    </font>
    <font>
      <b/>
      <i/>
      <sz val="9"/>
      <color rgb="FF0033CC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70C0"/>
      <name val="Arial"/>
      <family val="2"/>
    </font>
    <font>
      <sz val="8"/>
      <color rgb="FF002060"/>
      <name val="Arial"/>
      <family val="2"/>
    </font>
    <font>
      <b/>
      <sz val="12"/>
      <color theme="1"/>
      <name val="Calibri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59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34998626667073579"/>
      </bottom>
      <diagonal/>
    </border>
    <border>
      <left style="double">
        <color theme="0" tint="-0.499984740745262"/>
      </left>
      <right style="double">
        <color theme="0" tint="-0.499984740745262"/>
      </right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 style="thin">
        <color indexed="64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thin">
        <color indexed="64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ck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thin">
        <color theme="1"/>
      </bottom>
      <diagonal/>
    </border>
    <border>
      <left style="double">
        <color theme="0" tint="-0.499984740745262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double">
        <color theme="0" tint="-0.499984740745262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 tint="-0.499984740745262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 style="thin">
        <color indexed="22"/>
      </left>
      <right style="thin">
        <color indexed="22"/>
      </right>
      <top style="thick">
        <color indexed="23"/>
      </top>
      <bottom/>
      <diagonal/>
    </border>
    <border>
      <left style="thin">
        <color indexed="22"/>
      </left>
      <right style="thick">
        <color indexed="23"/>
      </right>
      <top style="thick">
        <color indexed="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indexed="23"/>
      </left>
      <right style="thin">
        <color indexed="22"/>
      </right>
      <top style="thin">
        <color indexed="22"/>
      </top>
      <bottom style="thick">
        <color indexed="55"/>
      </bottom>
      <diagonal/>
    </border>
    <border>
      <left style="thin">
        <color indexed="22"/>
      </left>
      <right/>
      <top style="thin">
        <color indexed="22"/>
      </top>
      <bottom style="thick">
        <color indexed="55"/>
      </bottom>
      <diagonal/>
    </border>
    <border>
      <left style="thin">
        <color indexed="22"/>
      </left>
      <right style="thin">
        <color indexed="22"/>
      </right>
      <top/>
      <bottom style="thick">
        <color indexed="55"/>
      </bottom>
      <diagonal/>
    </border>
    <border>
      <left style="thin">
        <color indexed="22"/>
      </left>
      <right style="thick">
        <color indexed="23"/>
      </right>
      <top/>
      <bottom style="thick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ck">
        <color indexed="23"/>
      </right>
      <top style="thin">
        <color indexed="22"/>
      </top>
      <bottom style="thin">
        <color indexed="22"/>
      </bottom>
      <diagonal/>
    </border>
    <border>
      <left style="thick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23"/>
      </right>
      <top style="thin">
        <color indexed="22"/>
      </top>
      <bottom/>
      <diagonal/>
    </border>
    <border>
      <left style="thick">
        <color indexed="23"/>
      </left>
      <right style="thin">
        <color indexed="22"/>
      </right>
      <top style="thin">
        <color indexed="22"/>
      </top>
      <bottom style="thick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3"/>
      </bottom>
      <diagonal/>
    </border>
    <border>
      <left style="thin">
        <color indexed="22"/>
      </left>
      <right style="thick">
        <color indexed="23"/>
      </right>
      <top style="thin">
        <color indexed="22"/>
      </top>
      <bottom style="thick">
        <color indexed="2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49998474074526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34998626667073579"/>
      </top>
      <bottom/>
      <diagonal/>
    </border>
    <border>
      <left style="double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double">
        <color theme="0" tint="-0.499984740745262"/>
      </top>
      <bottom style="thick">
        <color theme="0" tint="-0.499984740745262"/>
      </bottom>
      <diagonal/>
    </border>
    <border>
      <left/>
      <right/>
      <top style="double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theme="0" tint="-0.34998626667073579"/>
      </left>
      <right style="double">
        <color indexed="64"/>
      </right>
      <top style="thin">
        <color indexed="64"/>
      </top>
      <bottom style="thin">
        <color theme="1"/>
      </bottom>
      <diagonal/>
    </border>
    <border>
      <left style="double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indexed="64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double">
        <color indexed="64"/>
      </right>
      <top style="double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34998626667073579"/>
      </top>
      <bottom style="double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499984740745262"/>
      </right>
      <top style="thick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n">
        <color theme="0" tint="-0.34998626667073579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34998626667073579"/>
      </left>
      <right/>
      <top style="thick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34998626667073579"/>
      </right>
      <top/>
      <bottom style="double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 style="thin">
        <color theme="0" tint="-0.34998626667073579"/>
      </top>
      <bottom style="thick">
        <color theme="0" tint="-0.499984740745262"/>
      </bottom>
      <diagonal/>
    </border>
    <border>
      <left/>
      <right/>
      <top style="thin">
        <color theme="0" tint="-0.34998626667073579"/>
      </top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34998626667073579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ck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499984740745262"/>
      </top>
      <bottom style="thin">
        <color theme="0" tint="-0.34998626667073579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34998626667073579"/>
      </left>
      <right/>
      <top style="thick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thick">
        <color theme="0" tint="-0.499984740745262"/>
      </bottom>
      <diagonal/>
    </border>
    <border>
      <left style="thin">
        <color theme="0" tint="-0.34998626667073579"/>
      </left>
      <right style="double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34998626667073579"/>
      </left>
      <right style="double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24994659260841701"/>
      </right>
      <top style="thick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499984740745262"/>
      </top>
      <bottom style="thin">
        <color theme="0" tint="-0.2499465926084170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1" tint="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34998626667073579"/>
      </top>
      <bottom style="thin">
        <color theme="0" tint="-0.2499465926084170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1" tint="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34998626667073579"/>
      </bottom>
      <diagonal/>
    </border>
    <border>
      <left style="thin">
        <color theme="0" tint="-0.24994659260841701"/>
      </left>
      <right/>
      <top style="thick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1" tint="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 tint="0.34998626667073579"/>
      </bottom>
      <diagonal/>
    </border>
    <border>
      <left style="double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24994659260841701"/>
      </bottom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0" tint="-0.24994659260841701"/>
      </top>
      <bottom/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1" tint="0.34998626667073579"/>
      </top>
      <bottom style="thin">
        <color theme="0" tint="-0.24994659260841701"/>
      </bottom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0" tint="-0.24994659260841701"/>
      </top>
      <bottom style="thin">
        <color theme="1" tint="0.34998626667073579"/>
      </bottom>
      <diagonal/>
    </border>
    <border>
      <left style="thick">
        <color theme="0" tint="-0.499984740745262"/>
      </left>
      <right style="thin">
        <color theme="0" tint="-0.24994659260841701"/>
      </right>
      <top style="double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499984740745262"/>
      </top>
      <bottom style="thin">
        <color theme="0" tint="-0.24994659260841701"/>
      </bottom>
      <diagonal/>
    </border>
    <border>
      <left style="double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499984740745262"/>
      </bottom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0" tint="-0.24994659260841701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ck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double">
        <color theme="0" tint="-0.34998626667073579"/>
      </left>
      <right style="thick">
        <color theme="0" tint="-0.499984740745262"/>
      </right>
      <top style="thick">
        <color theme="0" tint="-0.499984740745262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ck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ck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499984740745262"/>
      </top>
      <bottom style="thick">
        <color theme="0" tint="-0.499984740745262"/>
      </bottom>
      <diagonal/>
    </border>
    <border>
      <left style="double">
        <color theme="0" tint="-0.34998626667073579"/>
      </left>
      <right style="thick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34998626667073579"/>
      </bottom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34998626667073579"/>
      </top>
      <bottom/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</borders>
  <cellStyleXfs count="7">
    <xf numFmtId="0" fontId="0" fillId="0" borderId="0"/>
    <xf numFmtId="3" fontId="9" fillId="0" borderId="0"/>
    <xf numFmtId="9" fontId="10" fillId="0" borderId="0" applyFont="0" applyFill="0" applyBorder="0" applyAlignment="0" applyProtection="0"/>
    <xf numFmtId="3" fontId="9" fillId="0" borderId="0"/>
    <xf numFmtId="3" fontId="9" fillId="0" borderId="0"/>
    <xf numFmtId="9" fontId="20" fillId="0" borderId="0" applyFont="0" applyFill="0" applyBorder="0" applyAlignment="0" applyProtection="0"/>
    <xf numFmtId="0" fontId="34" fillId="0" borderId="0">
      <alignment vertical="top"/>
    </xf>
  </cellStyleXfs>
  <cellXfs count="684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2" fillId="2" borderId="2" xfId="0" applyFont="1" applyFill="1" applyBorder="1" applyAlignment="1" applyProtection="1">
      <alignment horizontal="center"/>
    </xf>
    <xf numFmtId="3" fontId="1" fillId="0" borderId="8" xfId="0" applyNumberFormat="1" applyFont="1" applyBorder="1"/>
    <xf numFmtId="0" fontId="4" fillId="2" borderId="9" xfId="0" applyFont="1" applyFill="1" applyBorder="1" applyAlignment="1" applyProtection="1">
      <alignment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3" fontId="5" fillId="5" borderId="8" xfId="0" applyNumberFormat="1" applyFont="1" applyFill="1" applyBorder="1"/>
    <xf numFmtId="3" fontId="5" fillId="5" borderId="16" xfId="0" applyNumberFormat="1" applyFont="1" applyFill="1" applyBorder="1"/>
    <xf numFmtId="3" fontId="5" fillId="5" borderId="20" xfId="0" applyNumberFormat="1" applyFont="1" applyFill="1" applyBorder="1"/>
    <xf numFmtId="0" fontId="5" fillId="6" borderId="8" xfId="0" applyFont="1" applyFill="1" applyBorder="1" applyAlignment="1">
      <alignment horizontal="left" indent="1"/>
    </xf>
    <xf numFmtId="3" fontId="5" fillId="6" borderId="16" xfId="0" applyNumberFormat="1" applyFont="1" applyFill="1" applyBorder="1" applyAlignment="1">
      <alignment horizontal="left" indent="1"/>
    </xf>
    <xf numFmtId="3" fontId="5" fillId="6" borderId="20" xfId="0" applyNumberFormat="1" applyFont="1" applyFill="1" applyBorder="1" applyAlignment="1">
      <alignment horizontal="left" indent="1"/>
    </xf>
    <xf numFmtId="0" fontId="5" fillId="0" borderId="8" xfId="0" applyFont="1" applyBorder="1" applyAlignment="1">
      <alignment horizontal="left" indent="2"/>
    </xf>
    <xf numFmtId="3" fontId="5" fillId="0" borderId="16" xfId="0" applyNumberFormat="1" applyFont="1" applyBorder="1" applyAlignment="1">
      <alignment horizontal="left" indent="2"/>
    </xf>
    <xf numFmtId="3" fontId="5" fillId="0" borderId="20" xfId="0" applyNumberFormat="1" applyFont="1" applyBorder="1" applyAlignment="1">
      <alignment horizontal="left" indent="2"/>
    </xf>
    <xf numFmtId="0" fontId="1" fillId="0" borderId="8" xfId="0" applyFont="1" applyBorder="1" applyAlignment="1">
      <alignment horizontal="left" indent="3"/>
    </xf>
    <xf numFmtId="3" fontId="1" fillId="0" borderId="16" xfId="0" applyNumberFormat="1" applyFont="1" applyBorder="1" applyAlignment="1">
      <alignment horizontal="left" indent="3"/>
    </xf>
    <xf numFmtId="3" fontId="1" fillId="0" borderId="20" xfId="0" applyNumberFormat="1" applyFont="1" applyBorder="1" applyAlignment="1">
      <alignment horizontal="left" indent="3"/>
    </xf>
    <xf numFmtId="0" fontId="2" fillId="0" borderId="22" xfId="0" applyNumberFormat="1" applyFont="1" applyBorder="1" applyAlignment="1" applyProtection="1">
      <alignment horizontal="center" vertical="center"/>
    </xf>
    <xf numFmtId="3" fontId="5" fillId="5" borderId="19" xfId="0" applyNumberFormat="1" applyFont="1" applyFill="1" applyBorder="1" applyAlignment="1">
      <alignment vertical="center"/>
    </xf>
    <xf numFmtId="3" fontId="5" fillId="6" borderId="19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5" fillId="5" borderId="17" xfId="0" applyNumberFormat="1" applyFont="1" applyFill="1" applyBorder="1" applyAlignment="1"/>
    <xf numFmtId="3" fontId="5" fillId="5" borderId="18" xfId="0" applyNumberFormat="1" applyFont="1" applyFill="1" applyBorder="1" applyAlignment="1"/>
    <xf numFmtId="3" fontId="5" fillId="5" borderId="21" xfId="0" applyNumberFormat="1" applyFont="1" applyFill="1" applyBorder="1" applyAlignment="1"/>
    <xf numFmtId="3" fontId="5" fillId="6" borderId="17" xfId="0" applyNumberFormat="1" applyFont="1" applyFill="1" applyBorder="1" applyAlignment="1"/>
    <xf numFmtId="3" fontId="5" fillId="6" borderId="18" xfId="0" applyNumberFormat="1" applyFont="1" applyFill="1" applyBorder="1" applyAlignment="1"/>
    <xf numFmtId="3" fontId="5" fillId="6" borderId="21" xfId="0" applyNumberFormat="1" applyFont="1" applyFill="1" applyBorder="1" applyAlignment="1"/>
    <xf numFmtId="3" fontId="5" fillId="0" borderId="18" xfId="0" applyNumberFormat="1" applyFont="1" applyBorder="1" applyAlignment="1"/>
    <xf numFmtId="3" fontId="5" fillId="0" borderId="21" xfId="0" applyNumberFormat="1" applyFont="1" applyBorder="1" applyAlignment="1"/>
    <xf numFmtId="3" fontId="1" fillId="0" borderId="18" xfId="0" applyNumberFormat="1" applyFont="1" applyBorder="1" applyAlignment="1"/>
    <xf numFmtId="3" fontId="1" fillId="0" borderId="21" xfId="0" applyNumberFormat="1" applyFont="1" applyBorder="1" applyAlignment="1"/>
    <xf numFmtId="3" fontId="5" fillId="0" borderId="20" xfId="0" applyNumberFormat="1" applyFont="1" applyBorder="1" applyAlignment="1"/>
    <xf numFmtId="3" fontId="1" fillId="0" borderId="20" xfId="0" applyNumberFormat="1" applyFont="1" applyBorder="1" applyAlignment="1"/>
    <xf numFmtId="3" fontId="5" fillId="6" borderId="20" xfId="0" applyNumberFormat="1" applyFont="1" applyFill="1" applyBorder="1" applyAlignment="1"/>
    <xf numFmtId="3" fontId="5" fillId="5" borderId="20" xfId="0" applyNumberFormat="1" applyFont="1" applyFill="1" applyBorder="1" applyAlignment="1"/>
    <xf numFmtId="3" fontId="1" fillId="0" borderId="23" xfId="0" applyNumberFormat="1" applyFont="1" applyBorder="1"/>
    <xf numFmtId="3" fontId="1" fillId="0" borderId="0" xfId="0" applyNumberFormat="1" applyFont="1" applyBorder="1"/>
    <xf numFmtId="0" fontId="5" fillId="6" borderId="20" xfId="0" applyFont="1" applyFill="1" applyBorder="1" applyAlignment="1">
      <alignment horizontal="left" indent="1"/>
    </xf>
    <xf numFmtId="0" fontId="5" fillId="0" borderId="20" xfId="0" applyFont="1" applyBorder="1" applyAlignment="1">
      <alignment horizontal="left" indent="2"/>
    </xf>
    <xf numFmtId="0" fontId="1" fillId="0" borderId="20" xfId="0" applyFont="1" applyBorder="1" applyAlignment="1">
      <alignment horizontal="left" indent="3"/>
    </xf>
    <xf numFmtId="0" fontId="1" fillId="0" borderId="0" xfId="0" applyFont="1" applyAlignment="1">
      <alignment vertical="center"/>
    </xf>
    <xf numFmtId="3" fontId="5" fillId="5" borderId="16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3" fontId="9" fillId="6" borderId="0" xfId="1" applyFont="1" applyFill="1" applyAlignment="1">
      <alignment horizontal="centerContinuous"/>
    </xf>
    <xf numFmtId="3" fontId="9" fillId="6" borderId="0" xfId="1" applyFill="1" applyAlignment="1">
      <alignment horizontal="centerContinuous"/>
    </xf>
    <xf numFmtId="3" fontId="9" fillId="0" borderId="0" xfId="1"/>
    <xf numFmtId="3" fontId="9" fillId="0" borderId="24" xfId="1" applyFont="1" applyBorder="1"/>
    <xf numFmtId="164" fontId="9" fillId="0" borderId="25" xfId="1" applyNumberFormat="1" applyFont="1" applyBorder="1"/>
    <xf numFmtId="164" fontId="9" fillId="0" borderId="26" xfId="1" applyNumberFormat="1" applyFont="1" applyBorder="1"/>
    <xf numFmtId="164" fontId="9" fillId="0" borderId="0" xfId="1" applyNumberFormat="1" applyFont="1" applyBorder="1"/>
    <xf numFmtId="3" fontId="9" fillId="0" borderId="0" xfId="1" applyFont="1"/>
    <xf numFmtId="3" fontId="11" fillId="7" borderId="27" xfId="1" applyFont="1" applyFill="1" applyBorder="1"/>
    <xf numFmtId="3" fontId="11" fillId="7" borderId="28" xfId="1" applyFont="1" applyFill="1" applyBorder="1" applyAlignment="1">
      <alignment horizontal="center"/>
    </xf>
    <xf numFmtId="3" fontId="2" fillId="7" borderId="29" xfId="1" applyFont="1" applyFill="1" applyBorder="1" applyAlignment="1">
      <alignment horizontal="center"/>
    </xf>
    <xf numFmtId="3" fontId="2" fillId="7" borderId="30" xfId="1" applyFont="1" applyFill="1" applyBorder="1" applyAlignment="1">
      <alignment horizontal="center"/>
    </xf>
    <xf numFmtId="3" fontId="9" fillId="7" borderId="31" xfId="1" applyFill="1" applyBorder="1" applyAlignment="1">
      <alignment horizontal="center" vertical="center"/>
    </xf>
    <xf numFmtId="3" fontId="2" fillId="7" borderId="32" xfId="1" applyFont="1" applyFill="1" applyBorder="1" applyAlignment="1">
      <alignment horizontal="center"/>
    </xf>
    <xf numFmtId="3" fontId="2" fillId="7" borderId="33" xfId="1" applyFont="1" applyFill="1" applyBorder="1" applyAlignment="1">
      <alignment horizontal="center"/>
    </xf>
    <xf numFmtId="3" fontId="9" fillId="7" borderId="34" xfId="1" applyFill="1" applyBorder="1"/>
    <xf numFmtId="3" fontId="2" fillId="7" borderId="34" xfId="1" applyFont="1" applyFill="1" applyBorder="1" applyAlignment="1">
      <alignment horizontal="center"/>
    </xf>
    <xf numFmtId="3" fontId="2" fillId="7" borderId="35" xfId="1" applyFont="1" applyFill="1" applyBorder="1" applyAlignment="1">
      <alignment horizontal="center"/>
    </xf>
    <xf numFmtId="3" fontId="9" fillId="7" borderId="36" xfId="1" applyFill="1" applyBorder="1" applyAlignment="1">
      <alignment horizontal="center" vertical="center"/>
    </xf>
    <xf numFmtId="3" fontId="9" fillId="0" borderId="0" xfId="1" applyAlignment="1">
      <alignment vertical="center"/>
    </xf>
    <xf numFmtId="3" fontId="9" fillId="0" borderId="18" xfId="1" applyBorder="1" applyAlignment="1">
      <alignment vertical="center"/>
    </xf>
    <xf numFmtId="3" fontId="9" fillId="0" borderId="41" xfId="1" applyBorder="1" applyAlignment="1" applyProtection="1">
      <alignment horizontal="center" vertical="center"/>
      <protection locked="0"/>
    </xf>
    <xf numFmtId="165" fontId="9" fillId="0" borderId="18" xfId="2" applyNumberFormat="1" applyFont="1" applyBorder="1" applyAlignment="1">
      <alignment vertical="center"/>
    </xf>
    <xf numFmtId="9" fontId="10" fillId="0" borderId="0" xfId="2" applyFont="1" applyAlignment="1">
      <alignment vertical="center"/>
    </xf>
    <xf numFmtId="3" fontId="9" fillId="0" borderId="38" xfId="1" applyFont="1" applyFill="1" applyBorder="1" applyAlignment="1" applyProtection="1">
      <alignment vertical="center"/>
      <protection locked="0"/>
    </xf>
    <xf numFmtId="3" fontId="9" fillId="0" borderId="40" xfId="1" applyFont="1" applyFill="1" applyBorder="1" applyAlignment="1" applyProtection="1">
      <alignment vertical="center"/>
      <protection locked="0"/>
    </xf>
    <xf numFmtId="3" fontId="4" fillId="0" borderId="0" xfId="1" applyFont="1" applyAlignment="1">
      <alignment vertical="center"/>
    </xf>
    <xf numFmtId="3" fontId="9" fillId="0" borderId="38" xfId="3" applyFont="1" applyFill="1" applyBorder="1" applyAlignment="1" applyProtection="1">
      <alignment vertical="center"/>
      <protection locked="0"/>
    </xf>
    <xf numFmtId="3" fontId="9" fillId="0" borderId="42" xfId="1" applyBorder="1" applyAlignment="1" applyProtection="1">
      <alignment vertical="center"/>
      <protection locked="0"/>
    </xf>
    <xf numFmtId="3" fontId="9" fillId="0" borderId="42" xfId="1" applyFont="1" applyFill="1" applyBorder="1" applyAlignment="1" applyProtection="1">
      <alignment vertical="center"/>
      <protection locked="0"/>
    </xf>
    <xf numFmtId="3" fontId="9" fillId="0" borderId="43" xfId="1" applyFont="1" applyFill="1" applyBorder="1" applyAlignment="1" applyProtection="1">
      <alignment vertical="center"/>
      <protection locked="0"/>
    </xf>
    <xf numFmtId="3" fontId="9" fillId="0" borderId="42" xfId="3" applyFont="1" applyFill="1" applyBorder="1" applyAlignment="1" applyProtection="1">
      <alignment vertical="center"/>
      <protection locked="0"/>
    </xf>
    <xf numFmtId="3" fontId="9" fillId="0" borderId="44" xfId="1" applyFill="1" applyBorder="1" applyAlignment="1" applyProtection="1">
      <alignment horizontal="center" vertical="center"/>
      <protection locked="0"/>
    </xf>
    <xf numFmtId="3" fontId="9" fillId="0" borderId="45" xfId="3" applyFont="1" applyFill="1" applyBorder="1" applyAlignment="1" applyProtection="1">
      <alignment vertical="center"/>
      <protection locked="0"/>
    </xf>
    <xf numFmtId="3" fontId="9" fillId="0" borderId="45" xfId="1" applyBorder="1" applyAlignment="1" applyProtection="1">
      <alignment vertical="center"/>
      <protection locked="0"/>
    </xf>
    <xf numFmtId="3" fontId="9" fillId="0" borderId="45" xfId="1" applyFont="1" applyFill="1" applyBorder="1" applyAlignment="1" applyProtection="1">
      <alignment vertical="center"/>
      <protection locked="0"/>
    </xf>
    <xf numFmtId="3" fontId="9" fillId="0" borderId="46" xfId="1" applyFont="1" applyFill="1" applyBorder="1" applyAlignment="1" applyProtection="1">
      <alignment vertical="center"/>
      <protection locked="0"/>
    </xf>
    <xf numFmtId="3" fontId="12" fillId="6" borderId="0" xfId="1" applyFont="1" applyFill="1" applyAlignment="1">
      <alignment horizontal="centerContinuous"/>
    </xf>
    <xf numFmtId="3" fontId="4" fillId="0" borderId="16" xfId="0" applyNumberFormat="1" applyFont="1" applyBorder="1" applyAlignment="1"/>
    <xf numFmtId="0" fontId="13" fillId="0" borderId="8" xfId="0" applyFont="1" applyBorder="1" applyAlignment="1"/>
    <xf numFmtId="3" fontId="13" fillId="0" borderId="17" xfId="0" applyNumberFormat="1" applyFont="1" applyBorder="1" applyAlignment="1"/>
    <xf numFmtId="3" fontId="14" fillId="0" borderId="17" xfId="0" applyNumberFormat="1" applyFont="1" applyBorder="1" applyAlignment="1"/>
    <xf numFmtId="3" fontId="14" fillId="0" borderId="18" xfId="0" applyNumberFormat="1" applyFont="1" applyBorder="1" applyAlignment="1"/>
    <xf numFmtId="3" fontId="14" fillId="0" borderId="19" xfId="0" applyNumberFormat="1" applyFont="1" applyBorder="1" applyAlignment="1">
      <alignment vertical="center"/>
    </xf>
    <xf numFmtId="3" fontId="13" fillId="0" borderId="18" xfId="0" applyNumberFormat="1" applyFont="1" applyBorder="1" applyAlignment="1"/>
    <xf numFmtId="3" fontId="13" fillId="0" borderId="19" xfId="0" applyNumberFormat="1" applyFont="1" applyBorder="1" applyAlignment="1">
      <alignment vertical="center"/>
    </xf>
    <xf numFmtId="3" fontId="14" fillId="6" borderId="17" xfId="0" applyNumberFormat="1" applyFont="1" applyFill="1" applyBorder="1" applyAlignment="1"/>
    <xf numFmtId="3" fontId="14" fillId="6" borderId="18" xfId="0" applyNumberFormat="1" applyFont="1" applyFill="1" applyBorder="1" applyAlignment="1"/>
    <xf numFmtId="3" fontId="14" fillId="6" borderId="19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/>
    <xf numFmtId="3" fontId="14" fillId="5" borderId="18" xfId="0" applyNumberFormat="1" applyFont="1" applyFill="1" applyBorder="1" applyAlignment="1"/>
    <xf numFmtId="3" fontId="14" fillId="5" borderId="19" xfId="0" applyNumberFormat="1" applyFont="1" applyFill="1" applyBorder="1" applyAlignment="1">
      <alignment vertical="center"/>
    </xf>
    <xf numFmtId="0" fontId="15" fillId="0" borderId="20" xfId="0" applyFont="1" applyBorder="1" applyAlignment="1"/>
    <xf numFmtId="0" fontId="15" fillId="0" borderId="20" xfId="0" applyFont="1" applyBorder="1" applyAlignment="1">
      <alignment horizontal="left" indent="3"/>
    </xf>
    <xf numFmtId="0" fontId="16" fillId="6" borderId="20" xfId="0" applyFont="1" applyFill="1" applyBorder="1" applyAlignment="1">
      <alignment horizontal="left" indent="1"/>
    </xf>
    <xf numFmtId="0" fontId="16" fillId="0" borderId="20" xfId="0" applyFont="1" applyBorder="1" applyAlignment="1">
      <alignment horizontal="left" indent="2"/>
    </xf>
    <xf numFmtId="3" fontId="1" fillId="6" borderId="16" xfId="0" applyNumberFormat="1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/>
    <xf numFmtId="3" fontId="1" fillId="0" borderId="16" xfId="0" applyNumberFormat="1" applyFont="1" applyBorder="1" applyAlignment="1"/>
    <xf numFmtId="3" fontId="5" fillId="0" borderId="16" xfId="0" applyNumberFormat="1" applyFont="1" applyBorder="1" applyAlignment="1"/>
    <xf numFmtId="3" fontId="6" fillId="0" borderId="37" xfId="1" applyFont="1" applyFill="1" applyBorder="1" applyAlignment="1" applyProtection="1">
      <alignment horizontal="center" vertical="center"/>
      <protection locked="0"/>
    </xf>
    <xf numFmtId="3" fontId="9" fillId="0" borderId="39" xfId="1" applyFont="1" applyFill="1" applyBorder="1" applyAlignment="1" applyProtection="1">
      <alignment vertical="center"/>
      <protection locked="0"/>
    </xf>
    <xf numFmtId="3" fontId="9" fillId="0" borderId="41" xfId="1" applyFont="1" applyFill="1" applyBorder="1" applyAlignment="1" applyProtection="1">
      <alignment horizontal="center" vertical="center"/>
      <protection locked="0"/>
    </xf>
    <xf numFmtId="3" fontId="6" fillId="0" borderId="41" xfId="1" applyFont="1" applyFill="1" applyBorder="1" applyAlignment="1" applyProtection="1">
      <alignment horizontal="center" vertical="center"/>
      <protection locked="0"/>
    </xf>
    <xf numFmtId="166" fontId="9" fillId="0" borderId="38" xfId="1" applyNumberFormat="1" applyFont="1" applyFill="1" applyBorder="1" applyAlignment="1" applyProtection="1">
      <alignment vertical="center"/>
      <protection locked="0"/>
    </xf>
    <xf numFmtId="0" fontId="22" fillId="0" borderId="8" xfId="0" applyFont="1" applyBorder="1" applyAlignment="1">
      <alignment horizontal="left" indent="2"/>
    </xf>
    <xf numFmtId="0" fontId="4" fillId="0" borderId="8" xfId="0" applyFont="1" applyBorder="1" applyAlignment="1">
      <alignment horizontal="left" indent="3"/>
    </xf>
    <xf numFmtId="3" fontId="0" fillId="0" borderId="0" xfId="0" applyNumberFormat="1"/>
    <xf numFmtId="3" fontId="0" fillId="3" borderId="0" xfId="0" applyNumberFormat="1" applyFill="1"/>
    <xf numFmtId="3" fontId="0" fillId="10" borderId="0" xfId="0" applyNumberFormat="1" applyFill="1"/>
    <xf numFmtId="3" fontId="23" fillId="0" borderId="47" xfId="0" applyNumberFormat="1" applyFont="1" applyFill="1" applyBorder="1"/>
    <xf numFmtId="9" fontId="0" fillId="0" borderId="0" xfId="5" applyFont="1"/>
    <xf numFmtId="3" fontId="24" fillId="0" borderId="48" xfId="0" applyNumberFormat="1" applyFont="1" applyBorder="1"/>
    <xf numFmtId="3" fontId="24" fillId="0" borderId="0" xfId="0" applyNumberFormat="1" applyFont="1" applyBorder="1"/>
    <xf numFmtId="3" fontId="0" fillId="0" borderId="0" xfId="0" applyNumberFormat="1" applyAlignment="1">
      <alignment horizontal="center"/>
    </xf>
    <xf numFmtId="3" fontId="25" fillId="0" borderId="49" xfId="0" applyNumberFormat="1" applyFont="1" applyFill="1" applyBorder="1"/>
    <xf numFmtId="3" fontId="0" fillId="8" borderId="0" xfId="0" applyNumberFormat="1" applyFill="1"/>
    <xf numFmtId="0" fontId="0" fillId="0" borderId="0" xfId="0" applyAlignment="1">
      <alignment horizontal="right"/>
    </xf>
    <xf numFmtId="0" fontId="26" fillId="0" borderId="0" xfId="0" applyFont="1"/>
    <xf numFmtId="9" fontId="0" fillId="0" borderId="0" xfId="0" applyNumberFormat="1"/>
    <xf numFmtId="3" fontId="27" fillId="9" borderId="50" xfId="0" applyNumberFormat="1" applyFont="1" applyFill="1" applyBorder="1" applyAlignment="1">
      <alignment horizontal="right" vertical="center"/>
    </xf>
    <xf numFmtId="3" fontId="24" fillId="9" borderId="5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166" fontId="13" fillId="0" borderId="18" xfId="0" applyNumberFormat="1" applyFont="1" applyBorder="1" applyAlignment="1"/>
    <xf numFmtId="0" fontId="1" fillId="0" borderId="20" xfId="0" applyFont="1" applyBorder="1" applyAlignment="1">
      <alignment horizontal="left" indent="2"/>
    </xf>
    <xf numFmtId="3" fontId="1" fillId="0" borderId="16" xfId="0" applyNumberFormat="1" applyFont="1" applyBorder="1" applyAlignment="1">
      <alignment horizontal="left" indent="2"/>
    </xf>
    <xf numFmtId="0" fontId="1" fillId="0" borderId="0" xfId="0" applyNumberFormat="1" applyFont="1" applyAlignment="1"/>
    <xf numFmtId="3" fontId="5" fillId="5" borderId="16" xfId="0" applyNumberFormat="1" applyFont="1" applyFill="1" applyBorder="1" applyAlignment="1"/>
    <xf numFmtId="3" fontId="5" fillId="6" borderId="16" xfId="0" applyNumberFormat="1" applyFont="1" applyFill="1" applyBorder="1" applyAlignment="1"/>
    <xf numFmtId="3" fontId="1" fillId="8" borderId="16" xfId="0" applyNumberFormat="1" applyFont="1" applyFill="1" applyBorder="1" applyAlignment="1"/>
    <xf numFmtId="3" fontId="1" fillId="0" borderId="16" xfId="0" applyNumberFormat="1" applyFont="1" applyBorder="1" applyAlignment="1">
      <alignment horizontal="left"/>
    </xf>
    <xf numFmtId="3" fontId="1" fillId="0" borderId="0" xfId="0" applyNumberFormat="1" applyFont="1"/>
    <xf numFmtId="0" fontId="1" fillId="0" borderId="20" xfId="0" applyFont="1" applyBorder="1" applyAlignment="1"/>
    <xf numFmtId="3" fontId="29" fillId="0" borderId="17" xfId="0" applyNumberFormat="1" applyFont="1" applyBorder="1" applyAlignment="1"/>
    <xf numFmtId="0" fontId="28" fillId="0" borderId="20" xfId="0" applyFont="1" applyBorder="1" applyAlignment="1"/>
    <xf numFmtId="0" fontId="22" fillId="0" borderId="20" xfId="0" applyFont="1" applyBorder="1" applyAlignment="1">
      <alignment horizontal="left" indent="2"/>
    </xf>
    <xf numFmtId="3" fontId="4" fillId="0" borderId="16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horizontal="left" indent="2"/>
    </xf>
    <xf numFmtId="3" fontId="22" fillId="0" borderId="17" xfId="0" applyNumberFormat="1" applyFont="1" applyBorder="1" applyAlignment="1"/>
    <xf numFmtId="3" fontId="22" fillId="0" borderId="18" xfId="0" applyNumberFormat="1" applyFont="1" applyBorder="1" applyAlignment="1"/>
    <xf numFmtId="3" fontId="22" fillId="0" borderId="19" xfId="0" applyNumberFormat="1" applyFont="1" applyBorder="1" applyAlignment="1">
      <alignment vertical="center"/>
    </xf>
    <xf numFmtId="3" fontId="22" fillId="0" borderId="20" xfId="0" applyNumberFormat="1" applyFont="1" applyBorder="1" applyAlignment="1"/>
    <xf numFmtId="3" fontId="22" fillId="0" borderId="19" xfId="0" applyNumberFormat="1" applyFont="1" applyBorder="1" applyAlignment="1"/>
    <xf numFmtId="3" fontId="22" fillId="0" borderId="21" xfId="0" applyNumberFormat="1" applyFont="1" applyBorder="1" applyAlignment="1"/>
    <xf numFmtId="0" fontId="4" fillId="0" borderId="0" xfId="0" applyFont="1"/>
    <xf numFmtId="0" fontId="2" fillId="0" borderId="20" xfId="0" applyFont="1" applyBorder="1" applyAlignment="1"/>
    <xf numFmtId="3" fontId="4" fillId="0" borderId="17" xfId="0" applyNumberFormat="1" applyFont="1" applyBorder="1" applyAlignment="1"/>
    <xf numFmtId="3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/>
    <xf numFmtId="3" fontId="4" fillId="0" borderId="21" xfId="0" applyNumberFormat="1" applyFont="1" applyBorder="1" applyAlignment="1"/>
    <xf numFmtId="3" fontId="4" fillId="0" borderId="18" xfId="0" applyNumberFormat="1" applyFont="1" applyBorder="1" applyAlignment="1"/>
    <xf numFmtId="3" fontId="4" fillId="0" borderId="20" xfId="0" applyNumberFormat="1" applyFont="1" applyBorder="1" applyAlignment="1"/>
    <xf numFmtId="0" fontId="1" fillId="0" borderId="8" xfId="0" applyFont="1" applyBorder="1" applyAlignment="1">
      <alignment horizontal="left" vertical="center" indent="3"/>
    </xf>
    <xf numFmtId="0" fontId="1" fillId="0" borderId="20" xfId="0" applyFont="1" applyBorder="1" applyAlignment="1">
      <alignment vertical="top" wrapText="1"/>
    </xf>
    <xf numFmtId="0" fontId="5" fillId="6" borderId="20" xfId="0" applyFont="1" applyFill="1" applyBorder="1" applyAlignment="1">
      <alignment horizontal="left" wrapText="1" indent="1"/>
    </xf>
    <xf numFmtId="0" fontId="1" fillId="0" borderId="8" xfId="0" applyFont="1" applyBorder="1" applyAlignment="1">
      <alignment horizontal="left" vertical="top" indent="3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left"/>
    </xf>
    <xf numFmtId="0" fontId="5" fillId="5" borderId="20" xfId="0" applyNumberFormat="1" applyFont="1" applyFill="1" applyBorder="1" applyAlignment="1"/>
    <xf numFmtId="0" fontId="5" fillId="5" borderId="16" xfId="0" applyNumberFormat="1" applyFont="1" applyFill="1" applyBorder="1" applyAlignment="1"/>
    <xf numFmtId="0" fontId="5" fillId="6" borderId="20" xfId="0" applyNumberFormat="1" applyFont="1" applyFill="1" applyBorder="1" applyAlignment="1"/>
    <xf numFmtId="0" fontId="5" fillId="6" borderId="16" xfId="0" applyNumberFormat="1" applyFont="1" applyFill="1" applyBorder="1" applyAlignment="1"/>
    <xf numFmtId="0" fontId="5" fillId="0" borderId="20" xfId="0" applyNumberFormat="1" applyFont="1" applyBorder="1" applyAlignment="1"/>
    <xf numFmtId="0" fontId="5" fillId="0" borderId="16" xfId="0" applyNumberFormat="1" applyFont="1" applyBorder="1" applyAlignment="1"/>
    <xf numFmtId="0" fontId="1" fillId="0" borderId="20" xfId="0" applyNumberFormat="1" applyFont="1" applyBorder="1" applyAlignment="1"/>
    <xf numFmtId="0" fontId="1" fillId="0" borderId="16" xfId="0" applyNumberFormat="1" applyFont="1" applyBorder="1" applyAlignment="1"/>
    <xf numFmtId="0" fontId="2" fillId="2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4" fillId="2" borderId="14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3" fontId="13" fillId="0" borderId="18" xfId="0" applyNumberFormat="1" applyFont="1" applyFill="1" applyBorder="1" applyAlignment="1"/>
    <xf numFmtId="3" fontId="29" fillId="0" borderId="18" xfId="0" applyNumberFormat="1" applyFont="1" applyBorder="1" applyAlignment="1"/>
    <xf numFmtId="3" fontId="30" fillId="0" borderId="18" xfId="0" applyNumberFormat="1" applyFont="1" applyBorder="1" applyAlignment="1"/>
    <xf numFmtId="3" fontId="30" fillId="0" borderId="19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9" fillId="0" borderId="0" xfId="0" applyFont="1"/>
    <xf numFmtId="3" fontId="19" fillId="0" borderId="16" xfId="0" applyNumberFormat="1" applyFont="1" applyBorder="1" applyAlignment="1">
      <alignment vertical="center"/>
    </xf>
    <xf numFmtId="1" fontId="0" fillId="0" borderId="0" xfId="0" applyNumberFormat="1"/>
    <xf numFmtId="3" fontId="1" fillId="0" borderId="2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4" fillId="0" borderId="8" xfId="0" applyFont="1" applyBorder="1" applyAlignment="1"/>
    <xf numFmtId="0" fontId="22" fillId="0" borderId="20" xfId="0" applyNumberFormat="1" applyFont="1" applyBorder="1" applyAlignment="1"/>
    <xf numFmtId="0" fontId="22" fillId="0" borderId="16" xfId="0" applyNumberFormat="1" applyFont="1" applyBorder="1" applyAlignment="1"/>
    <xf numFmtId="0" fontId="4" fillId="0" borderId="20" xfId="0" applyFont="1" applyBorder="1" applyAlignment="1">
      <alignment horizontal="left" indent="3"/>
    </xf>
    <xf numFmtId="3" fontId="4" fillId="0" borderId="16" xfId="0" applyNumberFormat="1" applyFont="1" applyBorder="1" applyAlignment="1">
      <alignment horizontal="left" indent="3"/>
    </xf>
    <xf numFmtId="0" fontId="29" fillId="0" borderId="8" xfId="0" applyFont="1" applyBorder="1" applyAlignment="1"/>
    <xf numFmtId="0" fontId="1" fillId="0" borderId="20" xfId="0" applyNumberFormat="1" applyFont="1" applyBorder="1" applyAlignment="1">
      <alignment horizontal="left"/>
    </xf>
    <xf numFmtId="166" fontId="9" fillId="0" borderId="42" xfId="1" applyNumberFormat="1" applyFont="1" applyFill="1" applyBorder="1" applyAlignment="1" applyProtection="1">
      <alignment vertical="center"/>
      <protection locked="0"/>
    </xf>
    <xf numFmtId="3" fontId="35" fillId="0" borderId="0" xfId="6" applyNumberFormat="1" applyFont="1" applyFill="1" applyBorder="1" applyAlignment="1">
      <alignment horizontal="right"/>
    </xf>
    <xf numFmtId="3" fontId="22" fillId="0" borderId="16" xfId="0" applyNumberFormat="1" applyFont="1" applyBorder="1" applyAlignment="1"/>
    <xf numFmtId="3" fontId="5" fillId="0" borderId="20" xfId="0" applyNumberFormat="1" applyFont="1" applyBorder="1" applyAlignment="1">
      <alignment horizontal="left"/>
    </xf>
    <xf numFmtId="3" fontId="5" fillId="0" borderId="16" xfId="0" applyNumberFormat="1" applyFont="1" applyBorder="1" applyAlignment="1">
      <alignment horizontal="left"/>
    </xf>
    <xf numFmtId="0" fontId="22" fillId="6" borderId="8" xfId="0" applyFont="1" applyFill="1" applyBorder="1" applyAlignment="1">
      <alignment horizontal="left" indent="1"/>
    </xf>
    <xf numFmtId="0" fontId="22" fillId="6" borderId="20" xfId="0" applyFont="1" applyFill="1" applyBorder="1" applyAlignment="1">
      <alignment horizontal="left" indent="1"/>
    </xf>
    <xf numFmtId="3" fontId="4" fillId="6" borderId="16" xfId="0" applyNumberFormat="1" applyFont="1" applyFill="1" applyBorder="1" applyAlignment="1">
      <alignment vertical="center"/>
    </xf>
    <xf numFmtId="3" fontId="22" fillId="6" borderId="16" xfId="0" applyNumberFormat="1" applyFont="1" applyFill="1" applyBorder="1" applyAlignment="1">
      <alignment vertical="center"/>
    </xf>
    <xf numFmtId="3" fontId="22" fillId="6" borderId="16" xfId="0" applyNumberFormat="1" applyFont="1" applyFill="1" applyBorder="1" applyAlignment="1">
      <alignment horizontal="left" indent="1"/>
    </xf>
    <xf numFmtId="3" fontId="22" fillId="6" borderId="17" xfId="0" applyNumberFormat="1" applyFont="1" applyFill="1" applyBorder="1" applyAlignment="1"/>
    <xf numFmtId="3" fontId="22" fillId="6" borderId="18" xfId="0" applyNumberFormat="1" applyFont="1" applyFill="1" applyBorder="1" applyAlignment="1"/>
    <xf numFmtId="3" fontId="22" fillId="6" borderId="19" xfId="0" applyNumberFormat="1" applyFont="1" applyFill="1" applyBorder="1" applyAlignment="1">
      <alignment vertical="center"/>
    </xf>
    <xf numFmtId="3" fontId="22" fillId="6" borderId="20" xfId="0" applyNumberFormat="1" applyFont="1" applyFill="1" applyBorder="1" applyAlignment="1"/>
    <xf numFmtId="3" fontId="22" fillId="6" borderId="19" xfId="0" applyNumberFormat="1" applyFont="1" applyFill="1" applyBorder="1" applyAlignment="1"/>
    <xf numFmtId="0" fontId="22" fillId="6" borderId="20" xfId="0" applyNumberFormat="1" applyFont="1" applyFill="1" applyBorder="1" applyAlignment="1"/>
    <xf numFmtId="0" fontId="22" fillId="6" borderId="16" xfId="0" applyNumberFormat="1" applyFont="1" applyFill="1" applyBorder="1" applyAlignment="1"/>
    <xf numFmtId="0" fontId="4" fillId="0" borderId="20" xfId="0" applyNumberFormat="1" applyFont="1" applyBorder="1" applyAlignment="1"/>
    <xf numFmtId="0" fontId="4" fillId="0" borderId="16" xfId="0" applyNumberFormat="1" applyFont="1" applyBorder="1" applyAlignment="1"/>
    <xf numFmtId="0" fontId="0" fillId="0" borderId="0" xfId="0" applyAlignment="1">
      <alignment horizontal="left" indent="1"/>
    </xf>
    <xf numFmtId="3" fontId="30" fillId="0" borderId="17" xfId="0" applyNumberFormat="1" applyFont="1" applyBorder="1" applyAlignment="1"/>
    <xf numFmtId="3" fontId="22" fillId="0" borderId="20" xfId="0" applyNumberFormat="1" applyFont="1" applyBorder="1" applyAlignment="1">
      <alignment horizontal="left" indent="2"/>
    </xf>
    <xf numFmtId="3" fontId="4" fillId="0" borderId="20" xfId="0" applyNumberFormat="1" applyFont="1" applyBorder="1" applyAlignment="1">
      <alignment horizontal="left" indent="3"/>
    </xf>
    <xf numFmtId="0" fontId="22" fillId="0" borderId="8" xfId="0" applyFont="1" applyFill="1" applyBorder="1" applyAlignment="1">
      <alignment horizontal="left" indent="2"/>
    </xf>
    <xf numFmtId="3" fontId="38" fillId="0" borderId="17" xfId="0" applyNumberFormat="1" applyFont="1" applyBorder="1" applyAlignment="1"/>
    <xf numFmtId="3" fontId="38" fillId="0" borderId="18" xfId="0" applyNumberFormat="1" applyFont="1" applyBorder="1" applyAlignment="1"/>
    <xf numFmtId="3" fontId="38" fillId="0" borderId="19" xfId="0" applyNumberFormat="1" applyFont="1" applyBorder="1" applyAlignment="1">
      <alignment vertical="center"/>
    </xf>
    <xf numFmtId="3" fontId="28" fillId="0" borderId="21" xfId="0" applyNumberFormat="1" applyFont="1" applyBorder="1" applyAlignment="1"/>
    <xf numFmtId="3" fontId="28" fillId="0" borderId="18" xfId="0" applyNumberFormat="1" applyFont="1" applyBorder="1" applyAlignment="1"/>
    <xf numFmtId="3" fontId="39" fillId="0" borderId="38" xfId="1" applyFont="1" applyFill="1" applyBorder="1" applyAlignment="1" applyProtection="1">
      <alignment vertical="center"/>
      <protection locked="0"/>
    </xf>
    <xf numFmtId="3" fontId="1" fillId="0" borderId="51" xfId="0" applyNumberFormat="1" applyFont="1" applyBorder="1" applyAlignment="1"/>
    <xf numFmtId="3" fontId="4" fillId="0" borderId="51" xfId="0" applyNumberFormat="1" applyFont="1" applyBorder="1" applyAlignment="1"/>
    <xf numFmtId="0" fontId="36" fillId="0" borderId="0" xfId="0" applyFont="1"/>
    <xf numFmtId="0" fontId="40" fillId="0" borderId="0" xfId="0" applyFont="1"/>
    <xf numFmtId="3" fontId="41" fillId="0" borderId="17" xfId="0" applyNumberFormat="1" applyFont="1" applyBorder="1" applyAlignment="1"/>
    <xf numFmtId="3" fontId="41" fillId="0" borderId="18" xfId="0" applyNumberFormat="1" applyFont="1" applyBorder="1" applyAlignment="1"/>
    <xf numFmtId="167" fontId="9" fillId="0" borderId="38" xfId="1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Alignment="1"/>
    <xf numFmtId="0" fontId="4" fillId="0" borderId="20" xfId="0" applyFont="1" applyBorder="1" applyAlignment="1"/>
    <xf numFmtId="3" fontId="22" fillId="6" borderId="16" xfId="0" applyNumberFormat="1" applyFont="1" applyFill="1" applyBorder="1" applyAlignment="1"/>
    <xf numFmtId="3" fontId="22" fillId="6" borderId="21" xfId="0" applyNumberFormat="1" applyFont="1" applyFill="1" applyBorder="1" applyAlignment="1"/>
    <xf numFmtId="0" fontId="13" fillId="0" borderId="52" xfId="0" applyFont="1" applyBorder="1" applyAlignment="1"/>
    <xf numFmtId="0" fontId="15" fillId="0" borderId="53" xfId="0" applyFont="1" applyBorder="1" applyAlignment="1"/>
    <xf numFmtId="3" fontId="1" fillId="0" borderId="54" xfId="0" applyNumberFormat="1" applyFont="1" applyBorder="1" applyAlignment="1">
      <alignment vertical="center"/>
    </xf>
    <xf numFmtId="3" fontId="4" fillId="0" borderId="54" xfId="0" applyNumberFormat="1" applyFont="1" applyBorder="1" applyAlignment="1"/>
    <xf numFmtId="3" fontId="29" fillId="0" borderId="55" xfId="0" applyNumberFormat="1" applyFont="1" applyBorder="1" applyAlignment="1"/>
    <xf numFmtId="3" fontId="29" fillId="0" borderId="31" xfId="0" applyNumberFormat="1" applyFont="1" applyBorder="1" applyAlignment="1"/>
    <xf numFmtId="3" fontId="13" fillId="0" borderId="56" xfId="0" applyNumberFormat="1" applyFont="1" applyBorder="1" applyAlignment="1">
      <alignment vertical="center"/>
    </xf>
    <xf numFmtId="3" fontId="1" fillId="0" borderId="57" xfId="0" applyNumberFormat="1" applyFont="1" applyBorder="1" applyAlignment="1"/>
    <xf numFmtId="3" fontId="1" fillId="0" borderId="31" xfId="0" applyNumberFormat="1" applyFont="1" applyBorder="1" applyAlignment="1"/>
    <xf numFmtId="3" fontId="1" fillId="0" borderId="53" xfId="0" applyNumberFormat="1" applyFont="1" applyBorder="1" applyAlignment="1"/>
    <xf numFmtId="3" fontId="1" fillId="0" borderId="54" xfId="0" applyNumberFormat="1" applyFont="1" applyBorder="1" applyAlignment="1"/>
    <xf numFmtId="3" fontId="5" fillId="0" borderId="5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2" fillId="0" borderId="65" xfId="0" applyNumberFormat="1" applyFont="1" applyBorder="1" applyAlignment="1" applyProtection="1">
      <alignment horizontal="center" vertical="center"/>
    </xf>
    <xf numFmtId="3" fontId="5" fillId="5" borderId="66" xfId="0" applyNumberFormat="1" applyFont="1" applyFill="1" applyBorder="1" applyAlignment="1"/>
    <xf numFmtId="3" fontId="5" fillId="6" borderId="66" xfId="0" applyNumberFormat="1" applyFont="1" applyFill="1" applyBorder="1" applyAlignment="1"/>
    <xf numFmtId="3" fontId="1" fillId="0" borderId="66" xfId="0" applyNumberFormat="1" applyFont="1" applyBorder="1" applyAlignment="1"/>
    <xf numFmtId="3" fontId="5" fillId="0" borderId="66" xfId="0" applyNumberFormat="1" applyFont="1" applyBorder="1" applyAlignment="1"/>
    <xf numFmtId="3" fontId="22" fillId="0" borderId="66" xfId="0" applyNumberFormat="1" applyFont="1" applyBorder="1" applyAlignment="1"/>
    <xf numFmtId="3" fontId="4" fillId="0" borderId="66" xfId="0" applyNumberFormat="1" applyFont="1" applyBorder="1" applyAlignment="1"/>
    <xf numFmtId="3" fontId="28" fillId="0" borderId="66" xfId="0" applyNumberFormat="1" applyFont="1" applyBorder="1" applyAlignment="1"/>
    <xf numFmtId="3" fontId="22" fillId="6" borderId="66" xfId="0" applyNumberFormat="1" applyFont="1" applyFill="1" applyBorder="1" applyAlignment="1"/>
    <xf numFmtId="3" fontId="1" fillId="0" borderId="67" xfId="0" applyNumberFormat="1" applyFont="1" applyBorder="1" applyAlignment="1"/>
    <xf numFmtId="3" fontId="5" fillId="0" borderId="63" xfId="0" applyNumberFormat="1" applyFont="1" applyBorder="1" applyAlignment="1">
      <alignment vertical="center"/>
    </xf>
    <xf numFmtId="0" fontId="3" fillId="4" borderId="68" xfId="0" applyFont="1" applyFill="1" applyBorder="1" applyAlignment="1" applyProtection="1">
      <alignment horizontal="center" vertical="center"/>
    </xf>
    <xf numFmtId="3" fontId="5" fillId="5" borderId="69" xfId="0" applyNumberFormat="1" applyFont="1" applyFill="1" applyBorder="1" applyAlignment="1">
      <alignment vertical="center"/>
    </xf>
    <xf numFmtId="3" fontId="5" fillId="6" borderId="69" xfId="0" applyNumberFormat="1" applyFont="1" applyFill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3" fontId="5" fillId="0" borderId="69" xfId="0" applyNumberFormat="1" applyFont="1" applyBorder="1" applyAlignment="1"/>
    <xf numFmtId="3" fontId="1" fillId="0" borderId="69" xfId="0" applyNumberFormat="1" applyFont="1" applyBorder="1" applyAlignment="1">
      <alignment vertical="center"/>
    </xf>
    <xf numFmtId="3" fontId="22" fillId="0" borderId="69" xfId="0" applyNumberFormat="1" applyFont="1" applyBorder="1" applyAlignment="1"/>
    <xf numFmtId="3" fontId="4" fillId="0" borderId="69" xfId="0" applyNumberFormat="1" applyFont="1" applyBorder="1" applyAlignment="1">
      <alignment vertical="center"/>
    </xf>
    <xf numFmtId="3" fontId="22" fillId="0" borderId="69" xfId="0" applyNumberFormat="1" applyFont="1" applyBorder="1" applyAlignment="1">
      <alignment vertical="center"/>
    </xf>
    <xf numFmtId="3" fontId="22" fillId="6" borderId="69" xfId="0" applyNumberFormat="1" applyFont="1" applyFill="1" applyBorder="1" applyAlignment="1">
      <alignment vertical="center"/>
    </xf>
    <xf numFmtId="3" fontId="1" fillId="0" borderId="70" xfId="0" applyNumberFormat="1" applyFont="1" applyBorder="1" applyAlignment="1">
      <alignment vertical="center"/>
    </xf>
    <xf numFmtId="3" fontId="5" fillId="0" borderId="71" xfId="0" applyNumberFormat="1" applyFont="1" applyBorder="1" applyAlignment="1">
      <alignment vertical="center"/>
    </xf>
    <xf numFmtId="0" fontId="4" fillId="0" borderId="21" xfId="0" applyFont="1" applyBorder="1"/>
    <xf numFmtId="3" fontId="28" fillId="0" borderId="16" xfId="0" applyNumberFormat="1" applyFont="1" applyBorder="1" applyAlignment="1"/>
    <xf numFmtId="3" fontId="37" fillId="0" borderId="16" xfId="0" applyNumberFormat="1" applyFont="1" applyBorder="1" applyAlignment="1"/>
    <xf numFmtId="166" fontId="1" fillId="0" borderId="16" xfId="0" applyNumberFormat="1" applyFont="1" applyBorder="1" applyAlignment="1"/>
    <xf numFmtId="3" fontId="1" fillId="0" borderId="72" xfId="0" applyNumberFormat="1" applyFont="1" applyBorder="1" applyAlignment="1"/>
    <xf numFmtId="0" fontId="2" fillId="2" borderId="9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3" fontId="1" fillId="5" borderId="20" xfId="0" applyNumberFormat="1" applyFont="1" applyFill="1" applyBorder="1" applyAlignment="1">
      <alignment vertical="center"/>
    </xf>
    <xf numFmtId="3" fontId="1" fillId="6" borderId="20" xfId="0" applyNumberFormat="1" applyFont="1" applyFill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20" xfId="0" applyFont="1" applyBorder="1"/>
    <xf numFmtId="3" fontId="1" fillId="0" borderId="73" xfId="0" applyNumberFormat="1" applyFont="1" applyBorder="1"/>
    <xf numFmtId="0" fontId="2" fillId="2" borderId="23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/>
    </xf>
    <xf numFmtId="3" fontId="1" fillId="0" borderId="74" xfId="0" applyNumberFormat="1" applyFont="1" applyBorder="1"/>
    <xf numFmtId="3" fontId="1" fillId="0" borderId="75" xfId="0" applyNumberFormat="1" applyFont="1" applyBorder="1"/>
    <xf numFmtId="0" fontId="4" fillId="2" borderId="75" xfId="0" applyFont="1" applyFill="1" applyBorder="1" applyAlignment="1" applyProtection="1">
      <alignment vertical="center"/>
    </xf>
    <xf numFmtId="0" fontId="2" fillId="0" borderId="75" xfId="0" applyNumberFormat="1" applyFont="1" applyBorder="1" applyAlignment="1" applyProtection="1">
      <alignment horizontal="center" vertical="center"/>
    </xf>
    <xf numFmtId="0" fontId="3" fillId="0" borderId="75" xfId="0" applyFont="1" applyFill="1" applyBorder="1" applyAlignment="1" applyProtection="1">
      <alignment horizontal="center" vertic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3" fontId="1" fillId="0" borderId="21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1" fillId="0" borderId="16" xfId="0" applyNumberFormat="1" applyFont="1" applyFill="1" applyBorder="1" applyAlignment="1">
      <alignment vertical="center"/>
    </xf>
    <xf numFmtId="0" fontId="1" fillId="0" borderId="0" xfId="0" applyFont="1" applyFill="1"/>
    <xf numFmtId="3" fontId="1" fillId="0" borderId="2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5" fillId="0" borderId="16" xfId="0" applyNumberFormat="1" applyFont="1" applyFill="1" applyBorder="1" applyAlignment="1">
      <alignment vertical="center"/>
    </xf>
    <xf numFmtId="0" fontId="4" fillId="0" borderId="0" xfId="0" applyFont="1" applyFill="1"/>
    <xf numFmtId="3" fontId="4" fillId="0" borderId="18" xfId="0" applyNumberFormat="1" applyFont="1" applyFill="1" applyBorder="1" applyAlignment="1"/>
    <xf numFmtId="3" fontId="4" fillId="0" borderId="16" xfId="0" applyNumberFormat="1" applyFont="1" applyFill="1" applyBorder="1" applyAlignment="1"/>
    <xf numFmtId="0" fontId="5" fillId="0" borderId="0" xfId="0" applyFont="1" applyFill="1"/>
    <xf numFmtId="0" fontId="2" fillId="2" borderId="75" xfId="0" applyFont="1" applyFill="1" applyBorder="1" applyAlignment="1" applyProtection="1">
      <alignment horizontal="center" vertical="center"/>
    </xf>
    <xf numFmtId="3" fontId="5" fillId="0" borderId="59" xfId="0" applyNumberFormat="1" applyFont="1" applyBorder="1" applyAlignment="1">
      <alignment vertical="center"/>
    </xf>
    <xf numFmtId="3" fontId="1" fillId="0" borderId="18" xfId="0" applyNumberFormat="1" applyFont="1" applyBorder="1"/>
    <xf numFmtId="3" fontId="1" fillId="0" borderId="77" xfId="0" applyNumberFormat="1" applyFont="1" applyBorder="1"/>
    <xf numFmtId="0" fontId="1" fillId="0" borderId="20" xfId="0" applyFont="1" applyBorder="1"/>
    <xf numFmtId="0" fontId="1" fillId="0" borderId="20" xfId="0" applyFont="1" applyBorder="1" applyAlignment="1">
      <alignment vertical="center"/>
    </xf>
    <xf numFmtId="0" fontId="48" fillId="0" borderId="0" xfId="0" applyFont="1"/>
    <xf numFmtId="0" fontId="49" fillId="6" borderId="0" xfId="0" applyFont="1" applyFill="1"/>
    <xf numFmtId="0" fontId="48" fillId="0" borderId="20" xfId="0" applyFont="1" applyBorder="1"/>
    <xf numFmtId="3" fontId="28" fillId="0" borderId="69" xfId="0" applyNumberFormat="1" applyFont="1" applyBorder="1" applyAlignment="1">
      <alignment vertical="center"/>
    </xf>
    <xf numFmtId="3" fontId="50" fillId="0" borderId="17" xfId="0" applyNumberFormat="1" applyFont="1" applyBorder="1" applyAlignment="1"/>
    <xf numFmtId="3" fontId="39" fillId="0" borderId="42" xfId="1" applyFont="1" applyFill="1" applyBorder="1" applyAlignment="1" applyProtection="1">
      <alignment vertical="center"/>
      <protection locked="0"/>
    </xf>
    <xf numFmtId="0" fontId="22" fillId="0" borderId="61" xfId="0" applyFont="1" applyBorder="1" applyAlignment="1">
      <alignment vertical="center"/>
    </xf>
    <xf numFmtId="0" fontId="2" fillId="2" borderId="79" xfId="0" applyFont="1" applyFill="1" applyBorder="1" applyAlignment="1" applyProtection="1">
      <alignment horizontal="centerContinuous"/>
    </xf>
    <xf numFmtId="0" fontId="3" fillId="2" borderId="79" xfId="0" applyFont="1" applyFill="1" applyBorder="1" applyAlignment="1" applyProtection="1">
      <alignment horizontal="centerContinuous"/>
    </xf>
    <xf numFmtId="0" fontId="0" fillId="0" borderId="79" xfId="0" applyBorder="1" applyAlignment="1">
      <alignment horizontal="centerContinuous"/>
    </xf>
    <xf numFmtId="3" fontId="22" fillId="5" borderId="18" xfId="0" applyNumberFormat="1" applyFont="1" applyFill="1" applyBorder="1" applyAlignment="1"/>
    <xf numFmtId="3" fontId="22" fillId="6" borderId="77" xfId="0" applyNumberFormat="1" applyFont="1" applyFill="1" applyBorder="1" applyAlignment="1"/>
    <xf numFmtId="3" fontId="22" fillId="0" borderId="77" xfId="0" applyNumberFormat="1" applyFont="1" applyBorder="1" applyAlignment="1"/>
    <xf numFmtId="3" fontId="4" fillId="0" borderId="77" xfId="0" applyNumberFormat="1" applyFont="1" applyBorder="1" applyAlignment="1"/>
    <xf numFmtId="3" fontId="4" fillId="0" borderId="66" xfId="0" applyNumberFormat="1" applyFont="1" applyFill="1" applyBorder="1" applyAlignment="1"/>
    <xf numFmtId="3" fontId="5" fillId="5" borderId="77" xfId="0" applyNumberFormat="1" applyFont="1" applyFill="1" applyBorder="1" applyAlignment="1"/>
    <xf numFmtId="3" fontId="22" fillId="6" borderId="17" xfId="0" applyNumberFormat="1" applyFont="1" applyFill="1" applyBorder="1" applyAlignment="1">
      <alignment vertical="center"/>
    </xf>
    <xf numFmtId="3" fontId="5" fillId="6" borderId="77" xfId="0" applyNumberFormat="1" applyFont="1" applyFill="1" applyBorder="1" applyAlignment="1"/>
    <xf numFmtId="3" fontId="22" fillId="0" borderId="17" xfId="0" applyNumberFormat="1" applyFont="1" applyBorder="1" applyAlignment="1">
      <alignment vertical="center"/>
    </xf>
    <xf numFmtId="3" fontId="5" fillId="0" borderId="77" xfId="0" applyNumberFormat="1" applyFont="1" applyBorder="1" applyAlignment="1"/>
    <xf numFmtId="3" fontId="4" fillId="0" borderId="17" xfId="0" applyNumberFormat="1" applyFont="1" applyBorder="1" applyAlignment="1">
      <alignment vertical="center"/>
    </xf>
    <xf numFmtId="3" fontId="1" fillId="0" borderId="77" xfId="0" applyNumberFormat="1" applyFont="1" applyBorder="1" applyAlignment="1"/>
    <xf numFmtId="0" fontId="0" fillId="0" borderId="81" xfId="0" applyBorder="1" applyAlignment="1">
      <alignment horizontal="centerContinuous"/>
    </xf>
    <xf numFmtId="3" fontId="22" fillId="5" borderId="82" xfId="0" applyNumberFormat="1" applyFont="1" applyFill="1" applyBorder="1" applyAlignment="1">
      <alignment vertical="center"/>
    </xf>
    <xf numFmtId="3" fontId="5" fillId="5" borderId="76" xfId="0" applyNumberFormat="1" applyFont="1" applyFill="1" applyBorder="1" applyAlignment="1"/>
    <xf numFmtId="0" fontId="2" fillId="0" borderId="83" xfId="0" applyFont="1" applyFill="1" applyBorder="1" applyAlignment="1" applyProtection="1">
      <alignment horizontal="center" vertical="center"/>
    </xf>
    <xf numFmtId="0" fontId="2" fillId="2" borderId="84" xfId="0" applyFont="1" applyFill="1" applyBorder="1" applyAlignment="1" applyProtection="1">
      <alignment horizontal="center" vertical="center"/>
    </xf>
    <xf numFmtId="3" fontId="22" fillId="5" borderId="36" xfId="0" applyNumberFormat="1" applyFont="1" applyFill="1" applyBorder="1" applyAlignment="1"/>
    <xf numFmtId="3" fontId="22" fillId="5" borderId="86" xfId="0" applyNumberFormat="1" applyFont="1" applyFill="1" applyBorder="1" applyAlignment="1"/>
    <xf numFmtId="0" fontId="2" fillId="0" borderId="87" xfId="0" applyNumberFormat="1" applyFont="1" applyBorder="1" applyAlignment="1" applyProtection="1">
      <alignment horizontal="center" vertical="center"/>
    </xf>
    <xf numFmtId="0" fontId="3" fillId="0" borderId="85" xfId="0" applyFont="1" applyFill="1" applyBorder="1" applyAlignment="1" applyProtection="1">
      <alignment horizontal="center" vertical="center"/>
    </xf>
    <xf numFmtId="3" fontId="5" fillId="5" borderId="74" xfId="0" applyNumberFormat="1" applyFont="1" applyFill="1" applyBorder="1"/>
    <xf numFmtId="3" fontId="5" fillId="5" borderId="75" xfId="0" applyNumberFormat="1" applyFont="1" applyFill="1" applyBorder="1"/>
    <xf numFmtId="0" fontId="28" fillId="0" borderId="88" xfId="0" applyFont="1" applyBorder="1" applyAlignment="1">
      <alignment horizontal="center"/>
    </xf>
    <xf numFmtId="0" fontId="2" fillId="2" borderId="80" xfId="0" applyFont="1" applyFill="1" applyBorder="1" applyAlignment="1" applyProtection="1">
      <alignment horizontal="center"/>
    </xf>
    <xf numFmtId="0" fontId="1" fillId="0" borderId="89" xfId="0" applyFont="1" applyBorder="1" applyAlignment="1">
      <alignment horizontal="left" indent="3"/>
    </xf>
    <xf numFmtId="3" fontId="1" fillId="0" borderId="90" xfId="0" applyNumberFormat="1" applyFont="1" applyBorder="1" applyAlignment="1">
      <alignment vertical="center"/>
    </xf>
    <xf numFmtId="3" fontId="4" fillId="0" borderId="91" xfId="0" applyNumberFormat="1" applyFont="1" applyBorder="1" applyAlignment="1"/>
    <xf numFmtId="3" fontId="1" fillId="0" borderId="92" xfId="0" applyNumberFormat="1" applyFont="1" applyBorder="1" applyAlignment="1"/>
    <xf numFmtId="0" fontId="5" fillId="6" borderId="95" xfId="0" applyFont="1" applyFill="1" applyBorder="1" applyAlignment="1">
      <alignment horizontal="left" indent="1"/>
    </xf>
    <xf numFmtId="0" fontId="1" fillId="0" borderId="95" xfId="0" applyFont="1" applyBorder="1" applyAlignment="1">
      <alignment horizontal="left" indent="2"/>
    </xf>
    <xf numFmtId="0" fontId="4" fillId="0" borderId="95" xfId="0" applyFont="1" applyBorder="1" applyAlignment="1">
      <alignment horizontal="left" indent="2"/>
    </xf>
    <xf numFmtId="3" fontId="4" fillId="0" borderId="21" xfId="0" applyNumberFormat="1" applyFont="1" applyBorder="1" applyAlignment="1">
      <alignment vertical="center"/>
    </xf>
    <xf numFmtId="3" fontId="22" fillId="5" borderId="21" xfId="0" applyNumberFormat="1" applyFont="1" applyFill="1" applyBorder="1" applyAlignment="1">
      <alignment vertical="center"/>
    </xf>
    <xf numFmtId="3" fontId="22" fillId="6" borderId="21" xfId="0" applyNumberFormat="1" applyFont="1" applyFill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22" fillId="5" borderId="19" xfId="0" applyNumberFormat="1" applyFont="1" applyFill="1" applyBorder="1" applyAlignment="1"/>
    <xf numFmtId="3" fontId="33" fillId="0" borderId="18" xfId="0" applyNumberFormat="1" applyFont="1" applyBorder="1" applyAlignment="1"/>
    <xf numFmtId="3" fontId="22" fillId="0" borderId="96" xfId="0" applyNumberFormat="1" applyFont="1" applyBorder="1" applyAlignment="1">
      <alignment vertical="center"/>
    </xf>
    <xf numFmtId="3" fontId="22" fillId="0" borderId="99" xfId="0" applyNumberFormat="1" applyFont="1" applyBorder="1" applyAlignment="1">
      <alignment vertical="center"/>
    </xf>
    <xf numFmtId="3" fontId="22" fillId="5" borderId="100" xfId="0" applyNumberFormat="1" applyFont="1" applyFill="1" applyBorder="1" applyAlignment="1"/>
    <xf numFmtId="3" fontId="22" fillId="5" borderId="101" xfId="0" applyNumberFormat="1" applyFont="1" applyFill="1" applyBorder="1" applyAlignment="1">
      <alignment vertical="center"/>
    </xf>
    <xf numFmtId="0" fontId="1" fillId="0" borderId="90" xfId="0" applyFont="1" applyBorder="1" applyAlignment="1"/>
    <xf numFmtId="3" fontId="4" fillId="0" borderId="98" xfId="0" applyNumberFormat="1" applyFont="1" applyBorder="1" applyAlignment="1"/>
    <xf numFmtId="3" fontId="4" fillId="0" borderId="102" xfId="0" applyNumberFormat="1" applyFont="1" applyBorder="1" applyAlignment="1">
      <alignment vertical="center"/>
    </xf>
    <xf numFmtId="3" fontId="1" fillId="5" borderId="94" xfId="0" applyNumberFormat="1" applyFont="1" applyFill="1" applyBorder="1" applyAlignment="1">
      <alignment vertical="center"/>
    </xf>
    <xf numFmtId="3" fontId="1" fillId="6" borderId="18" xfId="0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48" fillId="0" borderId="18" xfId="0" applyFont="1" applyBorder="1"/>
    <xf numFmtId="0" fontId="4" fillId="0" borderId="18" xfId="0" applyFont="1" applyFill="1" applyBorder="1"/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/>
    <xf numFmtId="3" fontId="1" fillId="5" borderId="18" xfId="0" applyNumberFormat="1" applyFont="1" applyFill="1" applyBorder="1" applyAlignment="1">
      <alignment vertical="center"/>
    </xf>
    <xf numFmtId="3" fontId="4" fillId="6" borderId="18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05" xfId="0" applyFont="1" applyBorder="1"/>
    <xf numFmtId="3" fontId="5" fillId="0" borderId="106" xfId="0" applyNumberFormat="1" applyFont="1" applyBorder="1" applyAlignment="1">
      <alignment vertical="center"/>
    </xf>
    <xf numFmtId="0" fontId="1" fillId="0" borderId="105" xfId="0" applyFont="1" applyBorder="1" applyAlignment="1">
      <alignment horizontal="left" indent="1"/>
    </xf>
    <xf numFmtId="3" fontId="1" fillId="0" borderId="106" xfId="0" applyNumberFormat="1" applyFont="1" applyBorder="1" applyAlignment="1">
      <alignment vertical="center"/>
    </xf>
    <xf numFmtId="0" fontId="1" fillId="0" borderId="107" xfId="0" applyFont="1" applyBorder="1" applyAlignment="1">
      <alignment horizontal="left" indent="1"/>
    </xf>
    <xf numFmtId="3" fontId="1" fillId="0" borderId="108" xfId="0" applyNumberFormat="1" applyFont="1" applyBorder="1" applyAlignment="1">
      <alignment vertical="center"/>
    </xf>
    <xf numFmtId="0" fontId="1" fillId="0" borderId="109" xfId="0" applyFont="1" applyBorder="1" applyAlignment="1">
      <alignment horizontal="left" indent="1"/>
    </xf>
    <xf numFmtId="3" fontId="1" fillId="0" borderId="110" xfId="0" applyNumberFormat="1" applyFont="1" applyBorder="1" applyAlignment="1">
      <alignment vertical="center"/>
    </xf>
    <xf numFmtId="0" fontId="5" fillId="0" borderId="111" xfId="0" applyFont="1" applyBorder="1"/>
    <xf numFmtId="3" fontId="5" fillId="0" borderId="112" xfId="0" applyNumberFormat="1" applyFont="1" applyBorder="1" applyAlignment="1">
      <alignment vertical="center"/>
    </xf>
    <xf numFmtId="0" fontId="1" fillId="0" borderId="113" xfId="0" applyFont="1" applyBorder="1" applyAlignment="1">
      <alignment horizontal="left" indent="1"/>
    </xf>
    <xf numFmtId="3" fontId="1" fillId="0" borderId="114" xfId="0" applyNumberFormat="1" applyFont="1" applyBorder="1" applyAlignment="1">
      <alignment vertical="center"/>
    </xf>
    <xf numFmtId="3" fontId="5" fillId="0" borderId="116" xfId="0" applyNumberFormat="1" applyFont="1" applyBorder="1" applyAlignment="1">
      <alignment vertical="center"/>
    </xf>
    <xf numFmtId="3" fontId="1" fillId="0" borderId="116" xfId="0" applyNumberFormat="1" applyFont="1" applyBorder="1" applyAlignment="1">
      <alignment vertical="center"/>
    </xf>
    <xf numFmtId="3" fontId="1" fillId="0" borderId="117" xfId="0" applyNumberFormat="1" applyFont="1" applyBorder="1" applyAlignment="1">
      <alignment vertical="center"/>
    </xf>
    <xf numFmtId="3" fontId="5" fillId="0" borderId="118" xfId="0" applyNumberFormat="1" applyFont="1" applyBorder="1" applyAlignment="1">
      <alignment vertical="center"/>
    </xf>
    <xf numFmtId="3" fontId="1" fillId="0" borderId="119" xfId="0" applyNumberFormat="1" applyFont="1" applyBorder="1" applyAlignment="1">
      <alignment vertical="center"/>
    </xf>
    <xf numFmtId="3" fontId="5" fillId="0" borderId="121" xfId="0" applyNumberFormat="1" applyFont="1" applyBorder="1" applyAlignment="1">
      <alignment vertical="center"/>
    </xf>
    <xf numFmtId="3" fontId="5" fillId="0" borderId="122" xfId="0" applyNumberFormat="1" applyFont="1" applyBorder="1" applyAlignment="1">
      <alignment vertical="center"/>
    </xf>
    <xf numFmtId="3" fontId="5" fillId="0" borderId="123" xfId="0" applyNumberFormat="1" applyFont="1" applyBorder="1" applyAlignment="1">
      <alignment vertical="center"/>
    </xf>
    <xf numFmtId="3" fontId="5" fillId="0" borderId="124" xfId="0" applyNumberFormat="1" applyFont="1" applyBorder="1" applyAlignment="1">
      <alignment vertical="center"/>
    </xf>
    <xf numFmtId="0" fontId="5" fillId="0" borderId="125" xfId="0" applyFont="1" applyBorder="1"/>
    <xf numFmtId="3" fontId="5" fillId="0" borderId="126" xfId="0" applyNumberFormat="1" applyFont="1" applyBorder="1" applyAlignment="1">
      <alignment vertical="center"/>
    </xf>
    <xf numFmtId="3" fontId="5" fillId="0" borderId="127" xfId="0" applyNumberFormat="1" applyFont="1" applyBorder="1" applyAlignment="1">
      <alignment vertical="center"/>
    </xf>
    <xf numFmtId="3" fontId="5" fillId="0" borderId="128" xfId="0" applyNumberFormat="1" applyFont="1" applyBorder="1" applyAlignment="1">
      <alignment vertical="center"/>
    </xf>
    <xf numFmtId="3" fontId="1" fillId="0" borderId="129" xfId="0" applyNumberFormat="1" applyFont="1" applyBorder="1" applyAlignment="1">
      <alignment vertical="center"/>
    </xf>
    <xf numFmtId="3" fontId="5" fillId="0" borderId="130" xfId="0" applyNumberFormat="1" applyFont="1" applyBorder="1" applyAlignment="1">
      <alignment vertical="center"/>
    </xf>
    <xf numFmtId="0" fontId="28" fillId="0" borderId="104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28" fillId="0" borderId="120" xfId="0" applyFont="1" applyBorder="1" applyAlignment="1">
      <alignment horizontal="center" vertical="center"/>
    </xf>
    <xf numFmtId="0" fontId="28" fillId="0" borderId="103" xfId="0" applyFont="1" applyBorder="1" applyAlignment="1">
      <alignment vertical="center"/>
    </xf>
    <xf numFmtId="0" fontId="21" fillId="0" borderId="0" xfId="0" applyFont="1" applyFill="1" applyBorder="1" applyAlignment="1"/>
    <xf numFmtId="0" fontId="2" fillId="0" borderId="18" xfId="0" applyNumberFormat="1" applyFont="1" applyBorder="1" applyAlignment="1" applyProtection="1">
      <alignment horizontal="center" vertical="center"/>
    </xf>
    <xf numFmtId="0" fontId="3" fillId="4" borderId="77" xfId="0" applyFont="1" applyFill="1" applyBorder="1" applyAlignment="1" applyProtection="1">
      <alignment horizontal="center" vertical="center"/>
    </xf>
    <xf numFmtId="3" fontId="5" fillId="6" borderId="77" xfId="0" applyNumberFormat="1" applyFont="1" applyFill="1" applyBorder="1" applyAlignment="1">
      <alignment vertical="center"/>
    </xf>
    <xf numFmtId="3" fontId="1" fillId="0" borderId="77" xfId="0" applyNumberFormat="1" applyFont="1" applyBorder="1" applyAlignment="1">
      <alignment vertical="center"/>
    </xf>
    <xf numFmtId="3" fontId="5" fillId="5" borderId="77" xfId="0" applyNumberFormat="1" applyFont="1" applyFill="1" applyBorder="1" applyAlignment="1">
      <alignment vertical="center"/>
    </xf>
    <xf numFmtId="3" fontId="22" fillId="6" borderId="77" xfId="0" applyNumberFormat="1" applyFont="1" applyFill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1" fillId="0" borderId="93" xfId="0" applyNumberFormat="1" applyFont="1" applyBorder="1"/>
    <xf numFmtId="3" fontId="1" fillId="0" borderId="94" xfId="0" applyNumberFormat="1" applyFont="1" applyBorder="1"/>
    <xf numFmtId="0" fontId="2" fillId="2" borderId="94" xfId="0" applyFont="1" applyFill="1" applyBorder="1" applyAlignment="1" applyProtection="1">
      <alignment horizontal="center" vertical="center"/>
    </xf>
    <xf numFmtId="0" fontId="2" fillId="2" borderId="94" xfId="0" applyFont="1" applyFill="1" applyBorder="1" applyAlignment="1" applyProtection="1">
      <alignment horizontal="center"/>
    </xf>
    <xf numFmtId="3" fontId="1" fillId="0" borderId="95" xfId="0" applyNumberFormat="1" applyFont="1" applyBorder="1"/>
    <xf numFmtId="0" fontId="4" fillId="2" borderId="18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3" fontId="5" fillId="5" borderId="95" xfId="0" applyNumberFormat="1" applyFont="1" applyFill="1" applyBorder="1"/>
    <xf numFmtId="3" fontId="5" fillId="5" borderId="18" xfId="0" applyNumberFormat="1" applyFont="1" applyFill="1" applyBorder="1"/>
    <xf numFmtId="3" fontId="5" fillId="5" borderId="18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horizontal="left" indent="1"/>
    </xf>
    <xf numFmtId="3" fontId="5" fillId="6" borderId="18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indent="2"/>
    </xf>
    <xf numFmtId="3" fontId="13" fillId="0" borderId="18" xfId="0" applyNumberFormat="1" applyFont="1" applyBorder="1" applyAlignment="1">
      <alignment vertical="center"/>
    </xf>
    <xf numFmtId="0" fontId="16" fillId="6" borderId="18" xfId="0" applyFont="1" applyFill="1" applyBorder="1" applyAlignment="1">
      <alignment horizontal="left" indent="1"/>
    </xf>
    <xf numFmtId="3" fontId="14" fillId="6" borderId="18" xfId="0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left" indent="2"/>
    </xf>
    <xf numFmtId="3" fontId="14" fillId="5" borderId="18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 indent="2"/>
    </xf>
    <xf numFmtId="0" fontId="1" fillId="0" borderId="18" xfId="0" applyFont="1" applyBorder="1" applyAlignment="1"/>
    <xf numFmtId="0" fontId="4" fillId="0" borderId="95" xfId="0" applyFont="1" applyFill="1" applyBorder="1" applyAlignment="1">
      <alignment horizontal="left" indent="2"/>
    </xf>
    <xf numFmtId="0" fontId="22" fillId="6" borderId="95" xfId="0" applyFont="1" applyFill="1" applyBorder="1" applyAlignment="1">
      <alignment horizontal="left" indent="1"/>
    </xf>
    <xf numFmtId="0" fontId="22" fillId="6" borderId="18" xfId="0" applyFont="1" applyFill="1" applyBorder="1" applyAlignment="1">
      <alignment horizontal="left" indent="1"/>
    </xf>
    <xf numFmtId="3" fontId="22" fillId="6" borderId="18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indent="3"/>
    </xf>
    <xf numFmtId="0" fontId="15" fillId="0" borderId="18" xfId="0" applyFont="1" applyBorder="1" applyAlignment="1"/>
    <xf numFmtId="0" fontId="5" fillId="6" borderId="18" xfId="0" applyFont="1" applyFill="1" applyBorder="1" applyAlignment="1">
      <alignment horizontal="left" wrapText="1" indent="1"/>
    </xf>
    <xf numFmtId="0" fontId="2" fillId="0" borderId="18" xfId="0" applyFont="1" applyBorder="1" applyAlignment="1"/>
    <xf numFmtId="0" fontId="4" fillId="0" borderId="18" xfId="0" applyFont="1" applyBorder="1" applyAlignment="1">
      <alignment horizontal="left" indent="3"/>
    </xf>
    <xf numFmtId="0" fontId="5" fillId="0" borderId="131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3" fontId="22" fillId="0" borderId="91" xfId="0" applyNumberFormat="1" applyFont="1" applyBorder="1" applyAlignment="1">
      <alignment vertical="center"/>
    </xf>
    <xf numFmtId="3" fontId="5" fillId="0" borderId="91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6" borderId="95" xfId="0" applyNumberFormat="1" applyFont="1" applyFill="1" applyBorder="1"/>
    <xf numFmtId="3" fontId="5" fillId="6" borderId="18" xfId="0" applyNumberFormat="1" applyFont="1" applyFill="1" applyBorder="1"/>
    <xf numFmtId="0" fontId="1" fillId="0" borderId="95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left" indent="1"/>
    </xf>
    <xf numFmtId="3" fontId="1" fillId="0" borderId="18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horizontal="left" indent="1"/>
    </xf>
    <xf numFmtId="3" fontId="1" fillId="0" borderId="77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left" indent="1"/>
    </xf>
    <xf numFmtId="3" fontId="13" fillId="0" borderId="18" xfId="0" applyNumberFormat="1" applyFont="1" applyFill="1" applyBorder="1" applyAlignment="1">
      <alignment vertical="center"/>
    </xf>
    <xf numFmtId="0" fontId="4" fillId="0" borderId="95" xfId="0" applyFont="1" applyFill="1" applyBorder="1" applyAlignment="1">
      <alignment horizontal="left" indent="1"/>
    </xf>
    <xf numFmtId="0" fontId="4" fillId="0" borderId="18" xfId="0" applyFont="1" applyFill="1" applyBorder="1" applyAlignment="1">
      <alignment horizontal="left" indent="1"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left" indent="1"/>
    </xf>
    <xf numFmtId="3" fontId="4" fillId="0" borderId="7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left" wrapText="1" indent="1"/>
    </xf>
    <xf numFmtId="0" fontId="3" fillId="0" borderId="77" xfId="0" applyFont="1" applyFill="1" applyBorder="1" applyAlignment="1" applyProtection="1">
      <alignment horizontal="center" vertical="center"/>
    </xf>
    <xf numFmtId="0" fontId="2" fillId="0" borderId="133" xfId="0" applyNumberFormat="1" applyFont="1" applyBorder="1" applyAlignment="1" applyProtection="1">
      <alignment horizontal="center" vertical="center"/>
    </xf>
    <xf numFmtId="3" fontId="1" fillId="0" borderId="133" xfId="0" applyNumberFormat="1" applyFont="1" applyBorder="1"/>
    <xf numFmtId="3" fontId="1" fillId="0" borderId="0" xfId="0" applyNumberFormat="1" applyFont="1" applyAlignment="1">
      <alignment horizontal="right"/>
    </xf>
    <xf numFmtId="3" fontId="14" fillId="0" borderId="17" xfId="0" applyNumberFormat="1" applyFont="1" applyFill="1" applyBorder="1" applyAlignment="1"/>
    <xf numFmtId="3" fontId="14" fillId="0" borderId="18" xfId="0" applyNumberFormat="1" applyFont="1" applyFill="1" applyBorder="1" applyAlignment="1"/>
    <xf numFmtId="3" fontId="14" fillId="0" borderId="19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66" xfId="0" applyNumberFormat="1" applyFont="1" applyFill="1" applyBorder="1" applyAlignment="1"/>
    <xf numFmtId="3" fontId="5" fillId="0" borderId="6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/>
    <xf numFmtId="0" fontId="5" fillId="0" borderId="8" xfId="0" applyFont="1" applyFill="1" applyBorder="1" applyAlignment="1">
      <alignment horizontal="left" indent="2"/>
    </xf>
    <xf numFmtId="0" fontId="5" fillId="0" borderId="20" xfId="0" applyFont="1" applyFill="1" applyBorder="1" applyAlignment="1">
      <alignment horizontal="left" indent="2"/>
    </xf>
    <xf numFmtId="3" fontId="5" fillId="0" borderId="16" xfId="0" applyNumberFormat="1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 indent="3"/>
    </xf>
    <xf numFmtId="0" fontId="1" fillId="0" borderId="20" xfId="0" applyFont="1" applyFill="1" applyBorder="1" applyAlignment="1"/>
    <xf numFmtId="3" fontId="1" fillId="0" borderId="16" xfId="0" applyNumberFormat="1" applyFont="1" applyFill="1" applyBorder="1" applyAlignment="1">
      <alignment horizontal="left" indent="3"/>
    </xf>
    <xf numFmtId="3" fontId="13" fillId="0" borderId="19" xfId="0" applyNumberFormat="1" applyFont="1" applyFill="1" applyBorder="1" applyAlignment="1">
      <alignment vertical="center"/>
    </xf>
    <xf numFmtId="3" fontId="22" fillId="0" borderId="21" xfId="0" applyNumberFormat="1" applyFont="1" applyFill="1" applyBorder="1" applyAlignment="1"/>
    <xf numFmtId="0" fontId="13" fillId="0" borderId="8" xfId="0" applyFont="1" applyFill="1" applyBorder="1" applyAlignment="1"/>
    <xf numFmtId="0" fontId="15" fillId="0" borderId="20" xfId="0" applyFont="1" applyFill="1" applyBorder="1" applyAlignment="1"/>
    <xf numFmtId="3" fontId="1" fillId="0" borderId="66" xfId="0" applyNumberFormat="1" applyFont="1" applyFill="1" applyBorder="1" applyAlignment="1"/>
    <xf numFmtId="3" fontId="1" fillId="0" borderId="69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/>
    <xf numFmtId="3" fontId="22" fillId="0" borderId="66" xfId="0" applyNumberFormat="1" applyFont="1" applyFill="1" applyBorder="1" applyAlignment="1"/>
    <xf numFmtId="3" fontId="22" fillId="0" borderId="69" xfId="0" applyNumberFormat="1" applyFont="1" applyFill="1" applyBorder="1" applyAlignment="1">
      <alignment vertical="center"/>
    </xf>
    <xf numFmtId="166" fontId="13" fillId="0" borderId="17" xfId="0" applyNumberFormat="1" applyFont="1" applyBorder="1" applyAlignment="1"/>
    <xf numFmtId="166" fontId="1" fillId="0" borderId="0" xfId="0" applyNumberFormat="1" applyFont="1"/>
    <xf numFmtId="0" fontId="51" fillId="0" borderId="0" xfId="0" applyFont="1"/>
    <xf numFmtId="0" fontId="1" fillId="0" borderId="0" xfId="0" applyNumberFormat="1" applyFont="1" applyAlignment="1">
      <alignment horizontal="left"/>
    </xf>
    <xf numFmtId="3" fontId="5" fillId="6" borderId="20" xfId="0" applyNumberFormat="1" applyFont="1" applyFill="1" applyBorder="1" applyAlignment="1">
      <alignment horizontal="left"/>
    </xf>
    <xf numFmtId="0" fontId="5" fillId="5" borderId="20" xfId="0" applyNumberFormat="1" applyFont="1" applyFill="1" applyBorder="1" applyAlignment="1">
      <alignment horizontal="left"/>
    </xf>
    <xf numFmtId="0" fontId="5" fillId="6" borderId="20" xfId="0" applyNumberFormat="1" applyFont="1" applyFill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22" fillId="0" borderId="20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0" fontId="22" fillId="6" borderId="20" xfId="0" applyNumberFormat="1" applyFont="1" applyFill="1" applyBorder="1" applyAlignment="1">
      <alignment horizontal="left"/>
    </xf>
    <xf numFmtId="3" fontId="5" fillId="5" borderId="20" xfId="0" applyNumberFormat="1" applyFont="1" applyFill="1" applyBorder="1" applyAlignment="1">
      <alignment horizontal="left"/>
    </xf>
    <xf numFmtId="3" fontId="22" fillId="0" borderId="20" xfId="0" applyNumberFormat="1" applyFont="1" applyBorder="1" applyAlignment="1">
      <alignment horizontal="left"/>
    </xf>
    <xf numFmtId="3" fontId="22" fillId="6" borderId="20" xfId="0" applyNumberFormat="1" applyFont="1" applyFill="1" applyBorder="1" applyAlignment="1">
      <alignment horizontal="left"/>
    </xf>
    <xf numFmtId="0" fontId="1" fillId="6" borderId="20" xfId="0" applyNumberFormat="1" applyFont="1" applyFill="1" applyBorder="1" applyAlignment="1">
      <alignment horizontal="left"/>
    </xf>
    <xf numFmtId="0" fontId="1" fillId="6" borderId="16" xfId="0" applyNumberFormat="1" applyFont="1" applyFill="1" applyBorder="1" applyAlignment="1"/>
    <xf numFmtId="0" fontId="1" fillId="0" borderId="93" xfId="0" applyFont="1" applyBorder="1"/>
    <xf numFmtId="0" fontId="1" fillId="0" borderId="94" xfId="0" applyFont="1" applyBorder="1"/>
    <xf numFmtId="0" fontId="28" fillId="0" borderId="94" xfId="0" applyFont="1" applyBorder="1" applyAlignment="1">
      <alignment horizontal="center" vertical="center"/>
    </xf>
    <xf numFmtId="0" fontId="1" fillId="0" borderId="95" xfId="0" applyFont="1" applyBorder="1"/>
    <xf numFmtId="0" fontId="1" fillId="0" borderId="18" xfId="0" applyFont="1" applyBorder="1"/>
    <xf numFmtId="0" fontId="1" fillId="0" borderId="95" xfId="0" applyFont="1" applyBorder="1" applyAlignment="1">
      <alignment horizontal="left" indent="1"/>
    </xf>
    <xf numFmtId="0" fontId="5" fillId="0" borderId="93" xfId="0" applyFont="1" applyBorder="1" applyAlignment="1">
      <alignment vertical="top" wrapText="1"/>
    </xf>
    <xf numFmtId="0" fontId="5" fillId="6" borderId="95" xfId="0" applyFont="1" applyFill="1" applyBorder="1"/>
    <xf numFmtId="0" fontId="5" fillId="6" borderId="18" xfId="0" applyFont="1" applyFill="1" applyBorder="1"/>
    <xf numFmtId="0" fontId="1" fillId="6" borderId="18" xfId="0" applyFont="1" applyFill="1" applyBorder="1"/>
    <xf numFmtId="0" fontId="5" fillId="0" borderId="136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0" fontId="28" fillId="0" borderId="78" xfId="0" applyFont="1" applyBorder="1" applyAlignment="1">
      <alignment horizontal="center" vertical="center"/>
    </xf>
    <xf numFmtId="0" fontId="1" fillId="0" borderId="139" xfId="0" applyFont="1" applyBorder="1" applyAlignment="1">
      <alignment horizontal="left" indent="3"/>
    </xf>
    <xf numFmtId="3" fontId="4" fillId="0" borderId="140" xfId="0" applyNumberFormat="1" applyFont="1" applyBorder="1" applyAlignment="1"/>
    <xf numFmtId="168" fontId="1" fillId="0" borderId="0" xfId="0" applyNumberFormat="1" applyFont="1"/>
    <xf numFmtId="169" fontId="1" fillId="0" borderId="0" xfId="0" applyNumberFormat="1" applyFont="1"/>
    <xf numFmtId="1" fontId="1" fillId="0" borderId="0" xfId="0" applyNumberFormat="1" applyFont="1"/>
    <xf numFmtId="3" fontId="22" fillId="5" borderId="76" xfId="0" applyNumberFormat="1" applyFont="1" applyFill="1" applyBorder="1" applyAlignment="1"/>
    <xf numFmtId="3" fontId="4" fillId="0" borderId="143" xfId="0" applyNumberFormat="1" applyFont="1" applyBorder="1" applyAlignment="1"/>
    <xf numFmtId="3" fontId="22" fillId="5" borderId="77" xfId="0" applyNumberFormat="1" applyFont="1" applyFill="1" applyBorder="1" applyAlignment="1"/>
    <xf numFmtId="3" fontId="22" fillId="0" borderId="137" xfId="0" applyNumberFormat="1" applyFont="1" applyBorder="1" applyAlignment="1">
      <alignment vertical="center"/>
    </xf>
    <xf numFmtId="3" fontId="5" fillId="5" borderId="52" xfId="0" applyNumberFormat="1" applyFont="1" applyFill="1" applyBorder="1"/>
    <xf numFmtId="3" fontId="22" fillId="5" borderId="53" xfId="0" applyNumberFormat="1" applyFont="1" applyFill="1" applyBorder="1" applyAlignment="1"/>
    <xf numFmtId="0" fontId="28" fillId="0" borderId="97" xfId="0" applyFont="1" applyBorder="1" applyAlignment="1">
      <alignment horizontal="center" vertical="center"/>
    </xf>
    <xf numFmtId="0" fontId="28" fillId="0" borderId="144" xfId="0" applyFont="1" applyBorder="1" applyAlignment="1">
      <alignment horizontal="center" vertical="center"/>
    </xf>
    <xf numFmtId="3" fontId="22" fillId="6" borderId="145" xfId="0" applyNumberFormat="1" applyFont="1" applyFill="1" applyBorder="1" applyAlignment="1"/>
    <xf numFmtId="3" fontId="4" fillId="0" borderId="145" xfId="0" applyNumberFormat="1" applyFont="1" applyBorder="1" applyAlignment="1"/>
    <xf numFmtId="0" fontId="1" fillId="0" borderId="135" xfId="0" applyFont="1" applyBorder="1" applyAlignment="1">
      <alignment horizontal="left" indent="2"/>
    </xf>
    <xf numFmtId="3" fontId="4" fillId="0" borderId="31" xfId="0" applyNumberFormat="1" applyFont="1" applyBorder="1" applyAlignment="1"/>
    <xf numFmtId="3" fontId="4" fillId="0" borderId="67" xfId="0" applyNumberFormat="1" applyFont="1" applyBorder="1" applyAlignment="1"/>
    <xf numFmtId="3" fontId="4" fillId="0" borderId="146" xfId="0" applyNumberFormat="1" applyFont="1" applyBorder="1" applyAlignment="1"/>
    <xf numFmtId="0" fontId="5" fillId="0" borderId="136" xfId="0" applyFont="1" applyFill="1" applyBorder="1" applyAlignment="1">
      <alignment vertical="center"/>
    </xf>
    <xf numFmtId="3" fontId="22" fillId="0" borderId="96" xfId="0" applyNumberFormat="1" applyFont="1" applyFill="1" applyBorder="1" applyAlignment="1">
      <alignment vertical="center"/>
    </xf>
    <xf numFmtId="3" fontId="22" fillId="0" borderId="147" xfId="0" applyNumberFormat="1" applyFont="1" applyFill="1" applyBorder="1" applyAlignment="1">
      <alignment vertical="center"/>
    </xf>
    <xf numFmtId="3" fontId="22" fillId="0" borderId="148" xfId="0" applyNumberFormat="1" applyFont="1" applyFill="1" applyBorder="1" applyAlignment="1">
      <alignment vertical="center"/>
    </xf>
    <xf numFmtId="165" fontId="1" fillId="0" borderId="0" xfId="5" applyNumberFormat="1" applyFont="1"/>
    <xf numFmtId="0" fontId="28" fillId="0" borderId="149" xfId="0" applyFont="1" applyBorder="1" applyAlignment="1">
      <alignment horizontal="center" vertical="center"/>
    </xf>
    <xf numFmtId="3" fontId="1" fillId="0" borderId="66" xfId="0" applyNumberFormat="1" applyFont="1" applyBorder="1"/>
    <xf numFmtId="3" fontId="5" fillId="0" borderId="150" xfId="0" applyNumberFormat="1" applyFont="1" applyBorder="1"/>
    <xf numFmtId="3" fontId="22" fillId="0" borderId="151" xfId="0" applyNumberFormat="1" applyFont="1" applyFill="1" applyBorder="1" applyAlignment="1">
      <alignment vertical="center"/>
    </xf>
    <xf numFmtId="0" fontId="52" fillId="0" borderId="0" xfId="0" applyNumberFormat="1" applyFont="1" applyAlignment="1"/>
    <xf numFmtId="0" fontId="52" fillId="0" borderId="0" xfId="0" applyFont="1" applyAlignment="1">
      <alignment vertical="center"/>
    </xf>
    <xf numFmtId="0" fontId="52" fillId="0" borderId="0" xfId="0" applyFont="1"/>
    <xf numFmtId="0" fontId="53" fillId="2" borderId="2" xfId="0" applyNumberFormat="1" applyFont="1" applyFill="1" applyBorder="1" applyAlignment="1" applyProtection="1">
      <alignment horizontal="center"/>
    </xf>
    <xf numFmtId="0" fontId="53" fillId="3" borderId="7" xfId="0" applyNumberFormat="1" applyFont="1" applyFill="1" applyBorder="1" applyAlignment="1" applyProtection="1">
      <alignment horizontal="center"/>
    </xf>
    <xf numFmtId="0" fontId="53" fillId="2" borderId="2" xfId="0" applyFont="1" applyFill="1" applyBorder="1" applyAlignment="1" applyProtection="1">
      <alignment horizontal="center" vertical="center"/>
    </xf>
    <xf numFmtId="0" fontId="53" fillId="2" borderId="9" xfId="0" applyNumberFormat="1" applyFont="1" applyFill="1" applyBorder="1" applyAlignment="1" applyProtection="1">
      <alignment horizontal="center" vertical="center"/>
    </xf>
    <xf numFmtId="0" fontId="53" fillId="3" borderId="15" xfId="0" applyNumberFormat="1" applyFont="1" applyFill="1" applyBorder="1" applyAlignment="1" applyProtection="1">
      <alignment horizontal="center"/>
    </xf>
    <xf numFmtId="0" fontId="52" fillId="2" borderId="9" xfId="0" applyFont="1" applyFill="1" applyBorder="1" applyAlignment="1" applyProtection="1">
      <alignment vertical="center"/>
    </xf>
    <xf numFmtId="0" fontId="54" fillId="5" borderId="16" xfId="0" applyNumberFormat="1" applyFont="1" applyFill="1" applyBorder="1" applyAlignment="1"/>
    <xf numFmtId="3" fontId="54" fillId="5" borderId="16" xfId="0" applyNumberFormat="1" applyFont="1" applyFill="1" applyBorder="1" applyAlignment="1">
      <alignment vertical="center"/>
    </xf>
    <xf numFmtId="0" fontId="54" fillId="6" borderId="16" xfId="0" applyNumberFormat="1" applyFont="1" applyFill="1" applyBorder="1" applyAlignment="1"/>
    <xf numFmtId="0" fontId="54" fillId="6" borderId="21" xfId="0" applyNumberFormat="1" applyFont="1" applyFill="1" applyBorder="1" applyAlignment="1"/>
    <xf numFmtId="3" fontId="54" fillId="6" borderId="16" xfId="0" applyNumberFormat="1" applyFont="1" applyFill="1" applyBorder="1" applyAlignment="1">
      <alignment vertical="center"/>
    </xf>
    <xf numFmtId="0" fontId="52" fillId="0" borderId="16" xfId="0" applyNumberFormat="1" applyFont="1" applyBorder="1" applyAlignment="1"/>
    <xf numFmtId="0" fontId="52" fillId="0" borderId="21" xfId="0" applyNumberFormat="1" applyFont="1" applyBorder="1" applyAlignment="1"/>
    <xf numFmtId="3" fontId="52" fillId="0" borderId="16" xfId="0" applyNumberFormat="1" applyFont="1" applyBorder="1" applyAlignment="1">
      <alignment vertical="center"/>
    </xf>
    <xf numFmtId="0" fontId="52" fillId="9" borderId="21" xfId="0" applyNumberFormat="1" applyFont="1" applyFill="1" applyBorder="1" applyAlignment="1"/>
    <xf numFmtId="3" fontId="52" fillId="6" borderId="16" xfId="0" applyNumberFormat="1" applyFont="1" applyFill="1" applyBorder="1" applyAlignment="1">
      <alignment vertical="center"/>
    </xf>
    <xf numFmtId="0" fontId="54" fillId="5" borderId="21" xfId="0" applyNumberFormat="1" applyFont="1" applyFill="1" applyBorder="1" applyAlignment="1"/>
    <xf numFmtId="3" fontId="54" fillId="6" borderId="16" xfId="0" applyNumberFormat="1" applyFont="1" applyFill="1" applyBorder="1" applyAlignment="1"/>
    <xf numFmtId="3" fontId="52" fillId="0" borderId="16" xfId="0" applyNumberFormat="1" applyFont="1" applyBorder="1" applyAlignment="1"/>
    <xf numFmtId="3" fontId="54" fillId="6" borderId="16" xfId="0" applyNumberFormat="1" applyFont="1" applyFill="1" applyBorder="1" applyAlignment="1">
      <alignment horizontal="left" indent="1"/>
    </xf>
    <xf numFmtId="3" fontId="54" fillId="6" borderId="21" xfId="0" applyNumberFormat="1" applyFont="1" applyFill="1" applyBorder="1" applyAlignment="1">
      <alignment horizontal="left" indent="1"/>
    </xf>
    <xf numFmtId="3" fontId="52" fillId="0" borderId="16" xfId="0" applyNumberFormat="1" applyFont="1" applyBorder="1" applyAlignment="1">
      <alignment horizontal="left" indent="2"/>
    </xf>
    <xf numFmtId="3" fontId="52" fillId="0" borderId="21" xfId="0" applyNumberFormat="1" applyFont="1" applyBorder="1" applyAlignment="1">
      <alignment horizontal="left" indent="2"/>
    </xf>
    <xf numFmtId="3" fontId="54" fillId="6" borderId="21" xfId="0" applyNumberFormat="1" applyFont="1" applyFill="1" applyBorder="1" applyAlignment="1"/>
    <xf numFmtId="3" fontId="52" fillId="0" borderId="21" xfId="0" applyNumberFormat="1" applyFont="1" applyBorder="1" applyAlignment="1"/>
    <xf numFmtId="3" fontId="52" fillId="0" borderId="21" xfId="0" applyNumberFormat="1" applyFont="1" applyBorder="1" applyAlignment="1">
      <alignment horizontal="left" indent="3"/>
    </xf>
    <xf numFmtId="3" fontId="54" fillId="0" borderId="16" xfId="0" applyNumberFormat="1" applyFont="1" applyBorder="1" applyAlignment="1"/>
    <xf numFmtId="3" fontId="54" fillId="0" borderId="21" xfId="0" applyNumberFormat="1" applyFont="1" applyBorder="1" applyAlignment="1"/>
    <xf numFmtId="3" fontId="54" fillId="0" borderId="16" xfId="0" applyNumberFormat="1" applyFont="1" applyBorder="1" applyAlignment="1">
      <alignment vertical="center"/>
    </xf>
    <xf numFmtId="3" fontId="54" fillId="0" borderId="16" xfId="0" applyNumberFormat="1" applyFont="1" applyBorder="1" applyAlignment="1">
      <alignment horizontal="left"/>
    </xf>
    <xf numFmtId="3" fontId="54" fillId="5" borderId="16" xfId="0" applyNumberFormat="1" applyFont="1" applyFill="1" applyBorder="1" applyAlignment="1"/>
    <xf numFmtId="3" fontId="54" fillId="5" borderId="21" xfId="0" applyNumberFormat="1" applyFont="1" applyFill="1" applyBorder="1" applyAlignment="1"/>
    <xf numFmtId="0" fontId="54" fillId="0" borderId="61" xfId="0" applyNumberFormat="1" applyFont="1" applyBorder="1" applyAlignment="1">
      <alignment vertical="center"/>
    </xf>
    <xf numFmtId="0" fontId="54" fillId="0" borderId="64" xfId="0" applyFont="1" applyBorder="1" applyAlignment="1">
      <alignment vertical="center"/>
    </xf>
    <xf numFmtId="0" fontId="54" fillId="0" borderId="0" xfId="0" applyFont="1" applyAlignment="1">
      <alignment vertical="center"/>
    </xf>
    <xf numFmtId="3" fontId="52" fillId="0" borderId="0" xfId="0" applyNumberFormat="1" applyFont="1"/>
    <xf numFmtId="0" fontId="54" fillId="0" borderId="0" xfId="0" applyFont="1" applyFill="1"/>
    <xf numFmtId="0" fontId="52" fillId="0" borderId="0" xfId="0" applyFont="1" applyFill="1"/>
    <xf numFmtId="0" fontId="52" fillId="0" borderId="78" xfId="0" applyFont="1" applyBorder="1" applyAlignment="1">
      <alignment horizontal="center" vertical="center" wrapText="1"/>
    </xf>
    <xf numFmtId="3" fontId="52" fillId="0" borderId="77" xfId="0" applyNumberFormat="1" applyFont="1" applyBorder="1"/>
    <xf numFmtId="3" fontId="52" fillId="0" borderId="77" xfId="0" applyNumberFormat="1" applyFont="1" applyFill="1" applyBorder="1"/>
    <xf numFmtId="3" fontId="54" fillId="0" borderId="92" xfId="0" applyNumberFormat="1" applyFont="1" applyBorder="1"/>
    <xf numFmtId="3" fontId="54" fillId="6" borderId="77" xfId="0" applyNumberFormat="1" applyFont="1" applyFill="1" applyBorder="1"/>
    <xf numFmtId="0" fontId="4" fillId="0" borderId="78" xfId="0" applyFont="1" applyBorder="1" applyAlignment="1">
      <alignment horizontal="center" vertical="center" wrapText="1"/>
    </xf>
    <xf numFmtId="3" fontId="22" fillId="6" borderId="77" xfId="0" applyNumberFormat="1" applyFont="1" applyFill="1" applyBorder="1"/>
    <xf numFmtId="3" fontId="4" fillId="0" borderId="77" xfId="0" applyNumberFormat="1" applyFont="1" applyBorder="1"/>
    <xf numFmtId="0" fontId="52" fillId="0" borderId="0" xfId="0" applyFont="1" applyAlignment="1">
      <alignment horizontal="right"/>
    </xf>
    <xf numFmtId="0" fontId="52" fillId="0" borderId="93" xfId="0" applyFont="1" applyBorder="1"/>
    <xf numFmtId="0" fontId="52" fillId="0" borderId="94" xfId="0" applyFont="1" applyBorder="1"/>
    <xf numFmtId="0" fontId="53" fillId="0" borderId="94" xfId="0" applyFont="1" applyBorder="1" applyAlignment="1">
      <alignment horizontal="center" vertical="center"/>
    </xf>
    <xf numFmtId="0" fontId="52" fillId="0" borderId="95" xfId="0" applyFont="1" applyBorder="1"/>
    <xf numFmtId="0" fontId="52" fillId="0" borderId="18" xfId="0" applyFont="1" applyBorder="1"/>
    <xf numFmtId="3" fontId="52" fillId="0" borderId="18" xfId="0" applyNumberFormat="1" applyFont="1" applyBorder="1"/>
    <xf numFmtId="3" fontId="52" fillId="0" borderId="18" xfId="0" applyNumberFormat="1" applyFont="1" applyFill="1" applyBorder="1"/>
    <xf numFmtId="0" fontId="52" fillId="0" borderId="131" xfId="0" applyFont="1" applyBorder="1"/>
    <xf numFmtId="0" fontId="52" fillId="0" borderId="91" xfId="0" applyFont="1" applyBorder="1"/>
    <xf numFmtId="3" fontId="54" fillId="0" borderId="91" xfId="0" applyNumberFormat="1" applyFont="1" applyBorder="1"/>
    <xf numFmtId="0" fontId="54" fillId="0" borderId="93" xfId="0" applyFont="1" applyBorder="1" applyAlignment="1">
      <alignment vertical="top" wrapText="1"/>
    </xf>
    <xf numFmtId="0" fontId="52" fillId="0" borderId="23" xfId="0" applyFont="1" applyBorder="1"/>
    <xf numFmtId="0" fontId="53" fillId="0" borderId="78" xfId="0" applyFont="1" applyBorder="1" applyAlignment="1">
      <alignment horizontal="center" vertical="center"/>
    </xf>
    <xf numFmtId="0" fontId="54" fillId="6" borderId="95" xfId="0" applyFont="1" applyFill="1" applyBorder="1"/>
    <xf numFmtId="0" fontId="52" fillId="0" borderId="0" xfId="0" applyFont="1" applyBorder="1"/>
    <xf numFmtId="0" fontId="52" fillId="0" borderId="95" xfId="0" applyFont="1" applyBorder="1" applyAlignment="1">
      <alignment horizontal="left" indent="1"/>
    </xf>
    <xf numFmtId="0" fontId="52" fillId="0" borderId="131" xfId="0" applyFont="1" applyBorder="1" applyAlignment="1">
      <alignment horizontal="left" indent="1"/>
    </xf>
    <xf numFmtId="0" fontId="52" fillId="0" borderId="134" xfId="0" applyFont="1" applyBorder="1"/>
    <xf numFmtId="3" fontId="52" fillId="0" borderId="92" xfId="0" applyNumberFormat="1" applyFont="1" applyBorder="1"/>
    <xf numFmtId="0" fontId="53" fillId="2" borderId="0" xfId="0" applyNumberFormat="1" applyFont="1" applyFill="1" applyBorder="1" applyAlignment="1" applyProtection="1">
      <alignment horizontal="center"/>
    </xf>
    <xf numFmtId="0" fontId="53" fillId="3" borderId="0" xfId="0" applyNumberFormat="1" applyFont="1" applyFill="1" applyBorder="1" applyAlignment="1" applyProtection="1">
      <alignment horizontal="center"/>
    </xf>
    <xf numFmtId="0" fontId="53" fillId="2" borderId="0" xfId="0" applyFont="1" applyFill="1" applyBorder="1" applyAlignment="1" applyProtection="1">
      <alignment horizontal="center" vertical="center"/>
    </xf>
    <xf numFmtId="0" fontId="52" fillId="2" borderId="0" xfId="0" applyNumberFormat="1" applyFont="1" applyFill="1" applyBorder="1" applyAlignment="1" applyProtection="1">
      <alignment horizontal="center" vertical="center"/>
    </xf>
    <xf numFmtId="0" fontId="53" fillId="2" borderId="0" xfId="0" applyNumberFormat="1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 applyProtection="1">
      <alignment vertical="center"/>
    </xf>
    <xf numFmtId="0" fontId="54" fillId="0" borderId="0" xfId="0" applyNumberFormat="1" applyFont="1" applyFill="1" applyBorder="1" applyAlignment="1"/>
    <xf numFmtId="3" fontId="54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/>
    <xf numFmtId="3" fontId="52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/>
    <xf numFmtId="3" fontId="52" fillId="0" borderId="0" xfId="0" applyNumberFormat="1" applyFont="1" applyFill="1" applyBorder="1" applyAlignment="1">
      <alignment horizontal="left" indent="1"/>
    </xf>
    <xf numFmtId="0" fontId="54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52" fillId="0" borderId="0" xfId="0" applyNumberFormat="1" applyFont="1" applyFill="1"/>
    <xf numFmtId="3" fontId="54" fillId="0" borderId="0" xfId="0" applyNumberFormat="1" applyFont="1" applyFill="1" applyAlignment="1">
      <alignment vertical="center"/>
    </xf>
    <xf numFmtId="3" fontId="30" fillId="0" borderId="17" xfId="0" applyNumberFormat="1" applyFont="1" applyFill="1" applyBorder="1" applyAlignment="1"/>
    <xf numFmtId="0" fontId="1" fillId="0" borderId="52" xfId="0" applyFont="1" applyBorder="1" applyAlignment="1">
      <alignment horizontal="left" indent="3"/>
    </xf>
    <xf numFmtId="0" fontId="1" fillId="0" borderId="53" xfId="0" applyFont="1" applyBorder="1" applyAlignment="1">
      <alignment horizontal="left" indent="3"/>
    </xf>
    <xf numFmtId="3" fontId="1" fillId="0" borderId="53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1" fillId="0" borderId="152" xfId="0" applyNumberFormat="1" applyFont="1" applyBorder="1" applyAlignment="1"/>
    <xf numFmtId="3" fontId="5" fillId="5" borderId="153" xfId="0" applyNumberFormat="1" applyFont="1" applyFill="1" applyBorder="1"/>
    <xf numFmtId="3" fontId="5" fillId="5" borderId="154" xfId="0" applyNumberFormat="1" applyFont="1" applyFill="1" applyBorder="1"/>
    <xf numFmtId="3" fontId="1" fillId="5" borderId="154" xfId="0" applyNumberFormat="1" applyFont="1" applyFill="1" applyBorder="1" applyAlignment="1">
      <alignment vertical="center"/>
    </xf>
    <xf numFmtId="3" fontId="22" fillId="5" borderId="155" xfId="0" applyNumberFormat="1" applyFont="1" applyFill="1" applyBorder="1" applyAlignment="1"/>
    <xf numFmtId="3" fontId="22" fillId="5" borderId="156" xfId="0" applyNumberFormat="1" applyFont="1" applyFill="1" applyBorder="1" applyAlignment="1"/>
    <xf numFmtId="3" fontId="22" fillId="5" borderId="157" xfId="0" applyNumberFormat="1" applyFont="1" applyFill="1" applyBorder="1" applyAlignment="1">
      <alignment vertical="center"/>
    </xf>
    <xf numFmtId="3" fontId="5" fillId="5" borderId="158" xfId="0" applyNumberFormat="1" applyFont="1" applyFill="1" applyBorder="1" applyAlignment="1"/>
    <xf numFmtId="3" fontId="55" fillId="0" borderId="0" xfId="1" applyFont="1"/>
    <xf numFmtId="3" fontId="55" fillId="0" borderId="0" xfId="1" applyFont="1" applyAlignment="1">
      <alignment vertical="center"/>
    </xf>
    <xf numFmtId="0" fontId="3" fillId="2" borderId="3" xfId="0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3" fontId="1" fillId="0" borderId="23" xfId="0" applyNumberFormat="1" applyFont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3" fillId="2" borderId="94" xfId="0" applyFont="1" applyFill="1" applyBorder="1" applyAlignment="1" applyProtection="1">
      <alignment horizontal="center"/>
    </xf>
    <xf numFmtId="0" fontId="0" fillId="0" borderId="94" xfId="0" applyBorder="1" applyAlignment="1"/>
    <xf numFmtId="0" fontId="0" fillId="0" borderId="78" xfId="0" applyBorder="1" applyAlignment="1"/>
    <xf numFmtId="0" fontId="3" fillId="2" borderId="23" xfId="0" applyFont="1" applyFill="1" applyBorder="1" applyAlignment="1" applyProtection="1">
      <alignment horizontal="center"/>
    </xf>
    <xf numFmtId="0" fontId="3" fillId="2" borderId="132" xfId="0" applyFont="1" applyFill="1" applyBorder="1" applyAlignment="1" applyProtection="1">
      <alignment horizontal="center"/>
    </xf>
  </cellXfs>
  <cellStyles count="7">
    <cellStyle name="Normal" xfId="0" builtinId="0"/>
    <cellStyle name="Normal 2" xfId="4"/>
    <cellStyle name="Normal_Classeur1" xfId="1"/>
    <cellStyle name="Normal_PARSEM - Budget 14-07-04" xfId="3"/>
    <cellStyle name="Percent" xfId="5" builtinId="5"/>
    <cellStyle name="Pourcentage 2" xfId="2"/>
    <cellStyle name="Style 1" xfId="6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ub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Z/00.Etudes/01-RD%20Congo/00-Strat&#233;gie/R%20a%20p%20p%20o%20r%20t/Plan%20d'action%2024-11-2015%20H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Z/AppData/Local/Microsoft/Windows/INetCache/Content.Word/Plan%20d'action%20Theme%20qualit&#233;%2017-10-15%20H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wb19058/LOCALS~1/Temp/PARSEM%20-%20Budget%2014-07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Z/00.Etudes/01-RD%20Congo/00-Strat&#233;gie/R%20a%20p%20p%20o%20r%20t/Mod&#232;le%209-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Z/00.Etudes/01-RD%20Congo/00-Strat&#233;gie/R%20a%20p%20p%20o%20r%20t/STATISTIQUES%20PAIE%20OCTOBRE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PA"/>
      <sheetName val="Feuil2"/>
      <sheetName val="Feuil1"/>
      <sheetName val="H"/>
    </sheetNames>
    <sheetDataSet>
      <sheetData sheetId="0">
        <row r="7">
          <cell r="A7">
            <v>1</v>
          </cell>
          <cell r="B7" t="str">
            <v>Assistance technique internationale (consultants)</v>
          </cell>
          <cell r="C7">
            <v>1150</v>
          </cell>
          <cell r="D7" t="str">
            <v>USD</v>
          </cell>
          <cell r="E7" t="str">
            <v>Pers / j</v>
          </cell>
          <cell r="F7" t="str">
            <v>CINT</v>
          </cell>
          <cell r="G7">
            <v>3</v>
          </cell>
        </row>
        <row r="8">
          <cell r="A8">
            <v>2</v>
          </cell>
          <cell r="B8" t="str">
            <v>Assistance technique nationale (consultants)</v>
          </cell>
          <cell r="C8">
            <v>300</v>
          </cell>
          <cell r="D8" t="str">
            <v>USD</v>
          </cell>
          <cell r="E8" t="str">
            <v>Pers / j</v>
          </cell>
          <cell r="F8" t="str">
            <v>CLOC</v>
          </cell>
          <cell r="G8">
            <v>3</v>
          </cell>
        </row>
        <row r="9">
          <cell r="A9">
            <v>3</v>
          </cell>
          <cell r="B9" t="str">
            <v>Assistance technique internationale (bureaux d'études-Instance internationale)</v>
          </cell>
          <cell r="C9">
            <v>1725</v>
          </cell>
          <cell r="D9" t="str">
            <v>USD</v>
          </cell>
          <cell r="E9" t="str">
            <v>Pers / m</v>
          </cell>
          <cell r="F9" t="str">
            <v>BEI</v>
          </cell>
          <cell r="G9">
            <v>2</v>
          </cell>
        </row>
        <row r="10">
          <cell r="A10">
            <v>4</v>
          </cell>
          <cell r="B10" t="str">
            <v>Assistance technique nationale (bureaux d'études)</v>
          </cell>
          <cell r="C10">
            <v>450</v>
          </cell>
          <cell r="D10" t="str">
            <v>USD</v>
          </cell>
          <cell r="E10" t="str">
            <v>Pers / j</v>
          </cell>
          <cell r="F10" t="str">
            <v>BEN</v>
          </cell>
          <cell r="G10">
            <v>2</v>
          </cell>
        </row>
        <row r="11">
          <cell r="A11">
            <v>5</v>
          </cell>
          <cell r="B11" t="str">
            <v>Atelier de validation</v>
          </cell>
          <cell r="C11">
            <v>50</v>
          </cell>
          <cell r="D11" t="str">
            <v>USD</v>
          </cell>
          <cell r="E11" t="str">
            <v>Pers / j</v>
          </cell>
          <cell r="F11" t="str">
            <v>FAL</v>
          </cell>
          <cell r="G11">
            <v>4</v>
          </cell>
        </row>
        <row r="12">
          <cell r="A12">
            <v>6</v>
          </cell>
          <cell r="B12" t="str">
            <v>Édition Rapports</v>
          </cell>
          <cell r="C12">
            <v>10</v>
          </cell>
          <cell r="D12" t="str">
            <v>USD</v>
          </cell>
          <cell r="E12" t="str">
            <v>Forfait</v>
          </cell>
          <cell r="F12" t="str">
            <v>FAL</v>
          </cell>
          <cell r="G12">
            <v>4</v>
          </cell>
        </row>
        <row r="13">
          <cell r="A13">
            <v>7</v>
          </cell>
          <cell r="B13" t="str">
            <v>Séminaire</v>
          </cell>
          <cell r="C13">
            <v>190</v>
          </cell>
          <cell r="D13" t="str">
            <v>USD</v>
          </cell>
          <cell r="E13" t="str">
            <v>Pers / j</v>
          </cell>
          <cell r="F13" t="str">
            <v>FAL</v>
          </cell>
          <cell r="G13">
            <v>4</v>
          </cell>
        </row>
        <row r="14">
          <cell r="A14">
            <v>8</v>
          </cell>
          <cell r="B14" t="str">
            <v>Formation</v>
          </cell>
          <cell r="C14">
            <v>110</v>
          </cell>
          <cell r="D14" t="str">
            <v>USD</v>
          </cell>
          <cell r="E14" t="str">
            <v>Pers / j</v>
          </cell>
          <cell r="F14" t="str">
            <v>FAL</v>
          </cell>
          <cell r="G14">
            <v>4</v>
          </cell>
        </row>
        <row r="15">
          <cell r="A15">
            <v>9</v>
          </cell>
          <cell r="B15" t="str">
            <v>Formation à l'étranger</v>
          </cell>
          <cell r="C15">
            <v>370</v>
          </cell>
          <cell r="D15" t="str">
            <v>USD</v>
          </cell>
          <cell r="E15" t="str">
            <v>Pers / j</v>
          </cell>
          <cell r="F15" t="str">
            <v>FAE</v>
          </cell>
          <cell r="G15">
            <v>4</v>
          </cell>
        </row>
        <row r="16">
          <cell r="A16">
            <v>10</v>
          </cell>
          <cell r="B16" t="str">
            <v>Voyage d'études et autres missions à l'étranger (Jumelage et echange d'expérience)</v>
          </cell>
          <cell r="C16">
            <v>590</v>
          </cell>
          <cell r="D16" t="str">
            <v>USD</v>
          </cell>
          <cell r="E16" t="str">
            <v>Pers / j</v>
          </cell>
          <cell r="F16" t="str">
            <v>FAE</v>
          </cell>
          <cell r="G16">
            <v>4</v>
          </cell>
        </row>
        <row r="17">
          <cell r="A17">
            <v>11</v>
          </cell>
          <cell r="B17" t="str">
            <v>Atelier technique</v>
          </cell>
          <cell r="C17">
            <v>70</v>
          </cell>
          <cell r="D17" t="str">
            <v>USD</v>
          </cell>
          <cell r="E17" t="str">
            <v>Pers / j</v>
          </cell>
          <cell r="F17" t="str">
            <v>FAL</v>
          </cell>
          <cell r="G17">
            <v>4</v>
          </cell>
        </row>
        <row r="18">
          <cell r="A18">
            <v>12</v>
          </cell>
          <cell r="B18" t="str">
            <v>Formation - Action et Formation de formateurs</v>
          </cell>
          <cell r="C18">
            <v>150</v>
          </cell>
          <cell r="D18" t="str">
            <v>USD</v>
          </cell>
          <cell r="E18" t="str">
            <v>Pers / j</v>
          </cell>
          <cell r="F18" t="str">
            <v>FAL</v>
          </cell>
          <cell r="G18">
            <v>4</v>
          </cell>
        </row>
        <row r="19">
          <cell r="A19">
            <v>13</v>
          </cell>
          <cell r="B19" t="str">
            <v>Formation au niveau local</v>
          </cell>
          <cell r="C19">
            <v>15</v>
          </cell>
          <cell r="D19" t="str">
            <v>USD</v>
          </cell>
          <cell r="E19" t="str">
            <v>Pers / j</v>
          </cell>
        </row>
        <row r="20">
          <cell r="A20">
            <v>14</v>
          </cell>
          <cell r="B20" t="str">
            <v>Diffusion des publications sur support numérique (CD/F USB)</v>
          </cell>
          <cell r="C20">
            <v>3</v>
          </cell>
          <cell r="D20" t="str">
            <v>USD</v>
          </cell>
          <cell r="E20" t="str">
            <v>Forfait</v>
          </cell>
          <cell r="F20" t="str">
            <v>EQUA</v>
          </cell>
        </row>
        <row r="21">
          <cell r="A21">
            <v>15</v>
          </cell>
          <cell r="E21" t="str">
            <v>Pers / j</v>
          </cell>
        </row>
        <row r="22">
          <cell r="A22">
            <v>16</v>
          </cell>
          <cell r="E22" t="str">
            <v>Pers / j</v>
          </cell>
        </row>
        <row r="23">
          <cell r="A23">
            <v>17</v>
          </cell>
          <cell r="B23" t="str">
            <v>Construction d'un logement pour enseignant en zone difficile</v>
          </cell>
          <cell r="C23">
            <v>30000</v>
          </cell>
          <cell r="D23" t="str">
            <v>USD</v>
          </cell>
          <cell r="E23" t="str">
            <v>Forfait</v>
          </cell>
          <cell r="F23" t="str">
            <v>BGC</v>
          </cell>
        </row>
        <row r="24">
          <cell r="A24">
            <v>18</v>
          </cell>
          <cell r="B24" t="str">
            <v xml:space="preserve">Réhabilitation et équipement d'un centre d'alpha et rattrapage </v>
          </cell>
          <cell r="C24">
            <v>30000</v>
          </cell>
          <cell r="D24" t="str">
            <v>USD</v>
          </cell>
          <cell r="E24" t="str">
            <v>Forfait</v>
          </cell>
        </row>
        <row r="25">
          <cell r="A25">
            <v>19</v>
          </cell>
          <cell r="B25" t="str">
            <v>Construction et équipement d'un centre d'alpha et rattrapage (4 salles et bureau directeur)</v>
          </cell>
          <cell r="C25">
            <v>60000</v>
          </cell>
          <cell r="D25" t="str">
            <v>USD</v>
          </cell>
          <cell r="E25" t="str">
            <v>Forfait</v>
          </cell>
        </row>
        <row r="26">
          <cell r="A26">
            <v>20</v>
          </cell>
          <cell r="B26" t="str">
            <v>Construction et équipement de salle de classe au préprimaire</v>
          </cell>
          <cell r="C26">
            <v>13000</v>
          </cell>
          <cell r="D26" t="str">
            <v>USD</v>
          </cell>
          <cell r="E26" t="str">
            <v>Unité</v>
          </cell>
          <cell r="F26" t="str">
            <v>BGC</v>
          </cell>
          <cell r="G26">
            <v>1</v>
          </cell>
        </row>
        <row r="27">
          <cell r="A27">
            <v>21</v>
          </cell>
          <cell r="B27" t="str">
            <v>Construction et équipement de salle de classe au primaire</v>
          </cell>
          <cell r="C27">
            <v>13000</v>
          </cell>
          <cell r="D27" t="str">
            <v>USD</v>
          </cell>
          <cell r="E27" t="str">
            <v>Unité</v>
          </cell>
          <cell r="F27" t="str">
            <v>BGC</v>
          </cell>
          <cell r="G27">
            <v>1</v>
          </cell>
        </row>
        <row r="28">
          <cell r="A28">
            <v>22</v>
          </cell>
          <cell r="B28" t="str">
            <v>Construction et équipement de salle de classe au secondaire</v>
          </cell>
          <cell r="C28">
            <v>16250</v>
          </cell>
          <cell r="D28" t="str">
            <v>USD</v>
          </cell>
          <cell r="E28" t="str">
            <v>Unité</v>
          </cell>
          <cell r="F28" t="str">
            <v>BGC</v>
          </cell>
          <cell r="G28">
            <v>1</v>
          </cell>
        </row>
        <row r="29">
          <cell r="A29">
            <v>23</v>
          </cell>
          <cell r="B29" t="str">
            <v>Construction de salle de classe à l'ETFP</v>
          </cell>
          <cell r="C29">
            <v>19500</v>
          </cell>
          <cell r="D29" t="str">
            <v>USD</v>
          </cell>
          <cell r="E29" t="str">
            <v>Unité</v>
          </cell>
          <cell r="F29" t="str">
            <v>BGC</v>
          </cell>
          <cell r="G29">
            <v>1</v>
          </cell>
        </row>
        <row r="30">
          <cell r="A30">
            <v>24</v>
          </cell>
          <cell r="B30" t="str">
            <v>Construction d'une place assise (1m2/ étudiant) à l'enseignement supérieur</v>
          </cell>
          <cell r="C30">
            <v>1000</v>
          </cell>
          <cell r="D30" t="str">
            <v>USD</v>
          </cell>
          <cell r="E30" t="str">
            <v>Unité</v>
          </cell>
          <cell r="F30" t="str">
            <v>BGC</v>
          </cell>
          <cell r="G30">
            <v>1</v>
          </cell>
        </row>
        <row r="31">
          <cell r="A31">
            <v>25</v>
          </cell>
          <cell r="B31" t="str">
            <v>Réhabilitation de salle de classe au primaire</v>
          </cell>
          <cell r="C31">
            <v>7800</v>
          </cell>
          <cell r="D31" t="str">
            <v>USD</v>
          </cell>
          <cell r="E31" t="str">
            <v>Unité</v>
          </cell>
          <cell r="F31" t="str">
            <v>BGC</v>
          </cell>
          <cell r="G31">
            <v>1</v>
          </cell>
        </row>
        <row r="32">
          <cell r="A32">
            <v>26</v>
          </cell>
          <cell r="B32" t="str">
            <v>Réhabilitation de salle de classe au primaire ( local ESU)</v>
          </cell>
          <cell r="C32">
            <v>7800</v>
          </cell>
          <cell r="D32" t="str">
            <v>USD</v>
          </cell>
          <cell r="E32" t="str">
            <v>Unité</v>
          </cell>
          <cell r="F32" t="str">
            <v>BGC</v>
          </cell>
          <cell r="G32">
            <v>1</v>
          </cell>
        </row>
        <row r="33">
          <cell r="A33">
            <v>27</v>
          </cell>
          <cell r="B33" t="str">
            <v>Réhabilitation de salle de classe au secondaire</v>
          </cell>
          <cell r="C33">
            <v>9750</v>
          </cell>
          <cell r="D33" t="str">
            <v>USD</v>
          </cell>
          <cell r="E33" t="str">
            <v>Unité</v>
          </cell>
          <cell r="F33" t="str">
            <v>BGC</v>
          </cell>
          <cell r="G33">
            <v>1</v>
          </cell>
        </row>
        <row r="34">
          <cell r="A34">
            <v>28</v>
          </cell>
          <cell r="B34" t="str">
            <v>Réhabilitation de salle de classe à l'ETFP</v>
          </cell>
          <cell r="C34">
            <v>11700</v>
          </cell>
          <cell r="D34" t="str">
            <v>USD</v>
          </cell>
          <cell r="E34" t="str">
            <v>Unité</v>
          </cell>
          <cell r="F34" t="str">
            <v>BGC</v>
          </cell>
          <cell r="G34">
            <v>1</v>
          </cell>
        </row>
        <row r="35">
          <cell r="A35">
            <v>29</v>
          </cell>
          <cell r="B35" t="str">
            <v xml:space="preserve">Réhabilitation d'une place assise (1 m2/étudiant) à l'enseignement supérieur </v>
          </cell>
          <cell r="C35">
            <v>600</v>
          </cell>
          <cell r="D35" t="str">
            <v>USD</v>
          </cell>
          <cell r="E35" t="str">
            <v>Unité</v>
          </cell>
          <cell r="F35" t="str">
            <v>BGC</v>
          </cell>
          <cell r="G35">
            <v>1</v>
          </cell>
        </row>
        <row r="36">
          <cell r="A36">
            <v>30</v>
          </cell>
          <cell r="B36" t="str">
            <v xml:space="preserve">Construction de sanitaires séparés </v>
          </cell>
          <cell r="C36">
            <v>2000</v>
          </cell>
          <cell r="D36" t="str">
            <v>USD</v>
          </cell>
          <cell r="E36" t="str">
            <v>Unité</v>
          </cell>
          <cell r="F36" t="str">
            <v>BGC</v>
          </cell>
          <cell r="G36">
            <v>1</v>
          </cell>
        </row>
        <row r="37">
          <cell r="A37">
            <v>31</v>
          </cell>
          <cell r="B37" t="str">
            <v>Construction et équipement amphithéâtre 300 places</v>
          </cell>
          <cell r="C37">
            <v>150000</v>
          </cell>
          <cell r="D37" t="str">
            <v>USD</v>
          </cell>
          <cell r="E37" t="str">
            <v>Forfait</v>
          </cell>
        </row>
        <row r="38">
          <cell r="A38">
            <v>32</v>
          </cell>
          <cell r="B38" t="str">
            <v>Construction et équipement salle pour le supérieur 100 places</v>
          </cell>
          <cell r="C38">
            <v>50000</v>
          </cell>
          <cell r="D38" t="str">
            <v>USD</v>
          </cell>
          <cell r="E38" t="str">
            <v>Forfait</v>
          </cell>
        </row>
        <row r="39">
          <cell r="A39">
            <v>33</v>
          </cell>
          <cell r="B39" t="str">
            <v>Réhabilitation des laboratoires et atelier</v>
          </cell>
          <cell r="C39">
            <v>50000</v>
          </cell>
          <cell r="D39" t="str">
            <v>USD</v>
          </cell>
          <cell r="E39" t="str">
            <v>Forfait</v>
          </cell>
        </row>
        <row r="40">
          <cell r="A40">
            <v>34</v>
          </cell>
          <cell r="B40" t="str">
            <v>Construction d'un centre de ressource ETFP équipé</v>
          </cell>
          <cell r="C40">
            <v>400000</v>
          </cell>
          <cell r="D40" t="str">
            <v>USD</v>
          </cell>
          <cell r="E40" t="str">
            <v>Forfait</v>
          </cell>
        </row>
        <row r="41">
          <cell r="A41">
            <v>35</v>
          </cell>
          <cell r="B41" t="str">
            <v>Construction centre d'application ETFP équipé</v>
          </cell>
          <cell r="C41">
            <v>400000</v>
          </cell>
          <cell r="D41" t="str">
            <v>USD</v>
          </cell>
          <cell r="E41" t="str">
            <v>Forfait</v>
          </cell>
        </row>
        <row r="42">
          <cell r="A42">
            <v>36</v>
          </cell>
          <cell r="B42" t="str">
            <v>Réhabilitation de salle de classe (primaire et secondaire)/conflit et/ou catastrophe naturelle</v>
          </cell>
          <cell r="C42">
            <v>8775</v>
          </cell>
          <cell r="D42" t="str">
            <v>USD</v>
          </cell>
          <cell r="E42" t="str">
            <v>Forfait</v>
          </cell>
        </row>
        <row r="43">
          <cell r="A43">
            <v>37</v>
          </cell>
          <cell r="B43" t="str">
            <v>Équipement de bibliothèque</v>
          </cell>
          <cell r="C43">
            <v>500</v>
          </cell>
          <cell r="D43" t="str">
            <v>USD</v>
          </cell>
          <cell r="E43" t="str">
            <v>Unité</v>
          </cell>
        </row>
        <row r="44">
          <cell r="A44">
            <v>38</v>
          </cell>
          <cell r="B44" t="str">
            <v>Équipement de filière technique</v>
          </cell>
          <cell r="C44">
            <v>10000</v>
          </cell>
          <cell r="D44" t="str">
            <v>USD</v>
          </cell>
          <cell r="E44" t="str">
            <v>Forfait/Ecole</v>
          </cell>
        </row>
        <row r="45">
          <cell r="A45">
            <v>39</v>
          </cell>
          <cell r="B45" t="str">
            <v>Installation d'infrastructures temporaires d'apprentissage (1 école de 6 classes)</v>
          </cell>
          <cell r="C45">
            <v>600</v>
          </cell>
          <cell r="D45" t="str">
            <v>USD</v>
          </cell>
          <cell r="E45" t="str">
            <v>Forfait</v>
          </cell>
        </row>
        <row r="46">
          <cell r="A46">
            <v>40</v>
          </cell>
          <cell r="B46" t="str">
            <v>Achat Voiture et ou Jeep (4x4)</v>
          </cell>
          <cell r="C46">
            <v>30000</v>
          </cell>
          <cell r="D46" t="str">
            <v>USD</v>
          </cell>
          <cell r="E46" t="str">
            <v>Unité</v>
          </cell>
          <cell r="F46" t="str">
            <v>EQUA</v>
          </cell>
          <cell r="G46">
            <v>2</v>
          </cell>
        </row>
        <row r="47">
          <cell r="A47">
            <v>41</v>
          </cell>
          <cell r="B47" t="str">
            <v>Achat de Moto</v>
          </cell>
          <cell r="C47">
            <v>3000</v>
          </cell>
          <cell r="D47" t="str">
            <v>USD</v>
          </cell>
          <cell r="E47" t="str">
            <v>Unité</v>
          </cell>
          <cell r="F47" t="str">
            <v>EQUA</v>
          </cell>
          <cell r="G47">
            <v>2</v>
          </cell>
        </row>
        <row r="48">
          <cell r="A48">
            <v>42</v>
          </cell>
          <cell r="B48" t="str">
            <v>Bicyclette</v>
          </cell>
          <cell r="C48">
            <v>150</v>
          </cell>
          <cell r="D48" t="str">
            <v>USD</v>
          </cell>
          <cell r="E48" t="str">
            <v>Unité</v>
          </cell>
          <cell r="F48" t="str">
            <v>EQUA</v>
          </cell>
          <cell r="G48">
            <v>2</v>
          </cell>
        </row>
        <row r="49">
          <cell r="A49">
            <v>43</v>
          </cell>
          <cell r="B49" t="str">
            <v>Pirogues Motorisées</v>
          </cell>
          <cell r="C49">
            <v>1500</v>
          </cell>
          <cell r="D49" t="str">
            <v>USD</v>
          </cell>
          <cell r="E49" t="str">
            <v>Unité</v>
          </cell>
          <cell r="F49" t="str">
            <v>EQUA</v>
          </cell>
          <cell r="G49">
            <v>2</v>
          </cell>
        </row>
        <row r="50">
          <cell r="A50">
            <v>44</v>
          </cell>
          <cell r="B50" t="str">
            <v>Équipement de bureau</v>
          </cell>
          <cell r="C50">
            <v>2000</v>
          </cell>
          <cell r="D50" t="str">
            <v>USD</v>
          </cell>
          <cell r="E50" t="str">
            <v>Forfait</v>
          </cell>
          <cell r="F50" t="str">
            <v>EQUA</v>
          </cell>
          <cell r="G50">
            <v>2</v>
          </cell>
        </row>
        <row r="51">
          <cell r="A51">
            <v>45</v>
          </cell>
          <cell r="B51" t="str">
            <v>Équipement informatique (lot PC, logiciel,  imprimante, photocopieuse, scanner)</v>
          </cell>
          <cell r="C51">
            <v>1500</v>
          </cell>
          <cell r="D51" t="str">
            <v>USD</v>
          </cell>
          <cell r="E51" t="str">
            <v>Forfait</v>
          </cell>
          <cell r="F51" t="str">
            <v>EQUA</v>
          </cell>
          <cell r="G51">
            <v>2</v>
          </cell>
        </row>
        <row r="52">
          <cell r="A52">
            <v>46</v>
          </cell>
          <cell r="B52" t="str">
            <v>Équipement de laboratoire 1</v>
          </cell>
          <cell r="C52">
            <v>10000</v>
          </cell>
          <cell r="D52" t="str">
            <v>USD</v>
          </cell>
          <cell r="E52" t="str">
            <v>Forfait</v>
          </cell>
          <cell r="F52" t="str">
            <v>EQUA</v>
          </cell>
          <cell r="G52">
            <v>2</v>
          </cell>
        </row>
        <row r="53">
          <cell r="A53">
            <v>47</v>
          </cell>
          <cell r="B53" t="str">
            <v>Équipement de laboratoire 2</v>
          </cell>
          <cell r="C53">
            <v>5000</v>
          </cell>
          <cell r="D53" t="str">
            <v>USD</v>
          </cell>
          <cell r="E53" t="str">
            <v>Forfait</v>
          </cell>
          <cell r="F53" t="str">
            <v>EQUA</v>
          </cell>
          <cell r="G53">
            <v>2</v>
          </cell>
        </row>
        <row r="54">
          <cell r="A54">
            <v>48</v>
          </cell>
          <cell r="B54" t="str">
            <v>Équipement de laboratoire et atelier (supérieur)</v>
          </cell>
          <cell r="C54">
            <v>100000</v>
          </cell>
          <cell r="D54" t="str">
            <v>USD</v>
          </cell>
          <cell r="E54" t="str">
            <v>Forfait</v>
          </cell>
          <cell r="F54" t="str">
            <v>EQUA</v>
          </cell>
          <cell r="G54">
            <v>2</v>
          </cell>
        </row>
        <row r="55">
          <cell r="A55">
            <v>49</v>
          </cell>
          <cell r="B55" t="str">
            <v>Equipement d'un établissement du secondaire spécialisé</v>
          </cell>
          <cell r="C55">
            <v>400000</v>
          </cell>
          <cell r="D55" t="str">
            <v>USD</v>
          </cell>
          <cell r="E55" t="str">
            <v>Forfait</v>
          </cell>
        </row>
        <row r="56">
          <cell r="A56">
            <v>50</v>
          </cell>
          <cell r="B56" t="str">
            <v>Table banc/Table (ETFP)</v>
          </cell>
          <cell r="C56">
            <v>100</v>
          </cell>
          <cell r="D56" t="str">
            <v>USD</v>
          </cell>
          <cell r="E56" t="str">
            <v>Unité</v>
          </cell>
        </row>
        <row r="57">
          <cell r="A57">
            <v>51</v>
          </cell>
          <cell r="B57" t="str">
            <v>Kit d'équipements sportifs</v>
          </cell>
          <cell r="C57">
            <v>100</v>
          </cell>
          <cell r="D57" t="str">
            <v>USD</v>
          </cell>
          <cell r="E57" t="str">
            <v>Forfait</v>
          </cell>
        </row>
        <row r="58">
          <cell r="A58">
            <v>52</v>
          </cell>
          <cell r="B58" t="str">
            <v>Construction du CNIF</v>
          </cell>
          <cell r="C58">
            <v>1860000</v>
          </cell>
          <cell r="D58" t="str">
            <v>USD</v>
          </cell>
          <cell r="E58" t="str">
            <v>Forfait</v>
          </cell>
        </row>
        <row r="59">
          <cell r="A59">
            <v>53</v>
          </cell>
          <cell r="B59" t="str">
            <v>Équipement du CNIF</v>
          </cell>
          <cell r="C59">
            <v>930000</v>
          </cell>
          <cell r="D59" t="str">
            <v>USD</v>
          </cell>
          <cell r="E59" t="str">
            <v>Forfait</v>
          </cell>
        </row>
        <row r="60">
          <cell r="A60">
            <v>54</v>
          </cell>
          <cell r="B60" t="str">
            <v>Armoire de stockage</v>
          </cell>
          <cell r="C60">
            <v>200</v>
          </cell>
          <cell r="D60" t="str">
            <v>USD</v>
          </cell>
          <cell r="E60" t="str">
            <v>Unité</v>
          </cell>
        </row>
        <row r="61">
          <cell r="A61">
            <v>55</v>
          </cell>
          <cell r="B61" t="str">
            <v>Ordinateur portable</v>
          </cell>
          <cell r="C61">
            <v>1000</v>
          </cell>
          <cell r="D61" t="str">
            <v>USD</v>
          </cell>
          <cell r="E61" t="str">
            <v>Unité</v>
          </cell>
        </row>
        <row r="62">
          <cell r="A62">
            <v>56</v>
          </cell>
          <cell r="B62" t="str">
            <v>Energie Solaire (voltaique)</v>
          </cell>
          <cell r="C62">
            <v>2000</v>
          </cell>
          <cell r="D62" t="str">
            <v>USD</v>
          </cell>
          <cell r="E62" t="str">
            <v>Forfait</v>
          </cell>
        </row>
        <row r="63">
          <cell r="A63">
            <v>57</v>
          </cell>
          <cell r="B63" t="str">
            <v>Lot de matériel pédagogique pour centre d'acceuil</v>
          </cell>
          <cell r="C63">
            <v>500</v>
          </cell>
          <cell r="D63" t="str">
            <v>USD</v>
          </cell>
          <cell r="E63" t="str">
            <v>Forfait/Centre</v>
          </cell>
          <cell r="G63">
            <v>1</v>
          </cell>
        </row>
        <row r="64">
          <cell r="A64">
            <v>58</v>
          </cell>
          <cell r="B64" t="str">
            <v>Acquisition et distribution des manuels scolaires</v>
          </cell>
          <cell r="C64">
            <v>3</v>
          </cell>
          <cell r="D64" t="str">
            <v>USD</v>
          </cell>
          <cell r="E64" t="str">
            <v>Unité</v>
          </cell>
          <cell r="G64">
            <v>1</v>
          </cell>
        </row>
        <row r="65">
          <cell r="A65">
            <v>59</v>
          </cell>
          <cell r="B65" t="str">
            <v>Acquisition et distribution de plaquettes/brochures/guides/livres</v>
          </cell>
          <cell r="C65">
            <v>2</v>
          </cell>
          <cell r="D65" t="str">
            <v>USD</v>
          </cell>
          <cell r="E65" t="str">
            <v>Unité</v>
          </cell>
          <cell r="G65">
            <v>1</v>
          </cell>
        </row>
        <row r="66">
          <cell r="A66">
            <v>60</v>
          </cell>
          <cell r="B66" t="str">
            <v>Numérisation de modules de formation (PROSEB)</v>
          </cell>
          <cell r="C66">
            <v>40000</v>
          </cell>
          <cell r="D66" t="str">
            <v>USD</v>
          </cell>
          <cell r="E66" t="str">
            <v>Forfait</v>
          </cell>
        </row>
        <row r="67">
          <cell r="A67">
            <v>61</v>
          </cell>
          <cell r="B67" t="str">
            <v>Numérisation de modules de formation</v>
          </cell>
          <cell r="C67">
            <v>5000</v>
          </cell>
          <cell r="D67" t="str">
            <v>USD</v>
          </cell>
          <cell r="E67" t="str">
            <v>Forfait</v>
          </cell>
        </row>
        <row r="68">
          <cell r="A68">
            <v>62</v>
          </cell>
          <cell r="B68" t="str">
            <v>Dotation à la création de CRESD</v>
          </cell>
          <cell r="C68">
            <v>5000</v>
          </cell>
          <cell r="D68" t="str">
            <v>USD</v>
          </cell>
          <cell r="E68" t="str">
            <v>Forfait</v>
          </cell>
        </row>
        <row r="69">
          <cell r="A69">
            <v>63</v>
          </cell>
          <cell r="B69" t="str">
            <v>Réhabilitation d'un EES</v>
          </cell>
          <cell r="C69">
            <v>80000</v>
          </cell>
          <cell r="D69" t="str">
            <v>USD</v>
          </cell>
          <cell r="E69" t="str">
            <v>Forfait</v>
          </cell>
        </row>
        <row r="70">
          <cell r="A70">
            <v>64</v>
          </cell>
          <cell r="B70" t="str">
            <v>Construction d'un EES (Art et métiers)</v>
          </cell>
          <cell r="C70">
            <v>300000</v>
          </cell>
          <cell r="D70" t="str">
            <v>USD</v>
          </cell>
          <cell r="E70" t="str">
            <v>Forfait</v>
          </cell>
        </row>
        <row r="71">
          <cell r="A71">
            <v>65</v>
          </cell>
          <cell r="B71" t="str">
            <v>Équipement d'un EES (Art et métiers)</v>
          </cell>
          <cell r="C71">
            <v>150000</v>
          </cell>
          <cell r="D71" t="str">
            <v>USD</v>
          </cell>
          <cell r="E71" t="str">
            <v>Forfait</v>
          </cell>
        </row>
        <row r="72">
          <cell r="A72">
            <v>66</v>
          </cell>
          <cell r="B72" t="str">
            <v>Equipement établissement transformé pour l'ETFP</v>
          </cell>
          <cell r="C72">
            <v>100000</v>
          </cell>
          <cell r="D72" t="str">
            <v>USD</v>
          </cell>
          <cell r="E72" t="str">
            <v>Forfait</v>
          </cell>
        </row>
        <row r="73">
          <cell r="A73">
            <v>67</v>
          </cell>
          <cell r="B73" t="str">
            <v>Connexions internet</v>
          </cell>
          <cell r="C73">
            <v>1400</v>
          </cell>
          <cell r="D73" t="str">
            <v>USD</v>
          </cell>
          <cell r="E73" t="str">
            <v>Budget/an</v>
          </cell>
        </row>
        <row r="74">
          <cell r="A74">
            <v>68</v>
          </cell>
          <cell r="B74" t="str">
            <v>Aménagement des locaux pour la CIEAS</v>
          </cell>
          <cell r="C74">
            <v>36000</v>
          </cell>
          <cell r="D74" t="str">
            <v>USD</v>
          </cell>
          <cell r="E74" t="str">
            <v>Forfait</v>
          </cell>
        </row>
        <row r="75">
          <cell r="A75">
            <v>69</v>
          </cell>
          <cell r="B75" t="str">
            <v>Lot d'équipement de la CIEAS</v>
          </cell>
          <cell r="C75">
            <v>120000</v>
          </cell>
          <cell r="D75" t="str">
            <v>USD</v>
          </cell>
          <cell r="E75" t="str">
            <v>Forfait</v>
          </cell>
        </row>
        <row r="76">
          <cell r="A76">
            <v>70</v>
          </cell>
          <cell r="B76" t="str">
            <v>Equipement d'un établissement supérieur en matériel didactique, atelier</v>
          </cell>
          <cell r="C76">
            <v>100000</v>
          </cell>
          <cell r="D76" t="str">
            <v>USD</v>
          </cell>
          <cell r="E76" t="str">
            <v>Budget/an</v>
          </cell>
        </row>
        <row r="77">
          <cell r="A77">
            <v>71</v>
          </cell>
          <cell r="B77" t="str">
            <v>Equipement scolaire pour structure temporaire d'apprentissage (pour une école de 6 classes)</v>
          </cell>
          <cell r="C77">
            <v>3500</v>
          </cell>
          <cell r="D77" t="str">
            <v>USD</v>
          </cell>
          <cell r="E77" t="str">
            <v>Budget/an</v>
          </cell>
        </row>
        <row r="78">
          <cell r="A78">
            <v>72</v>
          </cell>
          <cell r="B78" t="str">
            <v>Lot d'équipement informatique pour GISE</v>
          </cell>
          <cell r="C78">
            <v>2000</v>
          </cell>
          <cell r="D78" t="str">
            <v>USD</v>
          </cell>
          <cell r="E78" t="str">
            <v>Forfait</v>
          </cell>
        </row>
        <row r="79">
          <cell r="A79">
            <v>73</v>
          </cell>
          <cell r="B79" t="str">
            <v>Enveloppe de réhabilitation/Equipement pour Formation initiale d'enseignants</v>
          </cell>
          <cell r="C79">
            <v>80000</v>
          </cell>
          <cell r="D79" t="str">
            <v>USD</v>
          </cell>
          <cell r="E79" t="str">
            <v>Forfait/école</v>
          </cell>
        </row>
        <row r="80">
          <cell r="A80">
            <v>74</v>
          </cell>
          <cell r="B80" t="str">
            <v>Construction et équipement d'une école normale pilote</v>
          </cell>
          <cell r="C80">
            <v>600000</v>
          </cell>
          <cell r="D80" t="str">
            <v>USD</v>
          </cell>
          <cell r="E80" t="str">
            <v>Forfait/école</v>
          </cell>
        </row>
        <row r="81">
          <cell r="A81">
            <v>75</v>
          </cell>
          <cell r="B81" t="str">
            <v>Construction de latrines (bloc de 2 cabines)</v>
          </cell>
          <cell r="C81">
            <v>1500</v>
          </cell>
          <cell r="D81" t="str">
            <v>USD</v>
          </cell>
          <cell r="E81" t="str">
            <v>Forfait/école</v>
          </cell>
        </row>
        <row r="82">
          <cell r="A82">
            <v>76</v>
          </cell>
          <cell r="B82" t="str">
            <v>Installation de point d'eau</v>
          </cell>
          <cell r="C82">
            <v>1000</v>
          </cell>
          <cell r="D82" t="str">
            <v>USD</v>
          </cell>
          <cell r="E82" t="str">
            <v>Forfait/école</v>
          </cell>
        </row>
        <row r="83">
          <cell r="A83">
            <v>77</v>
          </cell>
          <cell r="B83" t="str">
            <v>Installation électrique</v>
          </cell>
          <cell r="C83">
            <v>1000</v>
          </cell>
          <cell r="D83" t="str">
            <v>USD</v>
          </cell>
          <cell r="E83" t="str">
            <v>Forfait/école</v>
          </cell>
        </row>
        <row r="84">
          <cell r="A84">
            <v>78</v>
          </cell>
          <cell r="B84" t="str">
            <v>Construction de clôture légère</v>
          </cell>
          <cell r="C84">
            <v>1500</v>
          </cell>
          <cell r="D84" t="str">
            <v>USD</v>
          </cell>
          <cell r="E84" t="str">
            <v>Forfait/école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  <cell r="B87" t="str">
            <v>Production et diffusion de spots / sketchs audios</v>
          </cell>
          <cell r="C87">
            <v>350</v>
          </cell>
          <cell r="D87" t="str">
            <v>USD</v>
          </cell>
          <cell r="E87" t="str">
            <v>Unité</v>
          </cell>
          <cell r="F87" t="str">
            <v>EQUA</v>
          </cell>
          <cell r="G87">
            <v>2</v>
          </cell>
        </row>
        <row r="88">
          <cell r="A88">
            <v>82</v>
          </cell>
          <cell r="B88" t="str">
            <v>Support publicitaire : panneaux</v>
          </cell>
          <cell r="C88">
            <v>2400</v>
          </cell>
          <cell r="D88" t="str">
            <v>USD</v>
          </cell>
          <cell r="E88" t="str">
            <v>Unité/mois</v>
          </cell>
          <cell r="F88" t="str">
            <v>EQUA</v>
          </cell>
          <cell r="G88">
            <v>2</v>
          </cell>
        </row>
        <row r="89">
          <cell r="A89">
            <v>83</v>
          </cell>
          <cell r="B89" t="str">
            <v>Support publicitaire : affiches</v>
          </cell>
          <cell r="C89">
            <v>25</v>
          </cell>
          <cell r="D89" t="str">
            <v>USD</v>
          </cell>
          <cell r="E89" t="str">
            <v>Unité</v>
          </cell>
          <cell r="F89" t="str">
            <v>EQUA</v>
          </cell>
          <cell r="G89">
            <v>2</v>
          </cell>
        </row>
        <row r="90">
          <cell r="A90">
            <v>84</v>
          </cell>
          <cell r="B90" t="str">
            <v>Campagne de sensibilisation</v>
          </cell>
          <cell r="C90">
            <v>1750</v>
          </cell>
          <cell r="D90" t="str">
            <v>USD</v>
          </cell>
          <cell r="E90" t="str">
            <v>Unité</v>
          </cell>
          <cell r="F90" t="str">
            <v>EQUA</v>
          </cell>
          <cell r="G90">
            <v>2</v>
          </cell>
        </row>
        <row r="91">
          <cell r="A91">
            <v>85</v>
          </cell>
          <cell r="B91" t="str">
            <v>Production d'un spot et d'un sketch vidéo</v>
          </cell>
          <cell r="C91">
            <v>8800</v>
          </cell>
          <cell r="D91" t="str">
            <v>USD</v>
          </cell>
          <cell r="E91" t="str">
            <v>Unité</v>
          </cell>
        </row>
        <row r="92">
          <cell r="A92">
            <v>86</v>
          </cell>
          <cell r="B92" t="str">
            <v>Diffusion de spots / sketchs video</v>
          </cell>
          <cell r="C92">
            <v>500</v>
          </cell>
          <cell r="D92" t="str">
            <v>USD</v>
          </cell>
          <cell r="E92" t="str">
            <v>Unité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  <cell r="B96" t="str">
            <v>Réhabilitation/Construction de salles de classe préparatoire</v>
          </cell>
          <cell r="C96">
            <v>5000</v>
          </cell>
          <cell r="D96" t="str">
            <v>USD</v>
          </cell>
          <cell r="E96" t="str">
            <v>Forfait</v>
          </cell>
        </row>
        <row r="97">
          <cell r="A97">
            <v>91</v>
          </cell>
          <cell r="B97" t="str">
            <v>Fonctionnement d'une classe prépatoire (phase pilote)</v>
          </cell>
          <cell r="C97">
            <v>2000</v>
          </cell>
          <cell r="D97" t="str">
            <v>USD</v>
          </cell>
          <cell r="E97" t="str">
            <v>Forfait</v>
          </cell>
          <cell r="F97" t="str">
            <v>EQUA</v>
          </cell>
          <cell r="G97">
            <v>2</v>
          </cell>
        </row>
        <row r="98">
          <cell r="A98">
            <v>92</v>
          </cell>
          <cell r="B98" t="str">
            <v>Fonctionnement d'une classe prépatoire (phase de généralisation)</v>
          </cell>
          <cell r="C98">
            <v>1000</v>
          </cell>
          <cell r="D98" t="str">
            <v>USD</v>
          </cell>
          <cell r="E98" t="str">
            <v>Forfait</v>
          </cell>
          <cell r="F98" t="str">
            <v>EQUA</v>
          </cell>
          <cell r="G98">
            <v>2</v>
          </cell>
        </row>
        <row r="99">
          <cell r="A99">
            <v>93</v>
          </cell>
          <cell r="B99" t="str">
            <v>Fonctionnement point focal Genre</v>
          </cell>
          <cell r="C99">
            <v>300</v>
          </cell>
          <cell r="D99" t="str">
            <v>USD</v>
          </cell>
          <cell r="E99" t="str">
            <v>Forfait annuel</v>
          </cell>
        </row>
        <row r="100">
          <cell r="A100">
            <v>94</v>
          </cell>
          <cell r="B100" t="str">
            <v>Bonification pour exercice dans des zones isolées</v>
          </cell>
          <cell r="C100">
            <v>400</v>
          </cell>
          <cell r="D100" t="str">
            <v>USD</v>
          </cell>
          <cell r="E100" t="str">
            <v>Forfait annuel</v>
          </cell>
        </row>
        <row r="101">
          <cell r="A101">
            <v>95</v>
          </cell>
          <cell r="B101" t="str">
            <v>Bourse d'études pour les filles à l'ETFP</v>
          </cell>
          <cell r="C101">
            <v>360</v>
          </cell>
          <cell r="D101" t="str">
            <v>USD</v>
          </cell>
          <cell r="E101" t="str">
            <v>Forfait annuel</v>
          </cell>
        </row>
        <row r="102">
          <cell r="A102">
            <v>96</v>
          </cell>
          <cell r="B102" t="str">
            <v>Bourse d'études pour les filles dans les filière d'ingénieurs</v>
          </cell>
          <cell r="C102">
            <v>600</v>
          </cell>
          <cell r="D102" t="str">
            <v>USD</v>
          </cell>
          <cell r="E102" t="str">
            <v>Forfait annuel</v>
          </cell>
        </row>
        <row r="103">
          <cell r="A103">
            <v>97</v>
          </cell>
          <cell r="B103" t="str">
            <v>Bourse d'études pour les enseignants en formation</v>
          </cell>
          <cell r="C103">
            <v>500</v>
          </cell>
          <cell r="D103" t="str">
            <v>USD</v>
          </cell>
          <cell r="E103" t="str">
            <v>Forfait annuel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  <cell r="B107" t="str">
            <v>Enveloppe pour réhabilitation et équipement des CAQ</v>
          </cell>
          <cell r="C107">
            <v>5000</v>
          </cell>
          <cell r="D107" t="str">
            <v>USD</v>
          </cell>
          <cell r="E107" t="str">
            <v>Forfait</v>
          </cell>
        </row>
        <row r="108">
          <cell r="A108">
            <v>102</v>
          </cell>
          <cell r="B108" t="str">
            <v>Enveloppe d'installation et équipement de l'ANIAQ</v>
          </cell>
          <cell r="C108">
            <v>100000</v>
          </cell>
          <cell r="D108" t="str">
            <v>USD</v>
          </cell>
          <cell r="E108" t="str">
            <v>Forfait</v>
          </cell>
        </row>
        <row r="109">
          <cell r="A109">
            <v>103</v>
          </cell>
          <cell r="B109" t="str">
            <v>Enveloppe de fonctionnement de l'ANIAQ</v>
          </cell>
          <cell r="C109">
            <v>1800000</v>
          </cell>
          <cell r="D109" t="str">
            <v>USD</v>
          </cell>
          <cell r="E109" t="str">
            <v>Forfait</v>
          </cell>
        </row>
        <row r="110">
          <cell r="A110">
            <v>104</v>
          </cell>
          <cell r="B110" t="str">
            <v>Enveloppe pour mobilité des enseignants et chercheurs</v>
          </cell>
          <cell r="C110">
            <v>500000</v>
          </cell>
          <cell r="D110" t="str">
            <v>USD</v>
          </cell>
          <cell r="E110" t="str">
            <v>Forfait</v>
          </cell>
        </row>
        <row r="111">
          <cell r="A111">
            <v>105</v>
          </cell>
          <cell r="B111" t="str">
            <v>Enveloppe pour réhabilitation et équipement de la CPE</v>
          </cell>
          <cell r="C111">
            <v>10000</v>
          </cell>
          <cell r="D111" t="str">
            <v>USD</v>
          </cell>
          <cell r="E111" t="str">
            <v>Forfait</v>
          </cell>
        </row>
        <row r="112">
          <cell r="A112">
            <v>106</v>
          </cell>
          <cell r="B112" t="str">
            <v>Budget de fonctionnement de la CPE</v>
          </cell>
          <cell r="C112">
            <v>240000</v>
          </cell>
          <cell r="D112" t="str">
            <v>USD</v>
          </cell>
          <cell r="E112" t="str">
            <v>Forfait</v>
          </cell>
        </row>
        <row r="113">
          <cell r="A113">
            <v>107</v>
          </cell>
          <cell r="B113" t="str">
            <v>Enveloppe pour équipement du Plan Numérique</v>
          </cell>
          <cell r="C113">
            <v>400000</v>
          </cell>
          <cell r="D113" t="str">
            <v>USD</v>
          </cell>
          <cell r="E113" t="str">
            <v>Forfait/ESS</v>
          </cell>
        </row>
        <row r="114">
          <cell r="A114">
            <v>108</v>
          </cell>
          <cell r="B114" t="str">
            <v>Enveloppe pour installation et équipement du CUI</v>
          </cell>
          <cell r="C114">
            <v>100000</v>
          </cell>
          <cell r="D114" t="str">
            <v>USD</v>
          </cell>
          <cell r="E114" t="str">
            <v>Forfait</v>
          </cell>
        </row>
        <row r="115">
          <cell r="A115">
            <v>109</v>
          </cell>
          <cell r="B115" t="str">
            <v>Budget de fonctionnement du CUI</v>
          </cell>
          <cell r="C115">
            <v>120000</v>
          </cell>
          <cell r="D115" t="str">
            <v>USD</v>
          </cell>
          <cell r="E115" t="str">
            <v>Forfait</v>
          </cell>
        </row>
        <row r="116">
          <cell r="A116">
            <v>110</v>
          </cell>
          <cell r="B116" t="str">
            <v>Enveloppe pour installation et équipement de la BVN</v>
          </cell>
          <cell r="C116">
            <v>1000000</v>
          </cell>
          <cell r="D116" t="str">
            <v>USD</v>
          </cell>
          <cell r="E116" t="str">
            <v>Forfait</v>
          </cell>
        </row>
        <row r="117">
          <cell r="A117">
            <v>111</v>
          </cell>
          <cell r="B117" t="str">
            <v>Budget de fonctionnement de la BVN</v>
          </cell>
          <cell r="C117">
            <v>500000</v>
          </cell>
          <cell r="D117" t="str">
            <v>USD</v>
          </cell>
          <cell r="E117" t="str">
            <v>Forfait</v>
          </cell>
        </row>
        <row r="118">
          <cell r="A118">
            <v>112</v>
          </cell>
          <cell r="B118" t="str">
            <v>Budget de fonctionnement du réseau numérique</v>
          </cell>
          <cell r="C118">
            <v>20000</v>
          </cell>
          <cell r="D118" t="str">
            <v>USD</v>
          </cell>
          <cell r="E118" t="str">
            <v>Forfait/ESS</v>
          </cell>
        </row>
        <row r="119">
          <cell r="A119">
            <v>113</v>
          </cell>
          <cell r="B119" t="str">
            <v>Budget de fonctionnement de l'université virtuelle</v>
          </cell>
          <cell r="C119">
            <v>500000</v>
          </cell>
          <cell r="D119" t="str">
            <v>USD</v>
          </cell>
          <cell r="E119" t="str">
            <v>Forfait</v>
          </cell>
        </row>
        <row r="120">
          <cell r="A120">
            <v>114</v>
          </cell>
          <cell r="B120" t="str">
            <v>Budget des exposition des Résultats de Recherche</v>
          </cell>
          <cell r="C120">
            <v>400000</v>
          </cell>
          <cell r="D120" t="str">
            <v>USD</v>
          </cell>
          <cell r="E120" t="str">
            <v>Forfait</v>
          </cell>
        </row>
        <row r="121">
          <cell r="A121">
            <v>115</v>
          </cell>
          <cell r="B121" t="str">
            <v>Prix aux Résultats de Recherche</v>
          </cell>
          <cell r="C121">
            <v>5000</v>
          </cell>
          <cell r="D121" t="str">
            <v>USD</v>
          </cell>
          <cell r="E121" t="str">
            <v>Forfait</v>
          </cell>
        </row>
        <row r="122">
          <cell r="A122">
            <v>116</v>
          </cell>
          <cell r="B122" t="str">
            <v>Suvention du Fonds compétif de la recherche</v>
          </cell>
          <cell r="C122">
            <v>200000</v>
          </cell>
          <cell r="D122" t="str">
            <v>USD</v>
          </cell>
          <cell r="E122" t="str">
            <v>Forfait</v>
          </cell>
        </row>
        <row r="123">
          <cell r="A123">
            <v>117</v>
          </cell>
          <cell r="B123" t="str">
            <v>Enveloppe pour réhabilitation et équipement des PUC</v>
          </cell>
          <cell r="C123">
            <v>100000</v>
          </cell>
          <cell r="D123" t="str">
            <v>USD</v>
          </cell>
          <cell r="E123" t="str">
            <v>Forfait</v>
          </cell>
        </row>
        <row r="124">
          <cell r="A124">
            <v>118</v>
          </cell>
          <cell r="B124" t="str">
            <v>Budget de fonctionnement du PUC</v>
          </cell>
          <cell r="C124">
            <v>300000</v>
          </cell>
          <cell r="D124" t="str">
            <v>USD</v>
          </cell>
          <cell r="E124" t="str">
            <v>Forfait</v>
          </cell>
        </row>
        <row r="125">
          <cell r="A125">
            <v>119</v>
          </cell>
          <cell r="B125" t="str">
            <v>Enveloppe pour installer une ED</v>
          </cell>
          <cell r="C125">
            <v>400000</v>
          </cell>
          <cell r="D125" t="str">
            <v>USD</v>
          </cell>
          <cell r="E125" t="str">
            <v>Forfait</v>
          </cell>
        </row>
        <row r="126">
          <cell r="A126">
            <v>120</v>
          </cell>
          <cell r="B126" t="str">
            <v>Budget de fonctionnement d'une ED</v>
          </cell>
          <cell r="C126">
            <v>30000</v>
          </cell>
          <cell r="D126" t="str">
            <v>USD</v>
          </cell>
          <cell r="E126" t="str">
            <v>Forfait</v>
          </cell>
        </row>
        <row r="127">
          <cell r="A127">
            <v>121</v>
          </cell>
          <cell r="B127" t="str">
            <v>Budget de vacation</v>
          </cell>
          <cell r="C127">
            <v>0</v>
          </cell>
          <cell r="D127" t="str">
            <v>USD</v>
          </cell>
          <cell r="E127" t="str">
            <v>Forfait</v>
          </cell>
        </row>
        <row r="128">
          <cell r="A128">
            <v>122</v>
          </cell>
          <cell r="B128" t="str">
            <v>Budget pour recrutement d'un enseignant</v>
          </cell>
          <cell r="C128">
            <v>24000</v>
          </cell>
          <cell r="D128" t="str">
            <v>USD</v>
          </cell>
          <cell r="E128" t="str">
            <v>Forfait</v>
          </cell>
        </row>
        <row r="129">
          <cell r="A129">
            <v>123</v>
          </cell>
          <cell r="B129" t="str">
            <v>Bourse doctorale</v>
          </cell>
          <cell r="C129">
            <v>500</v>
          </cell>
          <cell r="D129" t="str">
            <v>USD</v>
          </cell>
          <cell r="E129" t="str">
            <v>Forfait/an</v>
          </cell>
        </row>
        <row r="130">
          <cell r="A130">
            <v>124</v>
          </cell>
          <cell r="B130" t="str">
            <v>Fonctionnement et maintenance d'un site web</v>
          </cell>
          <cell r="C130">
            <v>1000</v>
          </cell>
          <cell r="D130" t="str">
            <v>USD</v>
          </cell>
          <cell r="E130" t="str">
            <v>Forfait/an</v>
          </cell>
        </row>
        <row r="131">
          <cell r="A131">
            <v>125</v>
          </cell>
          <cell r="B131" t="str">
            <v>Enveloppe pour réhabilitation et équipement du centre de ressurce (ENF)</v>
          </cell>
          <cell r="C131">
            <v>50000</v>
          </cell>
          <cell r="D131" t="str">
            <v>USD</v>
          </cell>
          <cell r="E131" t="str">
            <v>Forfait</v>
          </cell>
        </row>
        <row r="132">
          <cell r="A132">
            <v>126</v>
          </cell>
          <cell r="B132" t="str">
            <v>Budget de fonctionnement du centre de ressurce (ENF)</v>
          </cell>
          <cell r="C132">
            <v>20000</v>
          </cell>
          <cell r="D132" t="str">
            <v>USD</v>
          </cell>
          <cell r="E132" t="str">
            <v>Forfait/an</v>
          </cell>
        </row>
        <row r="133">
          <cell r="A133">
            <v>127</v>
          </cell>
          <cell r="B133" t="str">
            <v>Budget de production de plan stratégique (EES)</v>
          </cell>
          <cell r="C133">
            <v>2000</v>
          </cell>
          <cell r="D133" t="str">
            <v>USD</v>
          </cell>
          <cell r="E133" t="str">
            <v>Forfait/an</v>
          </cell>
        </row>
        <row r="134">
          <cell r="A134">
            <v>128</v>
          </cell>
          <cell r="B134" t="str">
            <v>Frais d'organisation de l'examen de fin de l'enseignement de base</v>
          </cell>
          <cell r="C134">
            <v>5000000</v>
          </cell>
          <cell r="D134" t="str">
            <v>USD</v>
          </cell>
          <cell r="E134" t="str">
            <v>Forfait/an</v>
          </cell>
        </row>
        <row r="135">
          <cell r="A135">
            <v>129</v>
          </cell>
        </row>
        <row r="136">
          <cell r="A136">
            <v>130</v>
          </cell>
        </row>
        <row r="137">
          <cell r="A137">
            <v>131</v>
          </cell>
          <cell r="B137" t="str">
            <v>Kit pédagogique pour le primaire</v>
          </cell>
          <cell r="C137">
            <v>500</v>
          </cell>
          <cell r="D137" t="str">
            <v>USD</v>
          </cell>
          <cell r="E137" t="str">
            <v>Forfait</v>
          </cell>
        </row>
        <row r="138">
          <cell r="A138">
            <v>132</v>
          </cell>
          <cell r="B138" t="str">
            <v>Kit pédagogique pour le secondaire</v>
          </cell>
          <cell r="C138">
            <v>1500</v>
          </cell>
          <cell r="D138" t="str">
            <v>USD</v>
          </cell>
          <cell r="E138" t="str">
            <v>Forfait</v>
          </cell>
        </row>
        <row r="139">
          <cell r="A139">
            <v>133</v>
          </cell>
          <cell r="B139" t="str">
            <v xml:space="preserve">Kit en matériels d'éveil pour une classe </v>
          </cell>
          <cell r="C139">
            <v>300</v>
          </cell>
          <cell r="D139" t="str">
            <v>USD</v>
          </cell>
          <cell r="E139" t="str">
            <v>Forfait</v>
          </cell>
        </row>
        <row r="140">
          <cell r="A140">
            <v>134</v>
          </cell>
        </row>
        <row r="141">
          <cell r="A141">
            <v>135</v>
          </cell>
        </row>
        <row r="142">
          <cell r="A142">
            <v>136</v>
          </cell>
          <cell r="B142" t="str">
            <v>Fonds de roulement pour coopérative scolaire</v>
          </cell>
          <cell r="C142">
            <v>200</v>
          </cell>
          <cell r="D142" t="str">
            <v>USD</v>
          </cell>
          <cell r="E142" t="str">
            <v>Forfait</v>
          </cell>
        </row>
        <row r="143">
          <cell r="A143">
            <v>137</v>
          </cell>
          <cell r="B143" t="str">
            <v>Uniforme et fournitures scolaires à prix réduit</v>
          </cell>
          <cell r="C143">
            <v>30</v>
          </cell>
          <cell r="D143" t="str">
            <v>USD</v>
          </cell>
          <cell r="E143" t="str">
            <v>Budget/an</v>
          </cell>
        </row>
        <row r="144">
          <cell r="A144">
            <v>138</v>
          </cell>
        </row>
        <row r="145">
          <cell r="A145">
            <v>139</v>
          </cell>
        </row>
        <row r="146">
          <cell r="A146">
            <v>140</v>
          </cell>
        </row>
        <row r="147">
          <cell r="A147">
            <v>141</v>
          </cell>
        </row>
        <row r="148">
          <cell r="A148">
            <v>142</v>
          </cell>
        </row>
        <row r="149">
          <cell r="A149">
            <v>143</v>
          </cell>
        </row>
        <row r="150">
          <cell r="A150">
            <v>144</v>
          </cell>
        </row>
        <row r="151">
          <cell r="A151">
            <v>145</v>
          </cell>
        </row>
        <row r="152">
          <cell r="A152">
            <v>146</v>
          </cell>
        </row>
        <row r="153">
          <cell r="A153">
            <v>147</v>
          </cell>
        </row>
        <row r="154">
          <cell r="A154">
            <v>148</v>
          </cell>
        </row>
        <row r="155">
          <cell r="A155">
            <v>149</v>
          </cell>
        </row>
        <row r="156">
          <cell r="A156">
            <v>150</v>
          </cell>
        </row>
        <row r="157">
          <cell r="A157">
            <v>151</v>
          </cell>
        </row>
        <row r="158">
          <cell r="A158">
            <v>152</v>
          </cell>
        </row>
        <row r="159">
          <cell r="A159">
            <v>153</v>
          </cell>
        </row>
        <row r="160">
          <cell r="A160">
            <v>154</v>
          </cell>
        </row>
        <row r="161">
          <cell r="A161">
            <v>155</v>
          </cell>
        </row>
        <row r="162">
          <cell r="A162">
            <v>156</v>
          </cell>
        </row>
        <row r="163">
          <cell r="A163">
            <v>157</v>
          </cell>
        </row>
        <row r="164">
          <cell r="A164">
            <v>158</v>
          </cell>
        </row>
        <row r="165">
          <cell r="A165">
            <v>159</v>
          </cell>
        </row>
        <row r="166">
          <cell r="A166">
            <v>160</v>
          </cell>
        </row>
        <row r="167">
          <cell r="A167">
            <v>161</v>
          </cell>
        </row>
        <row r="168">
          <cell r="A168">
            <v>162</v>
          </cell>
        </row>
        <row r="169">
          <cell r="A169">
            <v>163</v>
          </cell>
        </row>
        <row r="170">
          <cell r="A170">
            <v>164</v>
          </cell>
        </row>
        <row r="171">
          <cell r="A171">
            <v>165</v>
          </cell>
        </row>
        <row r="172">
          <cell r="A172">
            <v>166</v>
          </cell>
        </row>
        <row r="173">
          <cell r="A173">
            <v>167</v>
          </cell>
        </row>
        <row r="174">
          <cell r="A174">
            <v>168</v>
          </cell>
        </row>
        <row r="175">
          <cell r="A175">
            <v>169</v>
          </cell>
        </row>
        <row r="176">
          <cell r="A176">
            <v>170</v>
          </cell>
        </row>
        <row r="177">
          <cell r="A177">
            <v>171</v>
          </cell>
        </row>
        <row r="178">
          <cell r="A178">
            <v>172</v>
          </cell>
        </row>
        <row r="179">
          <cell r="A179">
            <v>173</v>
          </cell>
        </row>
        <row r="180">
          <cell r="A180">
            <v>174</v>
          </cell>
        </row>
        <row r="181">
          <cell r="A181">
            <v>175</v>
          </cell>
        </row>
        <row r="182">
          <cell r="A182">
            <v>176</v>
          </cell>
        </row>
        <row r="183">
          <cell r="A183">
            <v>177</v>
          </cell>
        </row>
        <row r="184">
          <cell r="A184">
            <v>178</v>
          </cell>
        </row>
        <row r="185">
          <cell r="A185">
            <v>179</v>
          </cell>
        </row>
        <row r="186">
          <cell r="A186">
            <v>180</v>
          </cell>
        </row>
        <row r="187">
          <cell r="A187">
            <v>181</v>
          </cell>
        </row>
        <row r="188">
          <cell r="A188">
            <v>182</v>
          </cell>
        </row>
        <row r="189">
          <cell r="A189">
            <v>183</v>
          </cell>
        </row>
        <row r="190">
          <cell r="A190">
            <v>184</v>
          </cell>
        </row>
        <row r="191">
          <cell r="A191">
            <v>185</v>
          </cell>
        </row>
        <row r="192">
          <cell r="A192">
            <v>186</v>
          </cell>
        </row>
        <row r="193">
          <cell r="A193">
            <v>187</v>
          </cell>
        </row>
        <row r="194">
          <cell r="A194">
            <v>188</v>
          </cell>
        </row>
        <row r="195">
          <cell r="A195">
            <v>189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192</v>
          </cell>
        </row>
        <row r="199">
          <cell r="A199">
            <v>193</v>
          </cell>
        </row>
        <row r="200">
          <cell r="A200">
            <v>194</v>
          </cell>
        </row>
        <row r="201">
          <cell r="A201">
            <v>195</v>
          </cell>
        </row>
        <row r="202">
          <cell r="A202">
            <v>196</v>
          </cell>
        </row>
        <row r="203">
          <cell r="A203">
            <v>197</v>
          </cell>
        </row>
        <row r="204">
          <cell r="A204">
            <v>198</v>
          </cell>
        </row>
        <row r="205">
          <cell r="A205">
            <v>199</v>
          </cell>
        </row>
        <row r="206">
          <cell r="A206">
            <v>200</v>
          </cell>
        </row>
        <row r="207">
          <cell r="A207">
            <v>201</v>
          </cell>
          <cell r="B207" t="str">
            <v>Paiement d'un enseignant préscolaire</v>
          </cell>
          <cell r="C207">
            <v>1080</v>
          </cell>
          <cell r="D207" t="str">
            <v>USD</v>
          </cell>
          <cell r="E207" t="str">
            <v>Salaire/an/p</v>
          </cell>
        </row>
        <row r="208">
          <cell r="A208">
            <v>202</v>
          </cell>
          <cell r="B208" t="str">
            <v>Paiement d'un enseignant primaire</v>
          </cell>
          <cell r="C208">
            <v>1695.5280955506091</v>
          </cell>
          <cell r="D208" t="str">
            <v>USD</v>
          </cell>
          <cell r="E208" t="str">
            <v>Salaire/an/p</v>
          </cell>
        </row>
        <row r="209">
          <cell r="A209">
            <v>203</v>
          </cell>
          <cell r="B209" t="str">
            <v>Prime pour enseignant primaire en zone isolée</v>
          </cell>
          <cell r="C209">
            <v>480</v>
          </cell>
          <cell r="D209" t="str">
            <v>USD</v>
          </cell>
          <cell r="E209" t="str">
            <v>Prime/an/p</v>
          </cell>
        </row>
        <row r="210">
          <cell r="A210">
            <v>204</v>
          </cell>
          <cell r="B210" t="str">
            <v>Rémunération d'un enseignant du secondaire 1</v>
          </cell>
          <cell r="C210">
            <v>1738.179743580248</v>
          </cell>
          <cell r="D210" t="str">
            <v>USD</v>
          </cell>
          <cell r="E210" t="str">
            <v>Salaire/an/p</v>
          </cell>
          <cell r="G210" t="str">
            <v>Salaire moyen de la période de 5 ans</v>
          </cell>
        </row>
        <row r="211">
          <cell r="A211">
            <v>205</v>
          </cell>
          <cell r="B211" t="str">
            <v>Salaires des fonctionnaires services centraux EPS-INC</v>
          </cell>
          <cell r="C211">
            <v>1</v>
          </cell>
          <cell r="D211" t="str">
            <v>USD</v>
          </cell>
          <cell r="E211" t="str">
            <v>Estimation</v>
          </cell>
        </row>
        <row r="212">
          <cell r="A212">
            <v>206</v>
          </cell>
          <cell r="B212" t="str">
            <v>Salaires des fonctionnaires services centraux ESU</v>
          </cell>
          <cell r="C212">
            <v>1</v>
          </cell>
          <cell r="D212" t="str">
            <v>USD</v>
          </cell>
          <cell r="E212" t="str">
            <v>Estimation</v>
          </cell>
        </row>
        <row r="213">
          <cell r="A213">
            <v>207</v>
          </cell>
          <cell r="B213" t="str">
            <v>Salaires des fonctionnaires services centraux MAS</v>
          </cell>
          <cell r="C213">
            <v>1</v>
          </cell>
          <cell r="D213" t="str">
            <v>USD</v>
          </cell>
          <cell r="E213" t="str">
            <v>Estimation</v>
          </cell>
        </row>
        <row r="214">
          <cell r="A214">
            <v>208</v>
          </cell>
          <cell r="B214" t="str">
            <v>Salaires des fonctionnaires services centraux ETP</v>
          </cell>
          <cell r="C214">
            <v>1</v>
          </cell>
          <cell r="D214" t="str">
            <v>USD</v>
          </cell>
          <cell r="E214" t="str">
            <v>Estimation</v>
          </cell>
        </row>
        <row r="215">
          <cell r="A215">
            <v>209</v>
          </cell>
          <cell r="B215" t="str">
            <v>Salaires des fonctionnaires des bureaux gestionnaires EPSINC</v>
          </cell>
          <cell r="C215">
            <v>42473.839245621915</v>
          </cell>
          <cell r="D215" t="str">
            <v>USD</v>
          </cell>
          <cell r="E215" t="str">
            <v>Forfait/BG</v>
          </cell>
        </row>
        <row r="216">
          <cell r="A216">
            <v>210</v>
          </cell>
          <cell r="B216" t="str">
            <v>Salaires des fonctionnaires des bureaux gestionnaires ESU</v>
          </cell>
          <cell r="D216" t="str">
            <v>USD</v>
          </cell>
          <cell r="E216" t="str">
            <v>Forfait</v>
          </cell>
        </row>
        <row r="217">
          <cell r="A217">
            <v>211</v>
          </cell>
          <cell r="B217" t="str">
            <v>Salaires des fonctionnaires des bureaux gestionnaires MAS</v>
          </cell>
          <cell r="D217" t="str">
            <v>USD</v>
          </cell>
          <cell r="E217" t="str">
            <v>Forfait</v>
          </cell>
        </row>
        <row r="218">
          <cell r="A218">
            <v>212</v>
          </cell>
          <cell r="B218" t="str">
            <v>Salaires des fonctionnaires des bureaux gestionnaires ETP</v>
          </cell>
          <cell r="D218" t="str">
            <v>USD</v>
          </cell>
          <cell r="E218" t="str">
            <v>Forfait</v>
          </cell>
        </row>
        <row r="219">
          <cell r="A219">
            <v>213</v>
          </cell>
          <cell r="B219" t="str">
            <v>Salaires des enseignants du supérieur</v>
          </cell>
          <cell r="C219">
            <v>11444.791844509165</v>
          </cell>
          <cell r="D219" t="str">
            <v>USD</v>
          </cell>
          <cell r="E219" t="str">
            <v>Salaire/an/p</v>
          </cell>
        </row>
        <row r="220">
          <cell r="A220">
            <v>214</v>
          </cell>
          <cell r="B220" t="str">
            <v>Rémunération d'un enseignant du secondaire 2</v>
          </cell>
          <cell r="C220">
            <v>1734.0388258712624</v>
          </cell>
        </row>
        <row r="221">
          <cell r="A221">
            <v>215</v>
          </cell>
          <cell r="B221" t="str">
            <v>Rémunération d'un enseignant ENF</v>
          </cell>
          <cell r="C221">
            <v>0</v>
          </cell>
        </row>
        <row r="222">
          <cell r="A222">
            <v>216</v>
          </cell>
          <cell r="B222" t="str">
            <v>Primes Non Permanentes</v>
          </cell>
          <cell r="C222">
            <v>5</v>
          </cell>
          <cell r="D222" t="str">
            <v>USD</v>
          </cell>
          <cell r="E222" t="str">
            <v>Pers / j</v>
          </cell>
        </row>
        <row r="223">
          <cell r="A223">
            <v>217</v>
          </cell>
          <cell r="B223" t="str">
            <v>Primes d'itinérance (Inspecteurs itinérants)</v>
          </cell>
          <cell r="C223">
            <v>1200</v>
          </cell>
          <cell r="D223" t="str">
            <v>USD</v>
          </cell>
          <cell r="E223" t="str">
            <v>Prime/an</v>
          </cell>
        </row>
        <row r="224">
          <cell r="A224">
            <v>218</v>
          </cell>
        </row>
        <row r="225">
          <cell r="A225">
            <v>219</v>
          </cell>
        </row>
        <row r="226">
          <cell r="A226">
            <v>220</v>
          </cell>
          <cell r="B226" t="str">
            <v>Mission à Kinhsasa des services centraux</v>
          </cell>
          <cell r="C226">
            <v>90</v>
          </cell>
          <cell r="D226" t="str">
            <v>USD</v>
          </cell>
          <cell r="E226" t="str">
            <v>P/j</v>
          </cell>
        </row>
        <row r="227">
          <cell r="A227">
            <v>221</v>
          </cell>
          <cell r="B227" t="str">
            <v>Mission en province des services centraux</v>
          </cell>
          <cell r="C227">
            <v>241.42857142857142</v>
          </cell>
          <cell r="D227" t="str">
            <v>USD</v>
          </cell>
          <cell r="E227" t="str">
            <v>P/j</v>
          </cell>
        </row>
        <row r="228">
          <cell r="A228">
            <v>222</v>
          </cell>
          <cell r="B228" t="str">
            <v>Mission en province des services déconcentrés</v>
          </cell>
          <cell r="C228">
            <v>50</v>
          </cell>
          <cell r="D228" t="str">
            <v>USD</v>
          </cell>
          <cell r="E228" t="str">
            <v>P/j</v>
          </cell>
        </row>
        <row r="229">
          <cell r="A229">
            <v>223</v>
          </cell>
        </row>
        <row r="230">
          <cell r="A230">
            <v>224</v>
          </cell>
          <cell r="B230" t="str">
            <v xml:space="preserve">Allocation pour la scolarisation d'un élève au primaire </v>
          </cell>
          <cell r="C230">
            <v>5</v>
          </cell>
          <cell r="D230" t="str">
            <v>USD</v>
          </cell>
          <cell r="E230" t="str">
            <v>Subvention annuelle/élève</v>
          </cell>
        </row>
        <row r="231">
          <cell r="A231">
            <v>225</v>
          </cell>
          <cell r="B231" t="str">
            <v>Subvention pour une école publique à Kinshsasa ou Lubumbashi pour la prise en charge des frais directs de 1ère à 5ème année</v>
          </cell>
          <cell r="C231">
            <v>3</v>
          </cell>
          <cell r="D231" t="str">
            <v>USD</v>
          </cell>
          <cell r="E231" t="str">
            <v>Subvention annuelle/élève</v>
          </cell>
        </row>
        <row r="232">
          <cell r="A232">
            <v>226</v>
          </cell>
          <cell r="B232" t="str">
            <v>Subvention pour prise en charge des frais directs 6ème année</v>
          </cell>
          <cell r="C232">
            <v>11</v>
          </cell>
          <cell r="D232" t="str">
            <v>USD</v>
          </cell>
          <cell r="E232" t="str">
            <v>Subvention annuelle/élève</v>
          </cell>
        </row>
        <row r="233">
          <cell r="A233">
            <v>227</v>
          </cell>
          <cell r="B233" t="str">
            <v>Subvention pour prise en charge des frais directs des apprenants en rattrapage</v>
          </cell>
          <cell r="C233">
            <v>15</v>
          </cell>
          <cell r="D233" t="str">
            <v>USD</v>
          </cell>
          <cell r="E233" t="str">
            <v>Subvention annuelle/élève</v>
          </cell>
        </row>
        <row r="234">
          <cell r="A234">
            <v>228</v>
          </cell>
          <cell r="B234" t="str">
            <v>Subvention pour le fonctionnement d'une école publique secondaire</v>
          </cell>
          <cell r="C234">
            <v>1200</v>
          </cell>
          <cell r="D234" t="str">
            <v>USD</v>
          </cell>
          <cell r="E234" t="str">
            <v>Subvention annuelle/école</v>
          </cell>
        </row>
        <row r="235">
          <cell r="A235">
            <v>229</v>
          </cell>
        </row>
        <row r="236">
          <cell r="A236">
            <v>230</v>
          </cell>
          <cell r="B236" t="str">
            <v>Subvention de fonctionnement des BG du MEPSINC</v>
          </cell>
          <cell r="C236">
            <v>2400</v>
          </cell>
          <cell r="D236" t="str">
            <v>USD</v>
          </cell>
          <cell r="E236" t="str">
            <v>Forfait/an</v>
          </cell>
        </row>
        <row r="237">
          <cell r="A237">
            <v>231</v>
          </cell>
          <cell r="B237" t="str">
            <v>Subvention de fonctionnement des services déconcentrés du METP</v>
          </cell>
        </row>
        <row r="238">
          <cell r="A238">
            <v>232</v>
          </cell>
          <cell r="B238" t="str">
            <v>Subvention de fonctionnement des services déconcentrés du MAS (ENF)</v>
          </cell>
        </row>
        <row r="239">
          <cell r="A239">
            <v>233</v>
          </cell>
          <cell r="B239" t="str">
            <v>Subvention de fonctionnement des Universités et des EES</v>
          </cell>
        </row>
        <row r="240">
          <cell r="A240">
            <v>234</v>
          </cell>
        </row>
        <row r="241">
          <cell r="A241">
            <v>235</v>
          </cell>
          <cell r="B241" t="str">
            <v>Frais de fonctionnement services centraux EPS-INC</v>
          </cell>
          <cell r="C241">
            <v>1</v>
          </cell>
          <cell r="D241" t="str">
            <v>USD</v>
          </cell>
          <cell r="E241" t="str">
            <v>Estimation</v>
          </cell>
        </row>
        <row r="242">
          <cell r="A242">
            <v>236</v>
          </cell>
          <cell r="B242" t="str">
            <v>Frais de fonctionnement services centraux ETP</v>
          </cell>
          <cell r="C242">
            <v>1</v>
          </cell>
          <cell r="D242" t="str">
            <v>USD</v>
          </cell>
          <cell r="E242" t="str">
            <v>Estimation</v>
          </cell>
        </row>
        <row r="243">
          <cell r="A243">
            <v>237</v>
          </cell>
          <cell r="B243" t="str">
            <v>Frais de fonctionnement services centraux MAS (ENF)</v>
          </cell>
          <cell r="C243">
            <v>1</v>
          </cell>
          <cell r="D243" t="str">
            <v>USD</v>
          </cell>
          <cell r="E243" t="str">
            <v>Estimation</v>
          </cell>
        </row>
        <row r="244">
          <cell r="A244">
            <v>238</v>
          </cell>
          <cell r="B244" t="str">
            <v>Frais de fonctionnement services centraux MESU</v>
          </cell>
          <cell r="C244">
            <v>1</v>
          </cell>
          <cell r="D244" t="str">
            <v>USD</v>
          </cell>
          <cell r="E244" t="str">
            <v>Estimation</v>
          </cell>
        </row>
        <row r="245">
          <cell r="A245">
            <v>239</v>
          </cell>
        </row>
        <row r="246">
          <cell r="A246">
            <v>240</v>
          </cell>
          <cell r="B246" t="str">
            <v>Frais de fonctionnement services déconcentrés EPS-INC (Budget)</v>
          </cell>
          <cell r="C246">
            <v>1</v>
          </cell>
          <cell r="D246" t="str">
            <v>USD</v>
          </cell>
          <cell r="E246" t="str">
            <v>Estimation</v>
          </cell>
        </row>
        <row r="247">
          <cell r="A247">
            <v>241</v>
          </cell>
          <cell r="B247" t="str">
            <v>Frais de fonctionnement services déconcentrés EPS-INC (Autres)</v>
          </cell>
          <cell r="C247">
            <v>1</v>
          </cell>
          <cell r="D247" t="str">
            <v>USD</v>
          </cell>
          <cell r="E247" t="str">
            <v>Estimation</v>
          </cell>
        </row>
        <row r="248">
          <cell r="A248">
            <v>242</v>
          </cell>
          <cell r="B248" t="str">
            <v>Frais de fonctionnement services déconcentrés ETP</v>
          </cell>
          <cell r="C248">
            <v>1</v>
          </cell>
          <cell r="D248" t="str">
            <v>USD</v>
          </cell>
          <cell r="E248" t="str">
            <v>Estimation</v>
          </cell>
        </row>
        <row r="249">
          <cell r="A249">
            <v>243</v>
          </cell>
          <cell r="B249" t="str">
            <v>Frais de fonctionnement services déconcentrés MAS (ENF)</v>
          </cell>
          <cell r="C249">
            <v>1</v>
          </cell>
          <cell r="D249" t="str">
            <v>USD</v>
          </cell>
          <cell r="E249" t="str">
            <v>Estimation</v>
          </cell>
        </row>
        <row r="250">
          <cell r="A250">
            <v>244</v>
          </cell>
          <cell r="B250" t="str">
            <v>Frais de fonctionnement services déconcentrés MESU</v>
          </cell>
          <cell r="C250">
            <v>1</v>
          </cell>
          <cell r="D250" t="str">
            <v>USD</v>
          </cell>
          <cell r="E250" t="str">
            <v>Estimation</v>
          </cell>
        </row>
        <row r="251">
          <cell r="A251">
            <v>245</v>
          </cell>
        </row>
        <row r="252">
          <cell r="A252">
            <v>246</v>
          </cell>
          <cell r="B252" t="str">
            <v>Subvention aux cantines scolaires</v>
          </cell>
          <cell r="C252">
            <v>5000</v>
          </cell>
          <cell r="D252" t="str">
            <v>USD</v>
          </cell>
          <cell r="E252" t="str">
            <v>Forfait</v>
          </cell>
        </row>
        <row r="253">
          <cell r="A253">
            <v>247</v>
          </cell>
          <cell r="B253" t="str">
            <v>Fourniture de repas pendant les crises</v>
          </cell>
          <cell r="C253">
            <v>0.5</v>
          </cell>
          <cell r="D253" t="str">
            <v>USD</v>
          </cell>
          <cell r="E253" t="str">
            <v>Forfait/élève</v>
          </cell>
        </row>
        <row r="254">
          <cell r="A254">
            <v>248</v>
          </cell>
          <cell r="B254" t="str">
            <v>Fonctionnement d'une classe prépatoire (phase pilote)</v>
          </cell>
          <cell r="C254">
            <v>2000</v>
          </cell>
          <cell r="D254" t="str">
            <v>USD</v>
          </cell>
          <cell r="E254" t="str">
            <v>Forfait</v>
          </cell>
        </row>
        <row r="255">
          <cell r="A255">
            <v>249</v>
          </cell>
          <cell r="B255" t="str">
            <v>Fonctionnement d'une classe prépatoire (phase de généralisation)</v>
          </cell>
          <cell r="C255">
            <v>1000</v>
          </cell>
          <cell r="D255" t="str">
            <v>USD</v>
          </cell>
          <cell r="E255" t="str">
            <v>Forfait</v>
          </cell>
        </row>
        <row r="256">
          <cell r="A256">
            <v>250</v>
          </cell>
        </row>
        <row r="257">
          <cell r="A257">
            <v>251</v>
          </cell>
          <cell r="B257" t="str">
            <v xml:space="preserve">Frais de fonctionnement d'un comité scientifique/cadre de coordination </v>
          </cell>
          <cell r="C257">
            <v>10000</v>
          </cell>
          <cell r="D257" t="str">
            <v>USD</v>
          </cell>
          <cell r="E257" t="str">
            <v>Forfait</v>
          </cell>
        </row>
        <row r="258">
          <cell r="A258">
            <v>252</v>
          </cell>
        </row>
        <row r="259">
          <cell r="A259">
            <v>253</v>
          </cell>
          <cell r="B259" t="str">
            <v>Salaires et rémunérations de la CIEAS</v>
          </cell>
          <cell r="C259">
            <v>360000</v>
          </cell>
          <cell r="D259" t="str">
            <v>USD</v>
          </cell>
          <cell r="E259" t="str">
            <v>Budget/an</v>
          </cell>
        </row>
        <row r="260">
          <cell r="A260">
            <v>254</v>
          </cell>
          <cell r="B260" t="str">
            <v>Frais de fonctionnement de la CIEAS</v>
          </cell>
          <cell r="C260">
            <v>150000</v>
          </cell>
          <cell r="D260" t="str">
            <v>USD</v>
          </cell>
          <cell r="E260" t="str">
            <v>Budget/an</v>
          </cell>
        </row>
        <row r="261">
          <cell r="A261">
            <v>255</v>
          </cell>
        </row>
        <row r="262">
          <cell r="A262">
            <v>256</v>
          </cell>
          <cell r="B262" t="str">
            <v>Frais d'investissement services centraux/déconcentrées EPS-INC</v>
          </cell>
          <cell r="C262">
            <v>1</v>
          </cell>
          <cell r="D262" t="str">
            <v>USD</v>
          </cell>
          <cell r="E262" t="str">
            <v>Forfait</v>
          </cell>
        </row>
        <row r="263">
          <cell r="A263">
            <v>257</v>
          </cell>
          <cell r="B263" t="str">
            <v>Frais d'investissement services centraux/déconcentrées ETP</v>
          </cell>
          <cell r="C263">
            <v>1</v>
          </cell>
          <cell r="D263" t="str">
            <v>USD</v>
          </cell>
          <cell r="E263" t="str">
            <v>Forfait</v>
          </cell>
        </row>
        <row r="264">
          <cell r="A264">
            <v>258</v>
          </cell>
          <cell r="B264" t="str">
            <v>Frais d'investissement services centraux/déconcentrées MAS (ENF)</v>
          </cell>
          <cell r="C264">
            <v>1</v>
          </cell>
          <cell r="D264" t="str">
            <v>USD</v>
          </cell>
          <cell r="E264" t="str">
            <v>Forfait</v>
          </cell>
        </row>
        <row r="265">
          <cell r="A265">
            <v>259</v>
          </cell>
          <cell r="B265" t="str">
            <v>Frais d'investissement services centraux/déconcentrées MESU</v>
          </cell>
          <cell r="C265">
            <v>1</v>
          </cell>
          <cell r="D265" t="str">
            <v>USD</v>
          </cell>
          <cell r="E265" t="str">
            <v>Forfait</v>
          </cell>
        </row>
        <row r="266">
          <cell r="A266">
            <v>260</v>
          </cell>
        </row>
        <row r="267">
          <cell r="A267">
            <v>261</v>
          </cell>
        </row>
        <row r="268">
          <cell r="A268">
            <v>262</v>
          </cell>
        </row>
        <row r="269">
          <cell r="A269">
            <v>263</v>
          </cell>
        </row>
        <row r="270">
          <cell r="A270">
            <v>264</v>
          </cell>
        </row>
        <row r="271">
          <cell r="A271">
            <v>265</v>
          </cell>
        </row>
        <row r="272">
          <cell r="A272">
            <v>266</v>
          </cell>
        </row>
        <row r="273">
          <cell r="A273">
            <v>267</v>
          </cell>
        </row>
        <row r="274">
          <cell r="A274">
            <v>268</v>
          </cell>
        </row>
        <row r="275">
          <cell r="A275">
            <v>269</v>
          </cell>
        </row>
        <row r="276">
          <cell r="A276">
            <v>270</v>
          </cell>
        </row>
        <row r="277">
          <cell r="A277">
            <v>271</v>
          </cell>
        </row>
        <row r="278">
          <cell r="A278">
            <v>272</v>
          </cell>
        </row>
        <row r="279">
          <cell r="A279">
            <v>273</v>
          </cell>
        </row>
        <row r="280">
          <cell r="A280">
            <v>274</v>
          </cell>
        </row>
        <row r="281">
          <cell r="A281">
            <v>275</v>
          </cell>
        </row>
        <row r="282">
          <cell r="A282">
            <v>276</v>
          </cell>
        </row>
        <row r="283">
          <cell r="A283">
            <v>277</v>
          </cell>
        </row>
        <row r="284">
          <cell r="A284">
            <v>278</v>
          </cell>
        </row>
        <row r="285">
          <cell r="A285">
            <v>279</v>
          </cell>
        </row>
        <row r="286">
          <cell r="A286">
            <v>280</v>
          </cell>
        </row>
        <row r="287">
          <cell r="A287">
            <v>281</v>
          </cell>
        </row>
        <row r="288">
          <cell r="A288">
            <v>282</v>
          </cell>
        </row>
        <row r="289">
          <cell r="A289">
            <v>283</v>
          </cell>
        </row>
        <row r="290">
          <cell r="A290">
            <v>284</v>
          </cell>
        </row>
        <row r="291">
          <cell r="A291">
            <v>285</v>
          </cell>
        </row>
        <row r="292">
          <cell r="A292">
            <v>286</v>
          </cell>
        </row>
        <row r="293">
          <cell r="A293">
            <v>287</v>
          </cell>
        </row>
        <row r="294">
          <cell r="A294">
            <v>288</v>
          </cell>
        </row>
        <row r="295">
          <cell r="A295">
            <v>289</v>
          </cell>
        </row>
        <row r="296">
          <cell r="A296">
            <v>290</v>
          </cell>
        </row>
        <row r="297">
          <cell r="A297">
            <v>291</v>
          </cell>
        </row>
        <row r="298">
          <cell r="A298">
            <v>292</v>
          </cell>
        </row>
        <row r="299">
          <cell r="A299">
            <v>293</v>
          </cell>
        </row>
        <row r="300">
          <cell r="A300">
            <v>294</v>
          </cell>
        </row>
        <row r="301">
          <cell r="A301">
            <v>295</v>
          </cell>
        </row>
        <row r="302">
          <cell r="A302">
            <v>296</v>
          </cell>
        </row>
        <row r="303">
          <cell r="A303">
            <v>297</v>
          </cell>
        </row>
        <row r="304">
          <cell r="A304">
            <v>298</v>
          </cell>
        </row>
        <row r="305">
          <cell r="A305">
            <v>299</v>
          </cell>
        </row>
        <row r="306">
          <cell r="A306">
            <v>300</v>
          </cell>
          <cell r="B306" t="str">
            <v>Fonctionnement des services</v>
          </cell>
        </row>
      </sheetData>
      <sheetData sheetId="1">
        <row r="2470">
          <cell r="D2470">
            <v>365.5</v>
          </cell>
          <cell r="E2470">
            <v>248.3</v>
          </cell>
          <cell r="F2470">
            <v>122.3</v>
          </cell>
          <cell r="G2470">
            <v>170</v>
          </cell>
          <cell r="H2470">
            <v>65</v>
          </cell>
          <cell r="I2470">
            <v>971.1</v>
          </cell>
        </row>
        <row r="2471">
          <cell r="D2471">
            <v>365.5</v>
          </cell>
          <cell r="E2471">
            <v>248.3</v>
          </cell>
          <cell r="F2471">
            <v>122.3</v>
          </cell>
          <cell r="G2471">
            <v>170</v>
          </cell>
          <cell r="H2471">
            <v>65</v>
          </cell>
          <cell r="I2471">
            <v>971.1</v>
          </cell>
        </row>
        <row r="2472">
          <cell r="D2472">
            <v>258.60000000000002</v>
          </cell>
          <cell r="E2472">
            <v>1055</v>
          </cell>
          <cell r="F2472">
            <v>13110</v>
          </cell>
          <cell r="G2472">
            <v>15110</v>
          </cell>
          <cell r="H2472">
            <v>17110</v>
          </cell>
          <cell r="I2472">
            <v>46643.6</v>
          </cell>
        </row>
        <row r="2473"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D2474">
            <v>220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220</v>
          </cell>
        </row>
        <row r="2475">
          <cell r="D2475">
            <v>38.6</v>
          </cell>
          <cell r="E2475">
            <v>1055</v>
          </cell>
          <cell r="F2475">
            <v>13110</v>
          </cell>
          <cell r="G2475">
            <v>15110</v>
          </cell>
          <cell r="H2475">
            <v>17110</v>
          </cell>
          <cell r="I2475">
            <v>46423.6</v>
          </cell>
        </row>
        <row r="2476">
          <cell r="D2476">
            <v>9242.1859999999997</v>
          </cell>
          <cell r="E2476">
            <v>11446.771000000001</v>
          </cell>
          <cell r="F2476">
            <v>16210.957</v>
          </cell>
          <cell r="G2476">
            <v>18705.757000000001</v>
          </cell>
          <cell r="H2476">
            <v>21286.956999999999</v>
          </cell>
          <cell r="I2476">
            <v>76892.627999999997</v>
          </cell>
        </row>
        <row r="2477">
          <cell r="D2477">
            <v>9242.1859999999997</v>
          </cell>
          <cell r="E2477">
            <v>10146.771000000001</v>
          </cell>
          <cell r="F2477">
            <v>13610.957</v>
          </cell>
          <cell r="G2477">
            <v>16105.757</v>
          </cell>
          <cell r="H2477">
            <v>18686.956999999999</v>
          </cell>
          <cell r="I2477">
            <v>67792.627999999997</v>
          </cell>
        </row>
        <row r="2478">
          <cell r="D2478">
            <v>0</v>
          </cell>
          <cell r="E2478">
            <v>1300</v>
          </cell>
          <cell r="F2478">
            <v>2600</v>
          </cell>
          <cell r="G2478">
            <v>2600</v>
          </cell>
          <cell r="H2478">
            <v>2600</v>
          </cell>
          <cell r="I2478">
            <v>9100</v>
          </cell>
        </row>
        <row r="2479">
          <cell r="D2479">
            <v>363.75</v>
          </cell>
          <cell r="E2479">
            <v>344</v>
          </cell>
          <cell r="F2479">
            <v>324</v>
          </cell>
          <cell r="G2479">
            <v>324</v>
          </cell>
          <cell r="H2479">
            <v>324</v>
          </cell>
          <cell r="I2479">
            <v>1679.75</v>
          </cell>
        </row>
        <row r="2480">
          <cell r="D2480">
            <v>324</v>
          </cell>
          <cell r="E2480">
            <v>324</v>
          </cell>
          <cell r="F2480">
            <v>324</v>
          </cell>
          <cell r="G2480">
            <v>324</v>
          </cell>
          <cell r="H2480">
            <v>324</v>
          </cell>
          <cell r="I2480">
            <v>1620</v>
          </cell>
        </row>
        <row r="2481">
          <cell r="D2481">
            <v>39.75</v>
          </cell>
          <cell r="E2481">
            <v>20</v>
          </cell>
          <cell r="F2481">
            <v>0</v>
          </cell>
          <cell r="G2481">
            <v>0</v>
          </cell>
          <cell r="H2481">
            <v>0</v>
          </cell>
          <cell r="I2481">
            <v>59.75</v>
          </cell>
        </row>
        <row r="2482">
          <cell r="D2482">
            <v>673.5</v>
          </cell>
          <cell r="E2482">
            <v>1567.5</v>
          </cell>
          <cell r="F2482">
            <v>1754.5</v>
          </cell>
          <cell r="G2482">
            <v>1952.5</v>
          </cell>
          <cell r="H2482">
            <v>2150.5</v>
          </cell>
          <cell r="I2482">
            <v>8098.5</v>
          </cell>
        </row>
        <row r="2483">
          <cell r="D2483">
            <v>633.75</v>
          </cell>
          <cell r="E2483">
            <v>594</v>
          </cell>
          <cell r="F2483">
            <v>594</v>
          </cell>
          <cell r="G2483">
            <v>594</v>
          </cell>
          <cell r="H2483">
            <v>594</v>
          </cell>
          <cell r="I2483">
            <v>3009.75</v>
          </cell>
        </row>
        <row r="2484">
          <cell r="D2484">
            <v>39.75</v>
          </cell>
          <cell r="E2484">
            <v>973.5</v>
          </cell>
          <cell r="F2484">
            <v>1160.5</v>
          </cell>
          <cell r="G2484">
            <v>1358.5</v>
          </cell>
          <cell r="H2484">
            <v>1556.5</v>
          </cell>
          <cell r="I2484">
            <v>5088.75</v>
          </cell>
        </row>
        <row r="2485">
          <cell r="D2485">
            <v>210</v>
          </cell>
          <cell r="E2485">
            <v>270</v>
          </cell>
          <cell r="F2485">
            <v>330</v>
          </cell>
          <cell r="G2485">
            <v>180</v>
          </cell>
          <cell r="H2485">
            <v>180</v>
          </cell>
          <cell r="I2485">
            <v>1170</v>
          </cell>
        </row>
        <row r="2486">
          <cell r="D2486">
            <v>150</v>
          </cell>
          <cell r="E2486">
            <v>150</v>
          </cell>
          <cell r="F2486">
            <v>150</v>
          </cell>
          <cell r="G2486">
            <v>0</v>
          </cell>
          <cell r="H2486">
            <v>0</v>
          </cell>
          <cell r="I2486">
            <v>450</v>
          </cell>
        </row>
        <row r="2487">
          <cell r="D2487">
            <v>60</v>
          </cell>
          <cell r="E2487">
            <v>120</v>
          </cell>
          <cell r="F2487">
            <v>180</v>
          </cell>
          <cell r="G2487">
            <v>180</v>
          </cell>
          <cell r="H2487">
            <v>180</v>
          </cell>
          <cell r="I2487">
            <v>720</v>
          </cell>
        </row>
        <row r="2826">
          <cell r="L2826">
            <v>365500</v>
          </cell>
          <cell r="M2826">
            <v>248300</v>
          </cell>
          <cell r="N2826">
            <v>122300</v>
          </cell>
          <cell r="O2826">
            <v>170000</v>
          </cell>
          <cell r="P2826">
            <v>65000</v>
          </cell>
        </row>
        <row r="2827">
          <cell r="L2827">
            <v>258600</v>
          </cell>
          <cell r="M2827">
            <v>1055000</v>
          </cell>
          <cell r="N2827">
            <v>13110000</v>
          </cell>
          <cell r="O2827">
            <v>15110000</v>
          </cell>
          <cell r="P2827">
            <v>17110000</v>
          </cell>
        </row>
        <row r="2828">
          <cell r="L2828">
            <v>9242186</v>
          </cell>
          <cell r="M2828">
            <v>11446771</v>
          </cell>
          <cell r="N2828">
            <v>16210957</v>
          </cell>
          <cell r="O2828">
            <v>18705757</v>
          </cell>
          <cell r="P2828">
            <v>21286957</v>
          </cell>
        </row>
        <row r="2829">
          <cell r="L2829">
            <v>363750</v>
          </cell>
          <cell r="M2829">
            <v>344000</v>
          </cell>
          <cell r="N2829">
            <v>324000</v>
          </cell>
          <cell r="O2829">
            <v>324000</v>
          </cell>
          <cell r="P2829">
            <v>324000</v>
          </cell>
        </row>
        <row r="2830">
          <cell r="L2830">
            <v>673500</v>
          </cell>
          <cell r="M2830">
            <v>1567500</v>
          </cell>
          <cell r="N2830">
            <v>1754500</v>
          </cell>
          <cell r="O2830">
            <v>1952500</v>
          </cell>
          <cell r="P2830">
            <v>2150500</v>
          </cell>
        </row>
        <row r="2831">
          <cell r="L2831">
            <v>210000</v>
          </cell>
          <cell r="M2831">
            <v>270000</v>
          </cell>
          <cell r="N2831">
            <v>330000</v>
          </cell>
          <cell r="O2831">
            <v>180000</v>
          </cell>
          <cell r="P2831">
            <v>180000</v>
          </cell>
        </row>
        <row r="2883">
          <cell r="A2883" t="str">
            <v>7.1. Accès des Filles à l’ESU : Promotion d’accès des Filles à l’ESU</v>
          </cell>
        </row>
        <row r="2884">
          <cell r="A2884" t="str">
            <v>7.2. Dimension sociale de l’ESU : Renforcement de la dimension sociale de l’ESU</v>
          </cell>
        </row>
        <row r="2885">
          <cell r="A2885" t="str">
            <v>7.3 Moyens des EES : Apporter des ressources complétées par les droits payés par les familles</v>
          </cell>
        </row>
        <row r="2886">
          <cell r="A2886" t="str">
            <v>7.4 Promotion de l’Assurance-Qualité : Établir les standards de qualité et assurer la conformité des programme et des institutions à ces normes</v>
          </cell>
        </row>
        <row r="2887">
          <cell r="A2887" t="str">
            <v>7.5 Développement des filières techniques, technologiques et professionnelles dans les pôles et secteurs de croissance : Adapter le système de formation aux besoin de l'économie</v>
          </cell>
        </row>
        <row r="2888">
          <cell r="A2888" t="str">
            <v xml:space="preserve">7.6 Inscription du Système Congolais d’Enseignement Supérieur dans la mouvance mondiale : Promouvoir la participation des EES de la RDC aux partenariats régionaux et internationaux d'enseignement supérieur et de recherche </v>
          </cell>
        </row>
        <row r="2889">
          <cell r="A2889" t="str">
            <v>7.7 Implantation des TIC : Promouvoir l'utilisation des TIC dans l'enseignement, l'apprentissage, la recherche et la gouvernance</v>
          </cell>
        </row>
        <row r="2890">
          <cell r="A2890" t="str">
            <v>7.8 Désenclavement numérique des EES : Promouvoir l'utilisation des TIC dans l'enseignement, l'apprentissage, la recherche et la gouvernance de l'enseignement supérieur</v>
          </cell>
        </row>
        <row r="2891">
          <cell r="A2891" t="str">
            <v xml:space="preserve">7.9 Revitalisation de la Recherche : Promouvoir la recherche dans le cadre de la mise en œuvre de la réforme LMD </v>
          </cell>
        </row>
        <row r="2892">
          <cell r="A2892" t="str">
            <v>7.10. Renouvellement des ressources professorales : Former les enseignants et les chercheurs qui remplaceront ceux qui partent à la retraite</v>
          </cell>
        </row>
        <row r="2893">
          <cell r="A2893" t="str">
            <v>7.11 Restructuration et réorganisation du Système</v>
          </cell>
        </row>
        <row r="2894">
          <cell r="A2894" t="str">
            <v>7.12 Renforcement du Système d’information pour la Planification Stratégique et la Gestion axée sur les résultats : Promouvoir la planification stratégique et la gestion axée sur les résultats</v>
          </cell>
        </row>
        <row r="2895">
          <cell r="A2895" t="str">
            <v>7.13. Renforcement des outils de bonne Gouvernance : Promouvoir la bonne gouvernance dans les EES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Q"/>
      <sheetName val="Q (2)"/>
      <sheetName val="H"/>
      <sheetName val="PA1 (2)"/>
    </sheetNames>
    <sheetDataSet>
      <sheetData sheetId="0">
        <row r="7">
          <cell r="A7">
            <v>1</v>
          </cell>
          <cell r="B7" t="str">
            <v>Assistance technique internationale (consultants)</v>
          </cell>
          <cell r="C7">
            <v>1150</v>
          </cell>
          <cell r="D7" t="str">
            <v>USD</v>
          </cell>
          <cell r="E7" t="str">
            <v>Pers / j</v>
          </cell>
          <cell r="F7" t="str">
            <v>CINT</v>
          </cell>
          <cell r="G7">
            <v>3</v>
          </cell>
        </row>
        <row r="8">
          <cell r="A8">
            <v>2</v>
          </cell>
          <cell r="B8" t="str">
            <v>Assistance technique nationale (consultants)</v>
          </cell>
          <cell r="C8">
            <v>300</v>
          </cell>
          <cell r="D8" t="str">
            <v>USD</v>
          </cell>
          <cell r="E8" t="str">
            <v>Pers / j</v>
          </cell>
          <cell r="F8" t="str">
            <v>CLOC</v>
          </cell>
          <cell r="G8">
            <v>3</v>
          </cell>
        </row>
        <row r="9">
          <cell r="A9">
            <v>3</v>
          </cell>
          <cell r="B9" t="str">
            <v>Assistance technique internationale (bureaux d'études-Instance internationale)</v>
          </cell>
          <cell r="C9">
            <v>1725</v>
          </cell>
          <cell r="D9" t="str">
            <v>USD</v>
          </cell>
          <cell r="E9" t="str">
            <v>Pers / m</v>
          </cell>
          <cell r="F9" t="str">
            <v>BEI</v>
          </cell>
          <cell r="G9">
            <v>2</v>
          </cell>
        </row>
        <row r="10">
          <cell r="A10">
            <v>4</v>
          </cell>
          <cell r="B10" t="str">
            <v>Assistance technique nationale (bureaux d'études)</v>
          </cell>
          <cell r="C10">
            <v>450</v>
          </cell>
          <cell r="D10" t="str">
            <v>USD</v>
          </cell>
          <cell r="E10" t="str">
            <v>Pers / j</v>
          </cell>
          <cell r="F10" t="str">
            <v>BEN</v>
          </cell>
          <cell r="G10">
            <v>2</v>
          </cell>
        </row>
        <row r="11">
          <cell r="A11">
            <v>5</v>
          </cell>
          <cell r="B11" t="str">
            <v>Atelier de validation</v>
          </cell>
          <cell r="C11">
            <v>50</v>
          </cell>
          <cell r="D11" t="str">
            <v>USD</v>
          </cell>
          <cell r="E11" t="str">
            <v>Pers / j</v>
          </cell>
          <cell r="F11" t="str">
            <v>FAL</v>
          </cell>
          <cell r="G11">
            <v>4</v>
          </cell>
        </row>
        <row r="12">
          <cell r="A12">
            <v>6</v>
          </cell>
          <cell r="B12" t="str">
            <v>Édition Rapports</v>
          </cell>
          <cell r="C12">
            <v>15</v>
          </cell>
          <cell r="D12" t="str">
            <v>USD</v>
          </cell>
          <cell r="E12" t="str">
            <v>Forfait</v>
          </cell>
          <cell r="F12" t="str">
            <v>FAL</v>
          </cell>
          <cell r="G12">
            <v>4</v>
          </cell>
        </row>
        <row r="13">
          <cell r="A13">
            <v>7</v>
          </cell>
          <cell r="B13" t="str">
            <v>Séminaire</v>
          </cell>
          <cell r="C13">
            <v>190</v>
          </cell>
          <cell r="D13" t="str">
            <v>USD</v>
          </cell>
          <cell r="E13" t="str">
            <v>Pers / j</v>
          </cell>
          <cell r="F13" t="str">
            <v>FAL</v>
          </cell>
          <cell r="G13">
            <v>4</v>
          </cell>
        </row>
        <row r="14">
          <cell r="A14">
            <v>8</v>
          </cell>
          <cell r="B14" t="str">
            <v>Formation locale</v>
          </cell>
          <cell r="C14">
            <v>110</v>
          </cell>
          <cell r="D14" t="str">
            <v>USD</v>
          </cell>
          <cell r="E14" t="str">
            <v>Pers / j</v>
          </cell>
          <cell r="F14" t="str">
            <v>FAL</v>
          </cell>
          <cell r="G14">
            <v>4</v>
          </cell>
        </row>
        <row r="15">
          <cell r="A15">
            <v>9</v>
          </cell>
          <cell r="B15" t="str">
            <v>Formation à l'étranger</v>
          </cell>
          <cell r="C15">
            <v>370</v>
          </cell>
          <cell r="D15" t="str">
            <v>USD</v>
          </cell>
          <cell r="E15" t="str">
            <v>Pers / j</v>
          </cell>
          <cell r="F15" t="str">
            <v>FAE</v>
          </cell>
          <cell r="G15">
            <v>4</v>
          </cell>
        </row>
        <row r="16">
          <cell r="A16">
            <v>10</v>
          </cell>
          <cell r="B16" t="str">
            <v>Voyage d'études et autres missions à l'étranger (Jumelage et echange d'expérience)</v>
          </cell>
          <cell r="C16">
            <v>590</v>
          </cell>
          <cell r="D16" t="str">
            <v>USD</v>
          </cell>
          <cell r="E16" t="str">
            <v>Pers / j</v>
          </cell>
          <cell r="F16" t="str">
            <v>FAE</v>
          </cell>
          <cell r="G16">
            <v>4</v>
          </cell>
        </row>
        <row r="17">
          <cell r="A17">
            <v>11</v>
          </cell>
          <cell r="B17" t="str">
            <v>Atelier technique</v>
          </cell>
          <cell r="C17">
            <v>70</v>
          </cell>
          <cell r="D17" t="str">
            <v>USD</v>
          </cell>
          <cell r="E17" t="str">
            <v>Pers / j</v>
          </cell>
          <cell r="F17" t="str">
            <v>FAL</v>
          </cell>
          <cell r="G17">
            <v>4</v>
          </cell>
        </row>
        <row r="18">
          <cell r="A18">
            <v>12</v>
          </cell>
          <cell r="B18" t="str">
            <v>Formation - Action et Concertation</v>
          </cell>
          <cell r="C18">
            <v>150</v>
          </cell>
          <cell r="D18" t="str">
            <v>USD</v>
          </cell>
          <cell r="E18" t="str">
            <v>Pers / j</v>
          </cell>
          <cell r="F18" t="str">
            <v>FAL</v>
          </cell>
          <cell r="G18">
            <v>4</v>
          </cell>
        </row>
        <row r="19">
          <cell r="A19">
            <v>13</v>
          </cell>
          <cell r="E19" t="str">
            <v>Pers / j</v>
          </cell>
        </row>
        <row r="20">
          <cell r="A20">
            <v>14</v>
          </cell>
          <cell r="E20" t="str">
            <v>Pers / j</v>
          </cell>
        </row>
        <row r="21">
          <cell r="A21">
            <v>15</v>
          </cell>
          <cell r="E21" t="str">
            <v>Pers / j</v>
          </cell>
        </row>
        <row r="22">
          <cell r="A22">
            <v>16</v>
          </cell>
          <cell r="E22" t="str">
            <v>Pers / j</v>
          </cell>
        </row>
        <row r="23">
          <cell r="A23">
            <v>17</v>
          </cell>
          <cell r="B23" t="str">
            <v>Construction d'un logement pour enseignant en zone difficile</v>
          </cell>
          <cell r="C23">
            <v>40000</v>
          </cell>
          <cell r="D23" t="str">
            <v>USD</v>
          </cell>
          <cell r="E23" t="str">
            <v>Forfait</v>
          </cell>
        </row>
        <row r="24">
          <cell r="A24">
            <v>18</v>
          </cell>
          <cell r="B24" t="str">
            <v xml:space="preserve">Réhabilitation et équipement d'un centre d'alpha et rattrapage </v>
          </cell>
          <cell r="C24">
            <v>30000</v>
          </cell>
          <cell r="D24" t="str">
            <v>USD</v>
          </cell>
          <cell r="E24" t="str">
            <v>Forfait</v>
          </cell>
        </row>
        <row r="25">
          <cell r="A25">
            <v>19</v>
          </cell>
          <cell r="B25" t="str">
            <v>Construction et équipement d'un centre d'alpha et rattrapage (4 salles et bureau directeur)</v>
          </cell>
          <cell r="C25">
            <v>60000</v>
          </cell>
          <cell r="D25" t="str">
            <v>USD</v>
          </cell>
          <cell r="E25" t="str">
            <v>Forfait</v>
          </cell>
        </row>
        <row r="26">
          <cell r="A26">
            <v>20</v>
          </cell>
          <cell r="B26" t="str">
            <v>Construction et équipement de salle de classe au préprimaire</v>
          </cell>
          <cell r="C26">
            <v>15000</v>
          </cell>
          <cell r="D26" t="str">
            <v>USD</v>
          </cell>
          <cell r="E26" t="str">
            <v>Unité</v>
          </cell>
          <cell r="F26" t="str">
            <v>BGC</v>
          </cell>
          <cell r="G26">
            <v>1</v>
          </cell>
        </row>
        <row r="27">
          <cell r="A27">
            <v>21</v>
          </cell>
          <cell r="B27" t="str">
            <v>Construction et équipement de salle de classe au primaire</v>
          </cell>
          <cell r="C27">
            <v>15000</v>
          </cell>
          <cell r="D27" t="str">
            <v>USD</v>
          </cell>
          <cell r="E27" t="str">
            <v>Unité</v>
          </cell>
          <cell r="F27" t="str">
            <v>BGC</v>
          </cell>
          <cell r="G27">
            <v>1</v>
          </cell>
        </row>
        <row r="28">
          <cell r="A28">
            <v>22</v>
          </cell>
          <cell r="B28" t="str">
            <v>Construction et équipement de salle de classe au secondaire</v>
          </cell>
          <cell r="C28">
            <v>18750</v>
          </cell>
          <cell r="D28" t="str">
            <v>USD</v>
          </cell>
          <cell r="E28" t="str">
            <v>Unité</v>
          </cell>
          <cell r="F28" t="str">
            <v>BGC</v>
          </cell>
          <cell r="G28">
            <v>1</v>
          </cell>
        </row>
        <row r="29">
          <cell r="A29">
            <v>23</v>
          </cell>
          <cell r="B29" t="str">
            <v>Construction de salle de classe à l'ETFP</v>
          </cell>
          <cell r="C29">
            <v>22500</v>
          </cell>
          <cell r="D29" t="str">
            <v>USD</v>
          </cell>
          <cell r="E29" t="str">
            <v>Unité</v>
          </cell>
          <cell r="F29" t="str">
            <v>BGC</v>
          </cell>
          <cell r="G29">
            <v>1</v>
          </cell>
        </row>
        <row r="30">
          <cell r="A30">
            <v>24</v>
          </cell>
          <cell r="B30" t="str">
            <v>Construction d'une place assise (1m2/ étudiant) à l'enseignement supérieur</v>
          </cell>
          <cell r="C30">
            <v>1000</v>
          </cell>
          <cell r="D30" t="str">
            <v>USD</v>
          </cell>
          <cell r="E30" t="str">
            <v>Unité</v>
          </cell>
          <cell r="F30" t="str">
            <v>BGC</v>
          </cell>
          <cell r="G30">
            <v>1</v>
          </cell>
        </row>
        <row r="31">
          <cell r="A31">
            <v>25</v>
          </cell>
          <cell r="B31" t="str">
            <v>Réhabilitation de salle de classe au primaire</v>
          </cell>
          <cell r="C31">
            <v>12000</v>
          </cell>
          <cell r="D31" t="str">
            <v>USD</v>
          </cell>
          <cell r="E31" t="str">
            <v>Unité</v>
          </cell>
          <cell r="F31" t="str">
            <v>BGC</v>
          </cell>
          <cell r="G31">
            <v>1</v>
          </cell>
        </row>
        <row r="32">
          <cell r="A32">
            <v>26</v>
          </cell>
          <cell r="B32" t="str">
            <v>Réhabilitation de salle de classe au primaire ( local ESU)</v>
          </cell>
          <cell r="C32">
            <v>12000</v>
          </cell>
          <cell r="D32" t="str">
            <v>USD</v>
          </cell>
          <cell r="E32" t="str">
            <v>Unité</v>
          </cell>
          <cell r="F32" t="str">
            <v>BGC</v>
          </cell>
          <cell r="G32">
            <v>1</v>
          </cell>
        </row>
        <row r="33">
          <cell r="A33">
            <v>27</v>
          </cell>
          <cell r="B33" t="str">
            <v>Réhabilitation de salle de classe au secondaire</v>
          </cell>
          <cell r="C33">
            <v>15000</v>
          </cell>
          <cell r="D33" t="str">
            <v>USD</v>
          </cell>
          <cell r="E33" t="str">
            <v>Unité</v>
          </cell>
          <cell r="F33" t="str">
            <v>BGC</v>
          </cell>
          <cell r="G33">
            <v>1</v>
          </cell>
        </row>
        <row r="34">
          <cell r="A34">
            <v>28</v>
          </cell>
          <cell r="B34" t="str">
            <v>Réhabilitation de salle de classe à l'ETFP</v>
          </cell>
          <cell r="C34">
            <v>18000</v>
          </cell>
          <cell r="D34" t="str">
            <v>USD</v>
          </cell>
          <cell r="E34" t="str">
            <v>Unité</v>
          </cell>
          <cell r="F34" t="str">
            <v>BGC</v>
          </cell>
          <cell r="G34">
            <v>1</v>
          </cell>
        </row>
        <row r="35">
          <cell r="A35">
            <v>29</v>
          </cell>
          <cell r="B35" t="str">
            <v xml:space="preserve">Réhabilitation d'une place assise (1m2/étudiant) à l'enseignement supérieur </v>
          </cell>
          <cell r="C35">
            <v>800</v>
          </cell>
          <cell r="D35" t="str">
            <v>USD</v>
          </cell>
          <cell r="E35" t="str">
            <v>Unité</v>
          </cell>
          <cell r="F35" t="str">
            <v>BGC</v>
          </cell>
          <cell r="G35">
            <v>1</v>
          </cell>
        </row>
        <row r="36">
          <cell r="A36">
            <v>30</v>
          </cell>
          <cell r="B36" t="str">
            <v xml:space="preserve">Construction de sanitaires séparés </v>
          </cell>
          <cell r="C36">
            <v>5000</v>
          </cell>
          <cell r="D36" t="str">
            <v>USD</v>
          </cell>
          <cell r="E36" t="str">
            <v>Unité</v>
          </cell>
          <cell r="G36">
            <v>1</v>
          </cell>
        </row>
        <row r="37">
          <cell r="A37">
            <v>31</v>
          </cell>
          <cell r="B37" t="str">
            <v>Construction et équipement amphithéâtre 300 places</v>
          </cell>
          <cell r="C37">
            <v>150000</v>
          </cell>
          <cell r="D37" t="str">
            <v>USD</v>
          </cell>
          <cell r="E37" t="str">
            <v>Forfait</v>
          </cell>
        </row>
        <row r="38">
          <cell r="A38">
            <v>32</v>
          </cell>
          <cell r="B38" t="str">
            <v>Construction et équipement salle pour le supérieur 100 places</v>
          </cell>
          <cell r="C38">
            <v>50000</v>
          </cell>
          <cell r="D38" t="str">
            <v>USD</v>
          </cell>
          <cell r="E38" t="str">
            <v>Forfait</v>
          </cell>
          <cell r="F38" t="str">
            <v>BGC</v>
          </cell>
          <cell r="G38">
            <v>1</v>
          </cell>
        </row>
        <row r="39">
          <cell r="A39">
            <v>33</v>
          </cell>
          <cell r="B39" t="str">
            <v>Réhabilitation des laboratoires et atelier</v>
          </cell>
          <cell r="C39">
            <v>50000</v>
          </cell>
          <cell r="D39" t="str">
            <v>USD</v>
          </cell>
          <cell r="E39" t="str">
            <v>Forfait</v>
          </cell>
        </row>
        <row r="40">
          <cell r="A40">
            <v>34</v>
          </cell>
          <cell r="B40" t="str">
            <v>Construction d'un centre de ressource ETFP équipé</v>
          </cell>
          <cell r="C40">
            <v>400000</v>
          </cell>
          <cell r="D40" t="str">
            <v>USD</v>
          </cell>
          <cell r="E40" t="str">
            <v>Forfait</v>
          </cell>
        </row>
        <row r="41">
          <cell r="A41">
            <v>35</v>
          </cell>
          <cell r="B41" t="str">
            <v>Construction centre d'application ETFP équipé</v>
          </cell>
          <cell r="D41" t="str">
            <v>USD</v>
          </cell>
          <cell r="E41" t="str">
            <v>Forfait</v>
          </cell>
          <cell r="F41" t="str">
            <v>EQUS</v>
          </cell>
        </row>
        <row r="42">
          <cell r="A42">
            <v>36</v>
          </cell>
          <cell r="F42" t="str">
            <v>EQUS</v>
          </cell>
        </row>
        <row r="43">
          <cell r="A43">
            <v>37</v>
          </cell>
          <cell r="B43" t="str">
            <v>Équipement de bibliothèque</v>
          </cell>
          <cell r="C43">
            <v>500</v>
          </cell>
          <cell r="D43" t="str">
            <v>USD</v>
          </cell>
          <cell r="E43" t="str">
            <v>Unité</v>
          </cell>
          <cell r="F43" t="str">
            <v>EQUS</v>
          </cell>
        </row>
        <row r="44">
          <cell r="A44">
            <v>38</v>
          </cell>
          <cell r="B44" t="str">
            <v>Équipement de filière technique</v>
          </cell>
          <cell r="C44">
            <v>10000</v>
          </cell>
          <cell r="D44" t="str">
            <v>USD</v>
          </cell>
          <cell r="E44" t="str">
            <v>Forfait/Ecole</v>
          </cell>
          <cell r="F44" t="str">
            <v>EQUS</v>
          </cell>
        </row>
        <row r="45">
          <cell r="A45">
            <v>39</v>
          </cell>
        </row>
        <row r="46">
          <cell r="A46">
            <v>40</v>
          </cell>
          <cell r="B46" t="str">
            <v>Achat Voiture et ou Jeep (4x4)</v>
          </cell>
          <cell r="C46">
            <v>30000</v>
          </cell>
          <cell r="D46" t="str">
            <v>USD</v>
          </cell>
          <cell r="E46" t="str">
            <v>Unité</v>
          </cell>
          <cell r="F46" t="str">
            <v>EQUA</v>
          </cell>
          <cell r="G46">
            <v>2</v>
          </cell>
        </row>
        <row r="47">
          <cell r="A47">
            <v>41</v>
          </cell>
          <cell r="B47" t="str">
            <v>Achat de Moto</v>
          </cell>
          <cell r="C47">
            <v>3500</v>
          </cell>
          <cell r="D47" t="str">
            <v>USD</v>
          </cell>
          <cell r="E47" t="str">
            <v>Unité</v>
          </cell>
          <cell r="F47" t="str">
            <v>EQUA</v>
          </cell>
          <cell r="G47">
            <v>2</v>
          </cell>
        </row>
        <row r="48">
          <cell r="A48">
            <v>42</v>
          </cell>
          <cell r="B48" t="str">
            <v>Bicyclette</v>
          </cell>
          <cell r="C48">
            <v>150</v>
          </cell>
          <cell r="D48" t="str">
            <v>USD</v>
          </cell>
          <cell r="E48" t="str">
            <v>Unité</v>
          </cell>
          <cell r="F48" t="str">
            <v>EQUA</v>
          </cell>
          <cell r="G48">
            <v>2</v>
          </cell>
        </row>
        <row r="49">
          <cell r="A49">
            <v>43</v>
          </cell>
          <cell r="B49" t="str">
            <v>Pirogues Motorisées</v>
          </cell>
          <cell r="C49">
            <v>1500</v>
          </cell>
          <cell r="D49" t="str">
            <v>USD</v>
          </cell>
          <cell r="E49" t="str">
            <v>Unité</v>
          </cell>
          <cell r="F49" t="str">
            <v>EQUA</v>
          </cell>
          <cell r="G49">
            <v>2</v>
          </cell>
        </row>
        <row r="50">
          <cell r="A50">
            <v>44</v>
          </cell>
          <cell r="B50" t="str">
            <v>Équipement de bureau</v>
          </cell>
          <cell r="C50">
            <v>2000</v>
          </cell>
          <cell r="D50" t="str">
            <v>USD</v>
          </cell>
          <cell r="E50" t="str">
            <v>Forfait</v>
          </cell>
          <cell r="F50" t="str">
            <v>EQUA</v>
          </cell>
          <cell r="G50">
            <v>2</v>
          </cell>
        </row>
        <row r="51">
          <cell r="A51">
            <v>45</v>
          </cell>
          <cell r="B51" t="str">
            <v>Équipement informatique (lot PC, logiciel,  imprimante, photocopieuse, scanner)</v>
          </cell>
          <cell r="C51">
            <v>2000</v>
          </cell>
          <cell r="D51" t="str">
            <v>USD</v>
          </cell>
          <cell r="E51" t="str">
            <v>Forfait</v>
          </cell>
          <cell r="F51" t="str">
            <v>EQUA</v>
          </cell>
          <cell r="G51">
            <v>2</v>
          </cell>
        </row>
        <row r="52">
          <cell r="A52">
            <v>46</v>
          </cell>
          <cell r="B52" t="str">
            <v>Équipement de laboratoire 1</v>
          </cell>
          <cell r="C52">
            <v>10000</v>
          </cell>
          <cell r="D52" t="str">
            <v>USD</v>
          </cell>
          <cell r="E52" t="str">
            <v>Forfait</v>
          </cell>
          <cell r="F52" t="str">
            <v>EQUS</v>
          </cell>
          <cell r="G52">
            <v>2</v>
          </cell>
        </row>
        <row r="53">
          <cell r="A53">
            <v>47</v>
          </cell>
          <cell r="B53" t="str">
            <v>Équipement de laboratoire 2</v>
          </cell>
          <cell r="C53">
            <v>5000</v>
          </cell>
          <cell r="D53" t="str">
            <v>USD</v>
          </cell>
          <cell r="E53" t="str">
            <v>Forfait</v>
          </cell>
          <cell r="F53" t="str">
            <v>EQUS</v>
          </cell>
          <cell r="G53">
            <v>2</v>
          </cell>
        </row>
        <row r="54">
          <cell r="A54">
            <v>48</v>
          </cell>
          <cell r="B54" t="str">
            <v>Équipement de laboratoire et atelier (supérieur)</v>
          </cell>
          <cell r="C54">
            <v>100000</v>
          </cell>
          <cell r="D54" t="str">
            <v>USD</v>
          </cell>
          <cell r="E54" t="str">
            <v>Forfait</v>
          </cell>
          <cell r="F54" t="str">
            <v>EQUS</v>
          </cell>
          <cell r="G54">
            <v>2</v>
          </cell>
        </row>
        <row r="55">
          <cell r="A55">
            <v>49</v>
          </cell>
          <cell r="B55" t="str">
            <v>Equipement d'un établissement le secondaire spécialisé</v>
          </cell>
          <cell r="C55">
            <v>400000</v>
          </cell>
          <cell r="D55" t="str">
            <v>USD</v>
          </cell>
          <cell r="E55" t="str">
            <v>Forfait</v>
          </cell>
        </row>
        <row r="56">
          <cell r="A56">
            <v>50</v>
          </cell>
          <cell r="B56" t="str">
            <v>Table banc/Table (ETFP)</v>
          </cell>
          <cell r="C56">
            <v>100</v>
          </cell>
          <cell r="D56" t="str">
            <v>USD</v>
          </cell>
          <cell r="E56" t="str">
            <v>Unité</v>
          </cell>
          <cell r="F56" t="str">
            <v>EQUS</v>
          </cell>
        </row>
        <row r="57">
          <cell r="A57">
            <v>51</v>
          </cell>
          <cell r="B57" t="str">
            <v>Kit d'équipements sportifs</v>
          </cell>
          <cell r="C57">
            <v>100</v>
          </cell>
          <cell r="D57" t="str">
            <v>USD</v>
          </cell>
          <cell r="E57" t="str">
            <v>Forfait</v>
          </cell>
          <cell r="F57" t="str">
            <v>EQUS</v>
          </cell>
        </row>
        <row r="58">
          <cell r="A58">
            <v>52</v>
          </cell>
          <cell r="B58" t="str">
            <v>Construction du CNIF</v>
          </cell>
          <cell r="C58">
            <v>1860000</v>
          </cell>
          <cell r="D58" t="str">
            <v>USD</v>
          </cell>
          <cell r="E58" t="str">
            <v>Forfait</v>
          </cell>
        </row>
        <row r="59">
          <cell r="A59">
            <v>53</v>
          </cell>
          <cell r="B59" t="str">
            <v>Équipement du CNIF</v>
          </cell>
          <cell r="C59">
            <v>930000</v>
          </cell>
          <cell r="D59" t="str">
            <v>USD</v>
          </cell>
          <cell r="E59" t="str">
            <v>Forfait</v>
          </cell>
        </row>
        <row r="60">
          <cell r="A60">
            <v>54</v>
          </cell>
          <cell r="B60" t="str">
            <v>Armoire de stockage</v>
          </cell>
          <cell r="C60">
            <v>200</v>
          </cell>
          <cell r="D60" t="str">
            <v>USD</v>
          </cell>
          <cell r="E60" t="str">
            <v>Unité</v>
          </cell>
          <cell r="F60" t="str">
            <v>EQUS</v>
          </cell>
        </row>
        <row r="61">
          <cell r="A61">
            <v>55</v>
          </cell>
          <cell r="B61" t="str">
            <v>Ordinateiur portable</v>
          </cell>
          <cell r="C61">
            <v>1000</v>
          </cell>
          <cell r="D61" t="str">
            <v>USD</v>
          </cell>
          <cell r="E61" t="str">
            <v>Unité</v>
          </cell>
        </row>
        <row r="62">
          <cell r="A62">
            <v>56</v>
          </cell>
          <cell r="B62" t="str">
            <v>Energie Solaire (voltaique)</v>
          </cell>
          <cell r="C62">
            <v>2000</v>
          </cell>
          <cell r="D62" t="str">
            <v>USD</v>
          </cell>
          <cell r="E62" t="str">
            <v>Forfait</v>
          </cell>
        </row>
        <row r="63">
          <cell r="A63">
            <v>57</v>
          </cell>
          <cell r="B63" t="str">
            <v>Distribution du matériel pédagogique</v>
          </cell>
          <cell r="C63">
            <v>500</v>
          </cell>
          <cell r="D63" t="str">
            <v>USD</v>
          </cell>
          <cell r="E63" t="str">
            <v>Forfait</v>
          </cell>
          <cell r="F63" t="str">
            <v>BGC</v>
          </cell>
        </row>
        <row r="64">
          <cell r="A64">
            <v>58</v>
          </cell>
          <cell r="B64" t="str">
            <v>Acquisition et distribution des manuels scolaires</v>
          </cell>
          <cell r="C64">
            <v>3</v>
          </cell>
          <cell r="D64" t="str">
            <v>USD</v>
          </cell>
          <cell r="E64" t="str">
            <v>Unité</v>
          </cell>
        </row>
        <row r="65">
          <cell r="A65">
            <v>59</v>
          </cell>
          <cell r="B65" t="str">
            <v>Acquisition et distribution de plaquettes/brochures/guides/livres</v>
          </cell>
          <cell r="C65">
            <v>2</v>
          </cell>
          <cell r="D65" t="str">
            <v>USD</v>
          </cell>
          <cell r="E65" t="str">
            <v>Unité</v>
          </cell>
        </row>
        <row r="66">
          <cell r="A66">
            <v>60</v>
          </cell>
          <cell r="B66" t="str">
            <v>Numérisation de modules de formation (PROSEB)</v>
          </cell>
          <cell r="C66">
            <v>40000</v>
          </cell>
          <cell r="D66" t="str">
            <v>USD</v>
          </cell>
          <cell r="E66" t="str">
            <v>Forfait</v>
          </cell>
        </row>
        <row r="67">
          <cell r="A67">
            <v>61</v>
          </cell>
          <cell r="B67" t="str">
            <v>Numérisation de modules de formation</v>
          </cell>
          <cell r="C67">
            <v>5000</v>
          </cell>
          <cell r="D67" t="str">
            <v>USD</v>
          </cell>
          <cell r="E67" t="str">
            <v>Forfait</v>
          </cell>
        </row>
        <row r="68">
          <cell r="A68">
            <v>62</v>
          </cell>
          <cell r="B68" t="str">
            <v>Dotation à la création de CRESD</v>
          </cell>
          <cell r="C68">
            <v>5000</v>
          </cell>
          <cell r="D68" t="str">
            <v>USD</v>
          </cell>
          <cell r="E68" t="str">
            <v>Forfait</v>
          </cell>
        </row>
        <row r="69">
          <cell r="A69">
            <v>63</v>
          </cell>
          <cell r="B69" t="str">
            <v>Réhabilitation d'un EES</v>
          </cell>
          <cell r="C69">
            <v>80000</v>
          </cell>
          <cell r="D69" t="str">
            <v>USD</v>
          </cell>
          <cell r="E69" t="str">
            <v>Forfait</v>
          </cell>
        </row>
        <row r="70">
          <cell r="A70">
            <v>64</v>
          </cell>
          <cell r="B70" t="str">
            <v>Construction d'un EES (Art et métiers)</v>
          </cell>
          <cell r="C70">
            <v>300000</v>
          </cell>
          <cell r="D70" t="str">
            <v>USD</v>
          </cell>
          <cell r="E70" t="str">
            <v>Forfait</v>
          </cell>
        </row>
        <row r="71">
          <cell r="A71">
            <v>65</v>
          </cell>
          <cell r="B71" t="str">
            <v>Équipement d'un EES (Art et métiers)</v>
          </cell>
          <cell r="C71">
            <v>150000</v>
          </cell>
          <cell r="D71" t="str">
            <v>USD</v>
          </cell>
          <cell r="E71" t="str">
            <v>Forfait</v>
          </cell>
        </row>
        <row r="72">
          <cell r="A72">
            <v>66</v>
          </cell>
          <cell r="B72" t="str">
            <v>Equipement établissement transformé pour l'ETFP</v>
          </cell>
          <cell r="C72">
            <v>100000</v>
          </cell>
          <cell r="D72" t="str">
            <v>USD</v>
          </cell>
          <cell r="E72" t="str">
            <v>Forfait</v>
          </cell>
        </row>
        <row r="73">
          <cell r="A73">
            <v>67</v>
          </cell>
          <cell r="B73" t="str">
            <v>Connexions internet</v>
          </cell>
          <cell r="C73">
            <v>1400</v>
          </cell>
          <cell r="D73" t="str">
            <v>USD</v>
          </cell>
          <cell r="E73" t="str">
            <v>Budget/an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  <cell r="B87" t="str">
            <v>Production et diffusion de spots / sketchs audios</v>
          </cell>
          <cell r="C87">
            <v>350</v>
          </cell>
          <cell r="D87" t="str">
            <v>USD</v>
          </cell>
          <cell r="E87" t="str">
            <v>Unité</v>
          </cell>
          <cell r="F87" t="str">
            <v>EQUA</v>
          </cell>
          <cell r="G87">
            <v>2</v>
          </cell>
        </row>
        <row r="88">
          <cell r="A88">
            <v>82</v>
          </cell>
          <cell r="B88" t="str">
            <v>Support publicitaire : panneaux</v>
          </cell>
          <cell r="C88">
            <v>2400</v>
          </cell>
          <cell r="D88" t="str">
            <v>USD</v>
          </cell>
          <cell r="E88" t="str">
            <v>Unité/mois</v>
          </cell>
          <cell r="F88" t="str">
            <v>EQUA</v>
          </cell>
          <cell r="G88">
            <v>2</v>
          </cell>
        </row>
        <row r="89">
          <cell r="A89">
            <v>83</v>
          </cell>
          <cell r="B89" t="str">
            <v>Support publicitaire : affiches</v>
          </cell>
          <cell r="C89">
            <v>25</v>
          </cell>
          <cell r="D89" t="str">
            <v>USD</v>
          </cell>
          <cell r="E89" t="str">
            <v>Unité</v>
          </cell>
          <cell r="F89" t="str">
            <v>EQUA</v>
          </cell>
          <cell r="G89">
            <v>2</v>
          </cell>
        </row>
        <row r="90">
          <cell r="A90">
            <v>84</v>
          </cell>
          <cell r="B90" t="str">
            <v>Campagne de sensibilisation</v>
          </cell>
          <cell r="C90">
            <v>1750</v>
          </cell>
          <cell r="D90" t="str">
            <v>USD</v>
          </cell>
          <cell r="E90" t="str">
            <v>Unité</v>
          </cell>
          <cell r="F90" t="str">
            <v>EQUA</v>
          </cell>
          <cell r="G90">
            <v>2</v>
          </cell>
        </row>
        <row r="91">
          <cell r="A91">
            <v>85</v>
          </cell>
          <cell r="B91" t="str">
            <v>Production d'un spot et d'un sketch vidéo</v>
          </cell>
          <cell r="C91">
            <v>8800</v>
          </cell>
          <cell r="D91" t="str">
            <v>USD</v>
          </cell>
          <cell r="E91" t="str">
            <v>Unité</v>
          </cell>
        </row>
        <row r="92">
          <cell r="A92">
            <v>86</v>
          </cell>
          <cell r="B92" t="str">
            <v>Diffusion de spots / sketchs video</v>
          </cell>
          <cell r="C92">
            <v>500</v>
          </cell>
          <cell r="D92" t="str">
            <v>USD</v>
          </cell>
          <cell r="E92" t="str">
            <v>Unité</v>
          </cell>
        </row>
        <row r="93">
          <cell r="A93">
            <v>87</v>
          </cell>
        </row>
        <row r="94">
          <cell r="A94">
            <v>88</v>
          </cell>
          <cell r="B94" t="str">
            <v>Campagne de collecte de terrain</v>
          </cell>
          <cell r="C94">
            <v>96850</v>
          </cell>
          <cell r="D94" t="str">
            <v>USD</v>
          </cell>
          <cell r="E94" t="str">
            <v>Forfait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  <cell r="B97" t="str">
            <v>Fonctionnement d'une classe prépatoire (phase pilote)</v>
          </cell>
          <cell r="C97">
            <v>2000</v>
          </cell>
          <cell r="D97" t="str">
            <v>USD</v>
          </cell>
          <cell r="E97" t="str">
            <v>Forfait</v>
          </cell>
          <cell r="F97" t="str">
            <v>EQUA</v>
          </cell>
          <cell r="G97">
            <v>2</v>
          </cell>
        </row>
        <row r="98">
          <cell r="A98">
            <v>92</v>
          </cell>
          <cell r="B98" t="str">
            <v>Fonctionnement d'une classe prépatoire (phase de généralisation)</v>
          </cell>
          <cell r="C98">
            <v>1000</v>
          </cell>
          <cell r="D98" t="str">
            <v>USD</v>
          </cell>
          <cell r="E98" t="str">
            <v>Forfait</v>
          </cell>
          <cell r="F98" t="str">
            <v>EQUA</v>
          </cell>
          <cell r="G98">
            <v>2</v>
          </cell>
        </row>
        <row r="99">
          <cell r="A99">
            <v>93</v>
          </cell>
          <cell r="B99" t="str">
            <v>Fonctionnement point focal Genre</v>
          </cell>
          <cell r="C99">
            <v>300</v>
          </cell>
          <cell r="D99" t="str">
            <v>USD</v>
          </cell>
          <cell r="E99" t="str">
            <v>Forfait annuel</v>
          </cell>
        </row>
        <row r="100">
          <cell r="A100">
            <v>94</v>
          </cell>
          <cell r="B100" t="str">
            <v>Bonification pour exercice dans des zones isolées</v>
          </cell>
          <cell r="C100">
            <v>400</v>
          </cell>
          <cell r="D100" t="str">
            <v>USD</v>
          </cell>
          <cell r="E100" t="str">
            <v>Forfait annuel</v>
          </cell>
        </row>
        <row r="101">
          <cell r="A101">
            <v>95</v>
          </cell>
          <cell r="B101" t="str">
            <v>Bourse d'études pour les filles à l'ETFP</v>
          </cell>
          <cell r="C101">
            <v>360</v>
          </cell>
          <cell r="D101" t="str">
            <v>USD</v>
          </cell>
          <cell r="E101" t="str">
            <v>Forfait annuel</v>
          </cell>
        </row>
        <row r="102">
          <cell r="A102">
            <v>96</v>
          </cell>
          <cell r="B102" t="str">
            <v>Bourse d'études pour les filles dans les filière d'ingénieurs</v>
          </cell>
          <cell r="C102">
            <v>600</v>
          </cell>
          <cell r="D102" t="str">
            <v>USD</v>
          </cell>
          <cell r="E102" t="str">
            <v>Forfait annuel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  <cell r="B107" t="str">
            <v>Enveloppe pour réhabilitation et équipement des CAQ</v>
          </cell>
          <cell r="C107">
            <v>5000</v>
          </cell>
          <cell r="D107" t="str">
            <v>USD</v>
          </cell>
          <cell r="E107" t="str">
            <v>Forfait</v>
          </cell>
        </row>
        <row r="108">
          <cell r="A108">
            <v>102</v>
          </cell>
          <cell r="B108" t="str">
            <v>Enveloppe pour installation et équipement de l'ANIAQ</v>
          </cell>
          <cell r="C108">
            <v>100000</v>
          </cell>
          <cell r="D108" t="str">
            <v>USD</v>
          </cell>
          <cell r="E108" t="str">
            <v>Forfait</v>
          </cell>
        </row>
        <row r="109">
          <cell r="A109">
            <v>103</v>
          </cell>
          <cell r="B109" t="str">
            <v>Budget de fonctionnement de l'ANIAQ</v>
          </cell>
          <cell r="C109">
            <v>1800000</v>
          </cell>
          <cell r="D109" t="str">
            <v>USD</v>
          </cell>
          <cell r="E109" t="str">
            <v>Forfait</v>
          </cell>
        </row>
        <row r="110">
          <cell r="A110">
            <v>104</v>
          </cell>
          <cell r="B110" t="str">
            <v>Enveloppe pour mobilité des enseignants et chercheurs</v>
          </cell>
          <cell r="C110">
            <v>500000</v>
          </cell>
          <cell r="D110" t="str">
            <v>USD</v>
          </cell>
          <cell r="E110" t="str">
            <v>Forfait</v>
          </cell>
        </row>
        <row r="111">
          <cell r="A111">
            <v>105</v>
          </cell>
          <cell r="B111" t="str">
            <v>Enveloppe pour réhabilitation et équipement de la CPE</v>
          </cell>
          <cell r="C111">
            <v>10000</v>
          </cell>
          <cell r="D111" t="str">
            <v>USD</v>
          </cell>
          <cell r="E111" t="str">
            <v>Forfait</v>
          </cell>
        </row>
        <row r="112">
          <cell r="A112">
            <v>106</v>
          </cell>
          <cell r="B112" t="str">
            <v>Budget de fonctionnement de la CPE</v>
          </cell>
          <cell r="C112">
            <v>240000</v>
          </cell>
          <cell r="D112" t="str">
            <v>USD</v>
          </cell>
          <cell r="E112" t="str">
            <v>Forfait</v>
          </cell>
        </row>
        <row r="113">
          <cell r="A113">
            <v>107</v>
          </cell>
          <cell r="B113" t="str">
            <v>Enveloppe pour équipement du Plan Numérique</v>
          </cell>
          <cell r="C113">
            <v>500000</v>
          </cell>
          <cell r="D113" t="str">
            <v>USD</v>
          </cell>
          <cell r="E113" t="str">
            <v>Forfait/ESS</v>
          </cell>
        </row>
        <row r="114">
          <cell r="A114">
            <v>108</v>
          </cell>
          <cell r="B114" t="str">
            <v>Enveloppe pour installation et équipement du CUI</v>
          </cell>
          <cell r="C114">
            <v>100000</v>
          </cell>
          <cell r="D114" t="str">
            <v>USD</v>
          </cell>
          <cell r="E114" t="str">
            <v>Forfait</v>
          </cell>
        </row>
        <row r="115">
          <cell r="A115">
            <v>109</v>
          </cell>
          <cell r="B115" t="str">
            <v>Budget de fonctionnement du CUI</v>
          </cell>
          <cell r="C115">
            <v>120000</v>
          </cell>
          <cell r="D115" t="str">
            <v>USD</v>
          </cell>
          <cell r="E115" t="str">
            <v>Forfait</v>
          </cell>
        </row>
        <row r="116">
          <cell r="A116">
            <v>110</v>
          </cell>
          <cell r="B116" t="str">
            <v>Enveloppe pour installation et équipement de la BVN</v>
          </cell>
          <cell r="C116">
            <v>1000000</v>
          </cell>
          <cell r="D116" t="str">
            <v>USD</v>
          </cell>
          <cell r="E116" t="str">
            <v>Forfait</v>
          </cell>
        </row>
        <row r="117">
          <cell r="A117">
            <v>111</v>
          </cell>
          <cell r="B117" t="str">
            <v>Budget de fonctionnement de la BVN</v>
          </cell>
          <cell r="C117">
            <v>500000</v>
          </cell>
          <cell r="D117" t="str">
            <v>USD</v>
          </cell>
          <cell r="E117" t="str">
            <v>Forfait</v>
          </cell>
        </row>
        <row r="118">
          <cell r="A118">
            <v>112</v>
          </cell>
          <cell r="B118" t="str">
            <v>Budget de fonctionnement du réseau numérique</v>
          </cell>
          <cell r="C118">
            <v>20000</v>
          </cell>
          <cell r="D118" t="str">
            <v>USD</v>
          </cell>
          <cell r="E118" t="str">
            <v>Forfait/ESS</v>
          </cell>
        </row>
        <row r="119">
          <cell r="A119">
            <v>113</v>
          </cell>
          <cell r="B119" t="str">
            <v>Budget de fonctionnement de l'université virtuelle</v>
          </cell>
          <cell r="C119">
            <v>500000</v>
          </cell>
          <cell r="D119" t="str">
            <v>USD</v>
          </cell>
          <cell r="E119" t="str">
            <v>Forfait</v>
          </cell>
        </row>
        <row r="120">
          <cell r="A120">
            <v>114</v>
          </cell>
          <cell r="B120" t="str">
            <v>Budget des exposition des RR</v>
          </cell>
          <cell r="C120">
            <v>400000</v>
          </cell>
          <cell r="D120" t="str">
            <v>USD</v>
          </cell>
          <cell r="E120" t="str">
            <v>Forfait</v>
          </cell>
        </row>
        <row r="121">
          <cell r="A121">
            <v>115</v>
          </cell>
          <cell r="B121" t="str">
            <v>Prix aux RR</v>
          </cell>
          <cell r="C121">
            <v>5000</v>
          </cell>
          <cell r="D121" t="str">
            <v>USD</v>
          </cell>
          <cell r="E121" t="str">
            <v>Forfait</v>
          </cell>
        </row>
        <row r="122">
          <cell r="A122">
            <v>116</v>
          </cell>
          <cell r="B122" t="str">
            <v>Suvention du Fonds compétif de la recherche</v>
          </cell>
          <cell r="C122">
            <v>200000</v>
          </cell>
          <cell r="D122" t="str">
            <v>USD</v>
          </cell>
          <cell r="E122" t="str">
            <v>Forfait</v>
          </cell>
        </row>
        <row r="123">
          <cell r="A123">
            <v>117</v>
          </cell>
          <cell r="B123" t="str">
            <v>Enveloppe pour réhabilitation et équipement des PUC</v>
          </cell>
          <cell r="C123">
            <v>100000</v>
          </cell>
          <cell r="D123" t="str">
            <v>USD</v>
          </cell>
          <cell r="E123" t="str">
            <v>Forfait</v>
          </cell>
        </row>
        <row r="124">
          <cell r="A124">
            <v>118</v>
          </cell>
          <cell r="B124" t="str">
            <v>Budget de fonctionnement du PUC</v>
          </cell>
          <cell r="C124">
            <v>300000</v>
          </cell>
          <cell r="D124" t="str">
            <v>USD</v>
          </cell>
          <cell r="E124" t="str">
            <v>Forfait</v>
          </cell>
        </row>
        <row r="125">
          <cell r="A125">
            <v>119</v>
          </cell>
          <cell r="B125" t="str">
            <v>Enveloppe pour installer une ED</v>
          </cell>
          <cell r="C125">
            <v>400000</v>
          </cell>
          <cell r="D125" t="str">
            <v>USD</v>
          </cell>
          <cell r="E125" t="str">
            <v>Forfait</v>
          </cell>
        </row>
        <row r="126">
          <cell r="A126">
            <v>120</v>
          </cell>
          <cell r="B126" t="str">
            <v>Budget de fonctionnement d'une ED</v>
          </cell>
          <cell r="C126">
            <v>30000</v>
          </cell>
          <cell r="D126" t="str">
            <v>USD</v>
          </cell>
          <cell r="E126" t="str">
            <v>Forfait</v>
          </cell>
        </row>
        <row r="127">
          <cell r="A127">
            <v>121</v>
          </cell>
          <cell r="B127" t="str">
            <v>Budget de vacation</v>
          </cell>
          <cell r="C127">
            <v>3000000</v>
          </cell>
          <cell r="D127" t="str">
            <v>USD</v>
          </cell>
          <cell r="E127" t="str">
            <v>Forfait</v>
          </cell>
        </row>
        <row r="128">
          <cell r="A128">
            <v>122</v>
          </cell>
          <cell r="B128" t="str">
            <v>Budget pour recrutement d'un enseignant</v>
          </cell>
          <cell r="C128">
            <v>24000</v>
          </cell>
          <cell r="D128" t="str">
            <v>USD</v>
          </cell>
          <cell r="E128" t="str">
            <v>Forfait</v>
          </cell>
        </row>
        <row r="129">
          <cell r="A129">
            <v>123</v>
          </cell>
          <cell r="B129" t="str">
            <v>Bourse doctorale</v>
          </cell>
          <cell r="C129">
            <v>500</v>
          </cell>
          <cell r="D129" t="str">
            <v>USD</v>
          </cell>
          <cell r="E129" t="str">
            <v>Forfait/an</v>
          </cell>
        </row>
        <row r="130">
          <cell r="A130">
            <v>124</v>
          </cell>
          <cell r="B130" t="str">
            <v>Fonctionnement et maintenance d'un site web</v>
          </cell>
          <cell r="C130">
            <v>1000</v>
          </cell>
          <cell r="D130" t="str">
            <v>USD</v>
          </cell>
          <cell r="E130" t="str">
            <v>Forfait/an</v>
          </cell>
        </row>
        <row r="131">
          <cell r="A131">
            <v>125</v>
          </cell>
          <cell r="B131" t="str">
            <v>Enveloppe pour réhabilitation et équipement du centre de ressurce (ENF)</v>
          </cell>
          <cell r="C131">
            <v>50000</v>
          </cell>
          <cell r="D131" t="str">
            <v>USD</v>
          </cell>
          <cell r="E131" t="str">
            <v>Forfait</v>
          </cell>
        </row>
        <row r="132">
          <cell r="A132">
            <v>126</v>
          </cell>
          <cell r="B132" t="str">
            <v>Budget de fonctionnement du centre de ressurce (ENF)</v>
          </cell>
          <cell r="C132">
            <v>20000</v>
          </cell>
          <cell r="D132" t="str">
            <v>USD</v>
          </cell>
          <cell r="E132" t="str">
            <v>Forfait/an</v>
          </cell>
        </row>
        <row r="133">
          <cell r="A133">
            <v>127</v>
          </cell>
          <cell r="B133" t="str">
            <v>Budget de production de plan stratégique (EES)</v>
          </cell>
          <cell r="C133">
            <v>5000</v>
          </cell>
          <cell r="D133" t="str">
            <v>USD</v>
          </cell>
          <cell r="E133" t="str">
            <v>Forfait/an</v>
          </cell>
        </row>
        <row r="134">
          <cell r="A134">
            <v>128</v>
          </cell>
        </row>
        <row r="135">
          <cell r="A135">
            <v>129</v>
          </cell>
        </row>
        <row r="136">
          <cell r="A136">
            <v>130</v>
          </cell>
        </row>
        <row r="137">
          <cell r="A137">
            <v>131</v>
          </cell>
          <cell r="B137" t="str">
            <v>Kit pédagogique pour le primaire</v>
          </cell>
          <cell r="C137">
            <v>500</v>
          </cell>
          <cell r="D137" t="str">
            <v>USD</v>
          </cell>
          <cell r="E137" t="str">
            <v>Forfait</v>
          </cell>
          <cell r="F137" t="str">
            <v>EQUS</v>
          </cell>
        </row>
        <row r="138">
          <cell r="A138">
            <v>132</v>
          </cell>
          <cell r="B138" t="str">
            <v>Kit pédagogique pour le secondaire</v>
          </cell>
          <cell r="C138">
            <v>1500</v>
          </cell>
          <cell r="D138" t="str">
            <v>USD</v>
          </cell>
          <cell r="E138" t="str">
            <v>Forfait</v>
          </cell>
          <cell r="F138" t="str">
            <v>EQUS</v>
          </cell>
        </row>
        <row r="139">
          <cell r="A139">
            <v>133</v>
          </cell>
          <cell r="B139" t="str">
            <v xml:space="preserve">Kit en matériels d'éveil pour une classe </v>
          </cell>
          <cell r="C139">
            <v>300</v>
          </cell>
          <cell r="D139" t="str">
            <v>USD</v>
          </cell>
          <cell r="E139" t="str">
            <v>Forfait</v>
          </cell>
          <cell r="F139" t="str">
            <v>BGC</v>
          </cell>
        </row>
        <row r="140">
          <cell r="A140">
            <v>134</v>
          </cell>
        </row>
        <row r="141">
          <cell r="A141">
            <v>135</v>
          </cell>
        </row>
        <row r="142">
          <cell r="A142">
            <v>136</v>
          </cell>
        </row>
        <row r="143">
          <cell r="A143">
            <v>137</v>
          </cell>
        </row>
        <row r="144">
          <cell r="A144">
            <v>138</v>
          </cell>
        </row>
        <row r="145">
          <cell r="A145">
            <v>139</v>
          </cell>
        </row>
        <row r="146">
          <cell r="A146">
            <v>140</v>
          </cell>
        </row>
        <row r="147">
          <cell r="A147">
            <v>141</v>
          </cell>
        </row>
        <row r="148">
          <cell r="A148">
            <v>142</v>
          </cell>
        </row>
        <row r="149">
          <cell r="A149">
            <v>143</v>
          </cell>
        </row>
        <row r="150">
          <cell r="A150">
            <v>144</v>
          </cell>
        </row>
        <row r="151">
          <cell r="A151">
            <v>145</v>
          </cell>
        </row>
        <row r="152">
          <cell r="A152">
            <v>146</v>
          </cell>
        </row>
        <row r="153">
          <cell r="A153">
            <v>147</v>
          </cell>
        </row>
        <row r="154">
          <cell r="A154">
            <v>148</v>
          </cell>
        </row>
        <row r="155">
          <cell r="A155">
            <v>149</v>
          </cell>
        </row>
        <row r="156">
          <cell r="A156">
            <v>150</v>
          </cell>
        </row>
        <row r="157">
          <cell r="A157">
            <v>151</v>
          </cell>
        </row>
        <row r="158">
          <cell r="A158">
            <v>152</v>
          </cell>
        </row>
        <row r="159">
          <cell r="A159">
            <v>153</v>
          </cell>
        </row>
        <row r="160">
          <cell r="A160">
            <v>154</v>
          </cell>
        </row>
        <row r="161">
          <cell r="A161">
            <v>155</v>
          </cell>
        </row>
        <row r="162">
          <cell r="A162">
            <v>156</v>
          </cell>
        </row>
        <row r="163">
          <cell r="A163">
            <v>157</v>
          </cell>
        </row>
        <row r="164">
          <cell r="A164">
            <v>158</v>
          </cell>
        </row>
        <row r="165">
          <cell r="A165">
            <v>159</v>
          </cell>
        </row>
        <row r="166">
          <cell r="A166">
            <v>160</v>
          </cell>
        </row>
        <row r="167">
          <cell r="A167">
            <v>161</v>
          </cell>
        </row>
        <row r="168">
          <cell r="A168">
            <v>162</v>
          </cell>
        </row>
        <row r="169">
          <cell r="A169">
            <v>163</v>
          </cell>
        </row>
        <row r="170">
          <cell r="A170">
            <v>164</v>
          </cell>
        </row>
        <row r="171">
          <cell r="A171">
            <v>165</v>
          </cell>
        </row>
        <row r="172">
          <cell r="A172">
            <v>166</v>
          </cell>
        </row>
        <row r="173">
          <cell r="A173">
            <v>167</v>
          </cell>
        </row>
        <row r="174">
          <cell r="A174">
            <v>168</v>
          </cell>
        </row>
        <row r="175">
          <cell r="A175">
            <v>169</v>
          </cell>
        </row>
        <row r="176">
          <cell r="A176">
            <v>170</v>
          </cell>
        </row>
        <row r="177">
          <cell r="A177">
            <v>171</v>
          </cell>
        </row>
        <row r="178">
          <cell r="A178">
            <v>172</v>
          </cell>
        </row>
        <row r="179">
          <cell r="A179">
            <v>173</v>
          </cell>
        </row>
        <row r="180">
          <cell r="A180">
            <v>174</v>
          </cell>
        </row>
        <row r="181">
          <cell r="A181">
            <v>175</v>
          </cell>
        </row>
        <row r="182">
          <cell r="A182">
            <v>176</v>
          </cell>
        </row>
        <row r="183">
          <cell r="A183">
            <v>177</v>
          </cell>
        </row>
        <row r="184">
          <cell r="A184">
            <v>178</v>
          </cell>
        </row>
        <row r="185">
          <cell r="A185">
            <v>179</v>
          </cell>
        </row>
        <row r="186">
          <cell r="A186">
            <v>180</v>
          </cell>
        </row>
        <row r="187">
          <cell r="A187">
            <v>181</v>
          </cell>
        </row>
        <row r="188">
          <cell r="A188">
            <v>182</v>
          </cell>
        </row>
        <row r="189">
          <cell r="A189">
            <v>183</v>
          </cell>
        </row>
        <row r="190">
          <cell r="A190">
            <v>184</v>
          </cell>
        </row>
        <row r="191">
          <cell r="A191">
            <v>185</v>
          </cell>
        </row>
        <row r="192">
          <cell r="A192">
            <v>186</v>
          </cell>
        </row>
        <row r="193">
          <cell r="A193">
            <v>187</v>
          </cell>
        </row>
        <row r="194">
          <cell r="A194">
            <v>188</v>
          </cell>
        </row>
        <row r="195">
          <cell r="A195">
            <v>189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192</v>
          </cell>
        </row>
        <row r="199">
          <cell r="A199">
            <v>193</v>
          </cell>
        </row>
        <row r="200">
          <cell r="A200">
            <v>194</v>
          </cell>
        </row>
        <row r="201">
          <cell r="A201">
            <v>195</v>
          </cell>
        </row>
        <row r="202">
          <cell r="A202">
            <v>196</v>
          </cell>
        </row>
        <row r="203">
          <cell r="A203">
            <v>197</v>
          </cell>
        </row>
        <row r="204">
          <cell r="A204">
            <v>198</v>
          </cell>
        </row>
        <row r="205">
          <cell r="A205">
            <v>199</v>
          </cell>
        </row>
        <row r="206">
          <cell r="A206">
            <v>200</v>
          </cell>
        </row>
        <row r="207">
          <cell r="A207">
            <v>201</v>
          </cell>
          <cell r="B207" t="str">
            <v>Paiement d'un enseignant préscolaire</v>
          </cell>
          <cell r="C207">
            <v>1080</v>
          </cell>
          <cell r="D207" t="str">
            <v>USD</v>
          </cell>
          <cell r="E207" t="str">
            <v>Salaire/an/p</v>
          </cell>
        </row>
        <row r="208">
          <cell r="A208">
            <v>202</v>
          </cell>
          <cell r="B208" t="str">
            <v>Paiement d'un enseignant primaire</v>
          </cell>
          <cell r="C208">
            <v>1200</v>
          </cell>
          <cell r="D208" t="str">
            <v>USD</v>
          </cell>
          <cell r="E208" t="str">
            <v>Salaire/an/p</v>
          </cell>
        </row>
        <row r="209">
          <cell r="A209">
            <v>203</v>
          </cell>
          <cell r="B209" t="str">
            <v>Prime pour enseignant primaire en zone isolée</v>
          </cell>
          <cell r="C209">
            <v>480</v>
          </cell>
          <cell r="D209" t="str">
            <v>USD</v>
          </cell>
          <cell r="E209" t="str">
            <v>Prime/an/p</v>
          </cell>
        </row>
        <row r="210">
          <cell r="A210">
            <v>204</v>
          </cell>
          <cell r="B210" t="str">
            <v>Paiement d'un enseignant du secondaire</v>
          </cell>
          <cell r="C210">
            <v>1260</v>
          </cell>
          <cell r="D210" t="str">
            <v>USD</v>
          </cell>
          <cell r="E210" t="str">
            <v>Salaire/an/p</v>
          </cell>
        </row>
        <row r="211">
          <cell r="A211">
            <v>205</v>
          </cell>
          <cell r="B211" t="str">
            <v>Salaire des fonctionnaires services centraux EPS-INC</v>
          </cell>
          <cell r="C211">
            <v>1800</v>
          </cell>
          <cell r="D211" t="str">
            <v>USD</v>
          </cell>
          <cell r="E211" t="str">
            <v>Unité</v>
          </cell>
        </row>
        <row r="212">
          <cell r="A212">
            <v>206</v>
          </cell>
          <cell r="B212" t="str">
            <v>Salaire des fonctionnaires services centraux ESU</v>
          </cell>
          <cell r="C212">
            <v>3828</v>
          </cell>
          <cell r="D212" t="str">
            <v>USD</v>
          </cell>
          <cell r="E212" t="str">
            <v>Unité</v>
          </cell>
        </row>
        <row r="213">
          <cell r="A213">
            <v>207</v>
          </cell>
          <cell r="B213" t="str">
            <v>Salaire des fonctionnaires services centraux MAS</v>
          </cell>
          <cell r="C213">
            <v>150</v>
          </cell>
          <cell r="D213" t="str">
            <v>USD</v>
          </cell>
          <cell r="E213" t="str">
            <v>Unité</v>
          </cell>
        </row>
        <row r="214">
          <cell r="A214">
            <v>208</v>
          </cell>
          <cell r="B214" t="str">
            <v>Salaire des fonctionnaires services centraux ETP</v>
          </cell>
          <cell r="D214" t="str">
            <v>USD</v>
          </cell>
          <cell r="E214" t="str">
            <v>Forfait</v>
          </cell>
        </row>
        <row r="215">
          <cell r="A215">
            <v>209</v>
          </cell>
          <cell r="B215" t="str">
            <v>Salaire des fonctionnaires des bureaux gestionnaires EPS-INC</v>
          </cell>
          <cell r="D215" t="str">
            <v>USD</v>
          </cell>
          <cell r="E215" t="str">
            <v>Forfait</v>
          </cell>
        </row>
        <row r="216">
          <cell r="A216">
            <v>210</v>
          </cell>
          <cell r="B216" t="str">
            <v>Salaire des fonctionnaires des bureaux gestionnaires ESU</v>
          </cell>
          <cell r="D216" t="str">
            <v>USD</v>
          </cell>
          <cell r="E216" t="str">
            <v>Forfait</v>
          </cell>
        </row>
        <row r="217">
          <cell r="A217">
            <v>211</v>
          </cell>
          <cell r="B217" t="str">
            <v>Salaire des fonctionnaires des bureaux gestionnaires MAS</v>
          </cell>
          <cell r="D217" t="str">
            <v>USD</v>
          </cell>
          <cell r="E217" t="str">
            <v>Forfait</v>
          </cell>
        </row>
        <row r="218">
          <cell r="A218">
            <v>212</v>
          </cell>
          <cell r="B218" t="str">
            <v>Salaire des fonctionnaires des bureaux gestionnaires ETP</v>
          </cell>
          <cell r="D218" t="str">
            <v>USD</v>
          </cell>
          <cell r="E218" t="str">
            <v>Forfait</v>
          </cell>
        </row>
        <row r="219">
          <cell r="A219">
            <v>213</v>
          </cell>
          <cell r="B219" t="str">
            <v>Salaire enseignant du supérieur</v>
          </cell>
          <cell r="C219">
            <v>21600</v>
          </cell>
          <cell r="D219" t="str">
            <v>USD</v>
          </cell>
          <cell r="E219" t="str">
            <v>Salaire/an/p</v>
          </cell>
        </row>
        <row r="220">
          <cell r="A220">
            <v>214</v>
          </cell>
        </row>
        <row r="221">
          <cell r="A221">
            <v>215</v>
          </cell>
        </row>
        <row r="222">
          <cell r="A222">
            <v>216</v>
          </cell>
          <cell r="B222" t="str">
            <v>Primes Non Permanentes</v>
          </cell>
          <cell r="C222">
            <v>5</v>
          </cell>
          <cell r="D222" t="str">
            <v>USD</v>
          </cell>
          <cell r="E222" t="str">
            <v>Pers / j</v>
          </cell>
        </row>
        <row r="223">
          <cell r="A223">
            <v>217</v>
          </cell>
          <cell r="B223" t="str">
            <v>Primes d'itinérance (Inspecteurs itinérants)</v>
          </cell>
          <cell r="C223">
            <v>1200</v>
          </cell>
          <cell r="D223" t="str">
            <v>USD</v>
          </cell>
          <cell r="E223" t="str">
            <v>Prime/an</v>
          </cell>
        </row>
        <row r="224">
          <cell r="A224">
            <v>218</v>
          </cell>
        </row>
        <row r="225">
          <cell r="A225">
            <v>219</v>
          </cell>
        </row>
        <row r="226">
          <cell r="A226">
            <v>220</v>
          </cell>
          <cell r="B226" t="str">
            <v>Mission à Kinhsasa des services centraux</v>
          </cell>
          <cell r="C226">
            <v>90</v>
          </cell>
          <cell r="D226" t="str">
            <v>USD</v>
          </cell>
          <cell r="E226" t="str">
            <v>P/j</v>
          </cell>
        </row>
        <row r="227">
          <cell r="A227">
            <v>221</v>
          </cell>
          <cell r="B227" t="str">
            <v>Mission en province des services centraux</v>
          </cell>
          <cell r="C227">
            <v>241.42857142857142</v>
          </cell>
          <cell r="D227" t="str">
            <v>USD</v>
          </cell>
          <cell r="E227" t="str">
            <v>P/j</v>
          </cell>
        </row>
        <row r="228">
          <cell r="A228">
            <v>222</v>
          </cell>
          <cell r="B228" t="str">
            <v>Mission en province des services déconcentrés</v>
          </cell>
          <cell r="C228">
            <v>50</v>
          </cell>
          <cell r="D228" t="str">
            <v>USD</v>
          </cell>
          <cell r="E228" t="str">
            <v>P/j</v>
          </cell>
        </row>
        <row r="229">
          <cell r="A229">
            <v>223</v>
          </cell>
        </row>
        <row r="230">
          <cell r="A230">
            <v>224</v>
          </cell>
        </row>
        <row r="231">
          <cell r="A231">
            <v>225</v>
          </cell>
          <cell r="B231" t="str">
            <v>Subvention pour une école publique à Kinshsasa ou Lubumbashi pour la prise en charge des frais directs de 1ère à 5ème année</v>
          </cell>
          <cell r="C231">
            <v>3</v>
          </cell>
          <cell r="D231" t="str">
            <v>USD</v>
          </cell>
          <cell r="E231" t="str">
            <v>Subvention annuelle/élève</v>
          </cell>
        </row>
        <row r="232">
          <cell r="A232">
            <v>226</v>
          </cell>
          <cell r="B232" t="str">
            <v>Subvention pour prise en charge des frais directs 6ème année</v>
          </cell>
          <cell r="C232">
            <v>11</v>
          </cell>
          <cell r="D232" t="str">
            <v>USD</v>
          </cell>
          <cell r="E232" t="str">
            <v>Subvention annuelle/élève</v>
          </cell>
        </row>
        <row r="233">
          <cell r="A233">
            <v>227</v>
          </cell>
          <cell r="B233" t="str">
            <v>Subvention pour prise en charge des frais directs des apprenants en rattrapage</v>
          </cell>
          <cell r="C233">
            <v>15</v>
          </cell>
          <cell r="D233" t="str">
            <v>USD</v>
          </cell>
          <cell r="E233" t="str">
            <v>Subvention annuelle/élève</v>
          </cell>
        </row>
        <row r="234">
          <cell r="A234">
            <v>228</v>
          </cell>
          <cell r="B234" t="str">
            <v>Subvention pour le fonctionnement d'une école publique secondaire</v>
          </cell>
          <cell r="C234">
            <v>1200</v>
          </cell>
          <cell r="D234" t="str">
            <v>USD</v>
          </cell>
          <cell r="E234" t="str">
            <v>Subvention annuelle/école</v>
          </cell>
        </row>
        <row r="235">
          <cell r="A235">
            <v>229</v>
          </cell>
        </row>
        <row r="236">
          <cell r="A236">
            <v>230</v>
          </cell>
          <cell r="B236" t="str">
            <v>Subvention de fonctionnement des BG du MEPSINC</v>
          </cell>
          <cell r="C236">
            <v>2400</v>
          </cell>
          <cell r="D236" t="str">
            <v>USD</v>
          </cell>
          <cell r="E236" t="str">
            <v>Forfait/an</v>
          </cell>
        </row>
        <row r="237">
          <cell r="A237">
            <v>231</v>
          </cell>
          <cell r="B237" t="str">
            <v>Subvention de fonctionnement des services déconcentrés du METP</v>
          </cell>
        </row>
        <row r="238">
          <cell r="A238">
            <v>232</v>
          </cell>
          <cell r="B238" t="str">
            <v>Subvention de fonctionnement des services déconcentrés du MAS (ENF)</v>
          </cell>
        </row>
        <row r="239">
          <cell r="A239">
            <v>233</v>
          </cell>
          <cell r="B239" t="str">
            <v>Subvention de fonctionnement des Universités et des EES</v>
          </cell>
        </row>
        <row r="240">
          <cell r="A240">
            <v>234</v>
          </cell>
        </row>
        <row r="241">
          <cell r="A241">
            <v>235</v>
          </cell>
          <cell r="B241" t="str">
            <v>Frais de fonctionnement services centraux EPS-INC</v>
          </cell>
        </row>
        <row r="242">
          <cell r="A242">
            <v>236</v>
          </cell>
          <cell r="B242" t="str">
            <v>Frais de fonctionnement services centraux ETP</v>
          </cell>
        </row>
        <row r="243">
          <cell r="A243">
            <v>237</v>
          </cell>
          <cell r="B243" t="str">
            <v>Frais de fonctionnement services centraux MAS (ENF)</v>
          </cell>
        </row>
        <row r="244">
          <cell r="A244">
            <v>238</v>
          </cell>
          <cell r="B244" t="str">
            <v>Frais de fonctionnement services centraux MESU</v>
          </cell>
        </row>
        <row r="245">
          <cell r="A245">
            <v>239</v>
          </cell>
        </row>
        <row r="246">
          <cell r="A246">
            <v>240</v>
          </cell>
          <cell r="B246" t="str">
            <v>Frais de fonctionnement services déconcentrés EPS-INC (Budget)</v>
          </cell>
        </row>
        <row r="247">
          <cell r="A247">
            <v>241</v>
          </cell>
          <cell r="B247" t="str">
            <v>Frais de fonctionnement services déconcentrés EPS-INC (Autres)</v>
          </cell>
        </row>
        <row r="248">
          <cell r="A248">
            <v>242</v>
          </cell>
          <cell r="B248" t="str">
            <v>Frais de fonctionnement services déconcentrés ETP</v>
          </cell>
        </row>
        <row r="249">
          <cell r="A249">
            <v>243</v>
          </cell>
          <cell r="B249" t="str">
            <v>Frais de fonctionnement services déconcentrés MAS (ENF)</v>
          </cell>
        </row>
        <row r="250">
          <cell r="A250">
            <v>244</v>
          </cell>
          <cell r="B250" t="str">
            <v>Frais de fonctionnement services déconcentrés MESU</v>
          </cell>
        </row>
        <row r="251">
          <cell r="A251">
            <v>245</v>
          </cell>
        </row>
        <row r="252">
          <cell r="A252">
            <v>246</v>
          </cell>
        </row>
        <row r="253">
          <cell r="A253">
            <v>247</v>
          </cell>
        </row>
        <row r="254">
          <cell r="A254">
            <v>248</v>
          </cell>
          <cell r="B254" t="str">
            <v>Fonctionnement d'une classe prépatoire (phase pilote)</v>
          </cell>
          <cell r="C254">
            <v>2000</v>
          </cell>
          <cell r="D254" t="str">
            <v>USD</v>
          </cell>
          <cell r="E254" t="str">
            <v>Forfait</v>
          </cell>
        </row>
        <row r="255">
          <cell r="A255">
            <v>249</v>
          </cell>
          <cell r="B255" t="str">
            <v>Fonctionnement d'une classe prépatoire (phase de généralisation)</v>
          </cell>
          <cell r="C255">
            <v>1000</v>
          </cell>
          <cell r="D255" t="str">
            <v>USD</v>
          </cell>
          <cell r="E255" t="str">
            <v>Forfait</v>
          </cell>
        </row>
        <row r="256">
          <cell r="A256">
            <v>250</v>
          </cell>
        </row>
        <row r="257">
          <cell r="A257">
            <v>251</v>
          </cell>
        </row>
        <row r="258">
          <cell r="A258">
            <v>252</v>
          </cell>
        </row>
        <row r="259">
          <cell r="A259">
            <v>253</v>
          </cell>
        </row>
        <row r="260">
          <cell r="A260">
            <v>254</v>
          </cell>
        </row>
        <row r="261">
          <cell r="A261">
            <v>255</v>
          </cell>
        </row>
        <row r="262">
          <cell r="A262">
            <v>256</v>
          </cell>
        </row>
        <row r="263">
          <cell r="A263">
            <v>257</v>
          </cell>
        </row>
        <row r="264">
          <cell r="A264">
            <v>258</v>
          </cell>
        </row>
        <row r="265">
          <cell r="A265">
            <v>259</v>
          </cell>
        </row>
        <row r="266">
          <cell r="A266">
            <v>260</v>
          </cell>
        </row>
        <row r="267">
          <cell r="A267">
            <v>261</v>
          </cell>
        </row>
        <row r="268">
          <cell r="A268">
            <v>262</v>
          </cell>
        </row>
        <row r="269">
          <cell r="A269">
            <v>263</v>
          </cell>
        </row>
        <row r="270">
          <cell r="A270">
            <v>264</v>
          </cell>
        </row>
        <row r="271">
          <cell r="A271">
            <v>265</v>
          </cell>
        </row>
        <row r="272">
          <cell r="A272">
            <v>266</v>
          </cell>
        </row>
        <row r="273">
          <cell r="A273">
            <v>267</v>
          </cell>
        </row>
        <row r="274">
          <cell r="A274">
            <v>268</v>
          </cell>
        </row>
        <row r="275">
          <cell r="A275">
            <v>269</v>
          </cell>
        </row>
        <row r="276">
          <cell r="A276">
            <v>270</v>
          </cell>
        </row>
        <row r="277">
          <cell r="A277">
            <v>271</v>
          </cell>
        </row>
        <row r="278">
          <cell r="A278">
            <v>272</v>
          </cell>
        </row>
        <row r="279">
          <cell r="A279">
            <v>273</v>
          </cell>
        </row>
        <row r="280">
          <cell r="A280">
            <v>274</v>
          </cell>
        </row>
        <row r="281">
          <cell r="A281">
            <v>275</v>
          </cell>
        </row>
        <row r="282">
          <cell r="A282">
            <v>276</v>
          </cell>
        </row>
        <row r="283">
          <cell r="A283">
            <v>277</v>
          </cell>
        </row>
        <row r="284">
          <cell r="A284">
            <v>278</v>
          </cell>
        </row>
        <row r="285">
          <cell r="A285">
            <v>279</v>
          </cell>
        </row>
        <row r="286">
          <cell r="A286">
            <v>280</v>
          </cell>
        </row>
        <row r="287">
          <cell r="A287">
            <v>281</v>
          </cell>
        </row>
        <row r="288">
          <cell r="A288">
            <v>282</v>
          </cell>
        </row>
        <row r="289">
          <cell r="A289">
            <v>283</v>
          </cell>
        </row>
        <row r="290">
          <cell r="A290">
            <v>284</v>
          </cell>
        </row>
        <row r="291">
          <cell r="A291">
            <v>285</v>
          </cell>
        </row>
        <row r="292">
          <cell r="A292">
            <v>286</v>
          </cell>
        </row>
        <row r="293">
          <cell r="A293">
            <v>287</v>
          </cell>
        </row>
        <row r="294">
          <cell r="A294">
            <v>288</v>
          </cell>
        </row>
        <row r="295">
          <cell r="A295">
            <v>289</v>
          </cell>
        </row>
        <row r="296">
          <cell r="A296">
            <v>290</v>
          </cell>
        </row>
        <row r="297">
          <cell r="A297">
            <v>291</v>
          </cell>
        </row>
        <row r="298">
          <cell r="A298">
            <v>292</v>
          </cell>
        </row>
        <row r="299">
          <cell r="A299">
            <v>293</v>
          </cell>
        </row>
        <row r="300">
          <cell r="A300">
            <v>294</v>
          </cell>
        </row>
        <row r="301">
          <cell r="A301">
            <v>295</v>
          </cell>
        </row>
        <row r="302">
          <cell r="A302">
            <v>296</v>
          </cell>
        </row>
        <row r="303">
          <cell r="A303">
            <v>297</v>
          </cell>
        </row>
        <row r="304">
          <cell r="A304">
            <v>298</v>
          </cell>
        </row>
        <row r="305">
          <cell r="A305">
            <v>299</v>
          </cell>
        </row>
        <row r="306">
          <cell r="A306">
            <v>300</v>
          </cell>
        </row>
      </sheetData>
      <sheetData sheetId="1"/>
      <sheetData sheetId="2"/>
      <sheetData sheetId="3">
        <row r="15">
          <cell r="F15">
            <v>139440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Récap"/>
      <sheetName val="Composante1"/>
      <sheetName val="Composante2"/>
      <sheetName val="Composante3"/>
      <sheetName val="Récap Rubriques"/>
      <sheetName val="Nomenc"/>
      <sheetName val="PARSEM - Budget 14-07-04"/>
    </sheetNames>
    <sheetDataSet>
      <sheetData sheetId="0" refreshError="1">
        <row r="3">
          <cell r="C3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Préscolaire"/>
      <sheetName val="Primaire"/>
      <sheetName val="Non Formel"/>
      <sheetName val="Secondaire 1"/>
      <sheetName val="Secondaire 2"/>
      <sheetName val="Supérieur"/>
      <sheetName val="Gestion-Pilotage"/>
      <sheetName val="HZZ"/>
      <sheetName val="HZ"/>
      <sheetName val="Coûts"/>
      <sheetName val="Feuil1"/>
      <sheetName val="Synthèse"/>
      <sheetName val="Texte"/>
      <sheetName val="Suivi"/>
      <sheetName val="VOC"/>
      <sheetName val="TED"/>
      <sheetName val="COH"/>
      <sheetName val="COHE"/>
    </sheetNames>
    <sheetDataSet>
      <sheetData sheetId="0"/>
      <sheetData sheetId="1">
        <row r="472">
          <cell r="K472">
            <v>3547.7098041106601</v>
          </cell>
          <cell r="L472">
            <v>4227.3281484116342</v>
          </cell>
          <cell r="M472">
            <v>4930.4042894842014</v>
          </cell>
          <cell r="N472">
            <v>5656.8454887943262</v>
          </cell>
        </row>
      </sheetData>
      <sheetData sheetId="2">
        <row r="392">
          <cell r="H392">
            <v>43957</v>
          </cell>
          <cell r="I392">
            <v>46781</v>
          </cell>
          <cell r="J392">
            <v>49308</v>
          </cell>
          <cell r="K392">
            <v>51531</v>
          </cell>
          <cell r="L392">
            <v>53366</v>
          </cell>
          <cell r="M392">
            <v>54715</v>
          </cell>
          <cell r="N392">
            <v>55657</v>
          </cell>
          <cell r="O392">
            <v>56421</v>
          </cell>
          <cell r="P392">
            <v>57099</v>
          </cell>
          <cell r="Q392">
            <v>57715</v>
          </cell>
          <cell r="R392">
            <v>58271</v>
          </cell>
        </row>
        <row r="396">
          <cell r="I396">
            <v>370125.36846789642</v>
          </cell>
          <cell r="J396">
            <v>380953.72213687783</v>
          </cell>
          <cell r="K396">
            <v>389031.69847973814</v>
          </cell>
          <cell r="L396">
            <v>393932.51772366592</v>
          </cell>
          <cell r="M396">
            <v>404812.82078459801</v>
          </cell>
          <cell r="N396">
            <v>412722.98057781055</v>
          </cell>
          <cell r="O396">
            <v>419344.79632887465</v>
          </cell>
          <cell r="P396">
            <v>425344.64576830156</v>
          </cell>
          <cell r="Q396">
            <v>430908.58346986584</v>
          </cell>
          <cell r="R396">
            <v>436050.98588855658</v>
          </cell>
        </row>
        <row r="400">
          <cell r="J400">
            <v>242299.66666666666</v>
          </cell>
          <cell r="K400">
            <v>249602.33333333334</v>
          </cell>
          <cell r="L400">
            <v>256905</v>
          </cell>
          <cell r="M400">
            <v>264207.66666666669</v>
          </cell>
          <cell r="N400">
            <v>271510.33333333331</v>
          </cell>
        </row>
        <row r="408">
          <cell r="J408">
            <v>1467.5738803502848</v>
          </cell>
          <cell r="K408">
            <v>1583.5010710500203</v>
          </cell>
          <cell r="L408">
            <v>1696.0598385806904</v>
          </cell>
          <cell r="M408">
            <v>1804.353139980311</v>
          </cell>
          <cell r="N408">
            <v>1895.5441240254979</v>
          </cell>
        </row>
      </sheetData>
      <sheetData sheetId="3">
        <row r="55">
          <cell r="I55">
            <v>5505.8600220887247</v>
          </cell>
          <cell r="J55">
            <v>5464.2988092273672</v>
          </cell>
          <cell r="K55">
            <v>5461.7766588095583</v>
          </cell>
          <cell r="L55">
            <v>5492.9537495152181</v>
          </cell>
          <cell r="M55">
            <v>5554.1385654737951</v>
          </cell>
        </row>
        <row r="133">
          <cell r="I133">
            <v>2198.9106446737742</v>
          </cell>
          <cell r="J133">
            <v>2048.5811781372795</v>
          </cell>
          <cell r="K133">
            <v>1922.9613308107052</v>
          </cell>
          <cell r="L133">
            <v>1816.5911953758448</v>
          </cell>
          <cell r="M133">
            <v>1725.5128499910736</v>
          </cell>
        </row>
      </sheetData>
      <sheetData sheetId="4">
        <row r="344">
          <cell r="J344">
            <v>52377.52814540267</v>
          </cell>
          <cell r="K344">
            <v>54054.704170532423</v>
          </cell>
          <cell r="L344">
            <v>58475.051124035541</v>
          </cell>
          <cell r="M344">
            <v>62895.398077538681</v>
          </cell>
          <cell r="N344">
            <v>67315.745031041806</v>
          </cell>
        </row>
        <row r="352">
          <cell r="J352">
            <v>1485.3628156224406</v>
          </cell>
          <cell r="K352">
            <v>1608.5975016002426</v>
          </cell>
          <cell r="L352">
            <v>1729.1465466213372</v>
          </cell>
          <cell r="M352">
            <v>1846.0355521730089</v>
          </cell>
          <cell r="N352">
            <v>1946.0217298324287</v>
          </cell>
        </row>
      </sheetData>
      <sheetData sheetId="5">
        <row r="648">
          <cell r="I648">
            <v>65966.647879727097</v>
          </cell>
          <cell r="J648">
            <v>65966.647879727097</v>
          </cell>
          <cell r="K648">
            <v>66113.026239894098</v>
          </cell>
          <cell r="L648">
            <v>72542.967195449935</v>
          </cell>
          <cell r="M648">
            <v>79616.655126083977</v>
          </cell>
        </row>
        <row r="650">
          <cell r="J650">
            <v>1485.3628156224404</v>
          </cell>
          <cell r="K650">
            <v>1608.5975016002424</v>
          </cell>
          <cell r="L650">
            <v>1729.1465466213369</v>
          </cell>
          <cell r="M650">
            <v>1846.0355521730087</v>
          </cell>
          <cell r="N650">
            <v>1946.0217298324285</v>
          </cell>
        </row>
      </sheetData>
      <sheetData sheetId="6">
        <row r="280">
          <cell r="I280">
            <v>9049.0169645465012</v>
          </cell>
          <cell r="J280">
            <v>9138.3714320585532</v>
          </cell>
          <cell r="K280">
            <v>9274.8438686467762</v>
          </cell>
          <cell r="L280">
            <v>9457.5065349964279</v>
          </cell>
          <cell r="M280">
            <v>9669.0908832319947</v>
          </cell>
        </row>
        <row r="301">
          <cell r="I301">
            <v>8516.7205899943656</v>
          </cell>
          <cell r="J301">
            <v>8800.7574629974206</v>
          </cell>
          <cell r="K301">
            <v>9125.6014136736776</v>
          </cell>
          <cell r="L301">
            <v>9496.2755579414425</v>
          </cell>
          <cell r="M301">
            <v>9901.6231523497499</v>
          </cell>
        </row>
      </sheetData>
      <sheetData sheetId="7">
        <row r="47">
          <cell r="I47">
            <v>8246318.4454767443</v>
          </cell>
          <cell r="J47">
            <v>8411244.8143862803</v>
          </cell>
          <cell r="K47">
            <v>8579469.7106740065</v>
          </cell>
          <cell r="L47">
            <v>8751059.1048874874</v>
          </cell>
          <cell r="M47">
            <v>8926080.2869852372</v>
          </cell>
        </row>
        <row r="48">
          <cell r="I48">
            <v>859655.15648461832</v>
          </cell>
        </row>
        <row r="49">
          <cell r="I49">
            <v>716315.4</v>
          </cell>
          <cell r="J49">
            <v>730641.70799999998</v>
          </cell>
          <cell r="K49">
            <v>745254.54215999995</v>
          </cell>
          <cell r="L49">
            <v>760159.63300319994</v>
          </cell>
          <cell r="M49">
            <v>775362.82566326391</v>
          </cell>
        </row>
        <row r="51">
          <cell r="I51">
            <v>2061579.6113691861</v>
          </cell>
          <cell r="J51">
            <v>2102811.2035965701</v>
          </cell>
          <cell r="K51">
            <v>2144867.4276685016</v>
          </cell>
          <cell r="L51">
            <v>2187764.7762218718</v>
          </cell>
          <cell r="M51">
            <v>2231520.0717463093</v>
          </cell>
        </row>
        <row r="52">
          <cell r="I52">
            <v>0</v>
          </cell>
        </row>
        <row r="53">
          <cell r="I53">
            <v>79590.600000000006</v>
          </cell>
          <cell r="J53">
            <v>81182.412000000011</v>
          </cell>
          <cell r="K53">
            <v>82806.060240000006</v>
          </cell>
          <cell r="L53">
            <v>84462.181444800008</v>
          </cell>
          <cell r="M53">
            <v>86151.425073696009</v>
          </cell>
        </row>
        <row r="55">
          <cell r="I55">
            <v>5387361.5114785153</v>
          </cell>
          <cell r="J55">
            <v>5956444.936812697</v>
          </cell>
          <cell r="K55">
            <v>6673420.389510422</v>
          </cell>
          <cell r="L55">
            <v>7505656.6419812115</v>
          </cell>
          <cell r="M55">
            <v>8364565.208773314</v>
          </cell>
        </row>
        <row r="56">
          <cell r="I56">
            <v>1469501.5418870498</v>
          </cell>
          <cell r="J56">
            <v>1552726.462760305</v>
          </cell>
          <cell r="K56">
            <v>1661692.5568182659</v>
          </cell>
          <cell r="L56">
            <v>1820432.6509226738</v>
          </cell>
          <cell r="M56">
            <v>1989636.1075156135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I59">
            <v>72452426.937185377</v>
          </cell>
          <cell r="J59">
            <v>80225473.270636767</v>
          </cell>
          <cell r="K59">
            <v>91220527.873368129</v>
          </cell>
          <cell r="L59">
            <v>105834391.70573939</v>
          </cell>
          <cell r="M59">
            <v>123213375.9534983</v>
          </cell>
        </row>
        <row r="60">
          <cell r="I60">
            <v>17625734.373333335</v>
          </cell>
          <cell r="J60">
            <v>18106535.975595351</v>
          </cell>
          <cell r="K60">
            <v>18526144.646660388</v>
          </cell>
          <cell r="L60">
            <v>18939925.419516183</v>
          </cell>
          <cell r="M60">
            <v>19330394.599535033</v>
          </cell>
        </row>
      </sheetData>
      <sheetData sheetId="8">
        <row r="180">
          <cell r="I180">
            <v>337589.18555892829</v>
          </cell>
          <cell r="J180">
            <v>353619.67813664151</v>
          </cell>
          <cell r="K180">
            <v>400460.02807523753</v>
          </cell>
          <cell r="L180">
            <v>448769.60530117381</v>
          </cell>
          <cell r="M180">
            <v>498448.06908172753</v>
          </cell>
        </row>
        <row r="182">
          <cell r="I182">
            <v>5000.0000000000009</v>
          </cell>
          <cell r="J182">
            <v>25762.110112000002</v>
          </cell>
          <cell r="K182">
            <v>127249.6059649524</v>
          </cell>
          <cell r="L182">
            <v>182149.85349257145</v>
          </cell>
          <cell r="M182">
            <v>239341.76433828575</v>
          </cell>
        </row>
      </sheetData>
      <sheetData sheetId="9"/>
      <sheetData sheetId="10">
        <row r="185">
          <cell r="M185">
            <v>108189814.35065727</v>
          </cell>
          <cell r="N185">
            <v>119002328.59150779</v>
          </cell>
          <cell r="O185">
            <v>130329974.98212142</v>
          </cell>
          <cell r="P185">
            <v>141515737.76078576</v>
          </cell>
          <cell r="Q185">
            <v>152260589.39192408</v>
          </cell>
        </row>
        <row r="216">
          <cell r="M216">
            <v>66950980.946850456</v>
          </cell>
          <cell r="N216">
            <v>74938060.118999556</v>
          </cell>
          <cell r="O216">
            <v>83469182.314136416</v>
          </cell>
          <cell r="P216">
            <v>92158777.16186139</v>
          </cell>
          <cell r="Q216">
            <v>100845744.54418047</v>
          </cell>
        </row>
        <row r="247">
          <cell r="M247">
            <v>22093498.388583712</v>
          </cell>
          <cell r="N247">
            <v>24867825.979488943</v>
          </cell>
          <cell r="O247">
            <v>27785353.470335759</v>
          </cell>
          <cell r="P247">
            <v>30695779.617559806</v>
          </cell>
          <cell r="Q247">
            <v>33518915.058249958</v>
          </cell>
        </row>
        <row r="329">
          <cell r="M329">
            <v>2691683.4908641381</v>
          </cell>
          <cell r="N329">
            <v>2698661.6801079083</v>
          </cell>
          <cell r="O329">
            <v>2702346.4513070127</v>
          </cell>
          <cell r="P329">
            <v>2685093.8524967097</v>
          </cell>
          <cell r="Q329">
            <v>2646655.2645154232</v>
          </cell>
        </row>
        <row r="356">
          <cell r="M356">
            <v>6018494.525119287</v>
          </cell>
          <cell r="N356">
            <v>6515171.1922120638</v>
          </cell>
          <cell r="O356">
            <v>7005797.5959622059</v>
          </cell>
          <cell r="P356">
            <v>7439725.4503489742</v>
          </cell>
          <cell r="Q356">
            <v>7805024.4471315527</v>
          </cell>
        </row>
      </sheetData>
      <sheetData sheetId="11"/>
      <sheetData sheetId="12"/>
      <sheetData sheetId="13"/>
      <sheetData sheetId="14"/>
      <sheetData sheetId="15"/>
      <sheetData sheetId="16">
        <row r="88">
          <cell r="K88">
            <v>2634.9566429013862</v>
          </cell>
        </row>
      </sheetData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re2015"/>
    </sheetNames>
    <sheetDataSet>
      <sheetData sheetId="0">
        <row r="22">
          <cell r="F22">
            <v>234997</v>
          </cell>
          <cell r="I22">
            <v>2227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7"/>
  <sheetViews>
    <sheetView showGridLines="0" zoomScale="110" zoomScaleNormal="110" workbookViewId="0"/>
  </sheetViews>
  <sheetFormatPr defaultColWidth="11" defaultRowHeight="12" x14ac:dyDescent="0.2"/>
  <cols>
    <col min="1" max="1" width="5" style="58" customWidth="1"/>
    <col min="2" max="2" width="43.875" style="63" customWidth="1"/>
    <col min="3" max="3" width="11.25" style="58" customWidth="1"/>
    <col min="4" max="4" width="8.75" style="58" customWidth="1"/>
    <col min="5" max="5" width="16.125" style="58" customWidth="1"/>
    <col min="6" max="6" width="3.125" style="58" hidden="1" customWidth="1"/>
    <col min="7" max="7" width="11" style="58" hidden="1" customWidth="1"/>
    <col min="8" max="8" width="10.125" style="58" customWidth="1"/>
    <col min="9" max="10" width="11" style="58"/>
    <col min="11" max="11" width="11" style="668"/>
    <col min="12" max="16384" width="11" style="58"/>
  </cols>
  <sheetData>
    <row r="1" spans="1:12" ht="15.95" customHeight="1" x14ac:dyDescent="0.25">
      <c r="A1" s="93" t="s">
        <v>171</v>
      </c>
      <c r="B1" s="56"/>
      <c r="C1" s="57"/>
      <c r="D1" s="57"/>
      <c r="E1" s="57"/>
    </row>
    <row r="3" spans="1:12" x14ac:dyDescent="0.2">
      <c r="B3" s="59" t="s">
        <v>142</v>
      </c>
      <c r="C3" s="60">
        <v>910</v>
      </c>
      <c r="D3" s="61" t="s">
        <v>143</v>
      </c>
      <c r="E3" s="62"/>
    </row>
    <row r="4" spans="1:12" ht="12.75" thickBot="1" x14ac:dyDescent="0.25">
      <c r="K4" s="668" t="s">
        <v>1203</v>
      </c>
      <c r="L4" s="58" t="s">
        <v>1204</v>
      </c>
    </row>
    <row r="5" spans="1:12" ht="12.75" thickTop="1" x14ac:dyDescent="0.2">
      <c r="A5" s="64"/>
      <c r="B5" s="65" t="s">
        <v>144</v>
      </c>
      <c r="C5" s="66" t="s">
        <v>145</v>
      </c>
      <c r="D5" s="66" t="s">
        <v>1</v>
      </c>
      <c r="E5" s="67" t="s">
        <v>1</v>
      </c>
      <c r="G5" s="68" t="s">
        <v>146</v>
      </c>
      <c r="K5" s="668" t="s">
        <v>1205</v>
      </c>
      <c r="L5" s="58" t="s">
        <v>1206</v>
      </c>
    </row>
    <row r="6" spans="1:12" ht="12.75" thickBot="1" x14ac:dyDescent="0.25">
      <c r="A6" s="69" t="s">
        <v>147</v>
      </c>
      <c r="B6" s="70" t="s">
        <v>148</v>
      </c>
      <c r="C6" s="71"/>
      <c r="D6" s="72" t="s">
        <v>149</v>
      </c>
      <c r="E6" s="73" t="s">
        <v>150</v>
      </c>
      <c r="G6" s="74"/>
    </row>
    <row r="7" spans="1:12" s="75" customFormat="1" ht="16.5" customHeight="1" thickTop="1" x14ac:dyDescent="0.25">
      <c r="A7" s="117">
        <v>1</v>
      </c>
      <c r="B7" s="80" t="s">
        <v>151</v>
      </c>
      <c r="C7" s="118">
        <f>(+(15*650)+3000+300*15)/15</f>
        <v>1150</v>
      </c>
      <c r="D7" s="118" t="s">
        <v>9</v>
      </c>
      <c r="E7" s="81" t="s">
        <v>152</v>
      </c>
      <c r="G7" s="76"/>
      <c r="K7" s="669"/>
    </row>
    <row r="8" spans="1:12" s="75" customFormat="1" ht="16.5" customHeight="1" x14ac:dyDescent="0.25">
      <c r="A8" s="119">
        <f t="shared" ref="A8:A71" si="0">A7+1</f>
        <v>2</v>
      </c>
      <c r="B8" s="80" t="s">
        <v>153</v>
      </c>
      <c r="C8" s="80">
        <v>300</v>
      </c>
      <c r="D8" s="80" t="s">
        <v>9</v>
      </c>
      <c r="E8" s="81" t="s">
        <v>152</v>
      </c>
      <c r="G8" s="78">
        <v>0.98</v>
      </c>
      <c r="K8" s="669"/>
    </row>
    <row r="9" spans="1:12" s="75" customFormat="1" ht="16.5" customHeight="1" x14ac:dyDescent="0.25">
      <c r="A9" s="119">
        <f t="shared" si="0"/>
        <v>3</v>
      </c>
      <c r="B9" s="80" t="s">
        <v>154</v>
      </c>
      <c r="C9" s="118">
        <f>Cinternational*1.5</f>
        <v>1725</v>
      </c>
      <c r="D9" s="118" t="s">
        <v>9</v>
      </c>
      <c r="E9" s="81" t="s">
        <v>155</v>
      </c>
      <c r="G9" s="78">
        <f>G8</f>
        <v>0.98</v>
      </c>
      <c r="H9" s="79"/>
      <c r="K9" s="669"/>
    </row>
    <row r="10" spans="1:12" s="75" customFormat="1" ht="16.5" customHeight="1" x14ac:dyDescent="0.25">
      <c r="A10" s="119">
        <f t="shared" si="0"/>
        <v>4</v>
      </c>
      <c r="B10" s="80" t="s">
        <v>156</v>
      </c>
      <c r="C10" s="118">
        <f>C8*1.5</f>
        <v>450</v>
      </c>
      <c r="D10" s="80" t="s">
        <v>9</v>
      </c>
      <c r="E10" s="81" t="s">
        <v>152</v>
      </c>
      <c r="G10" s="78">
        <f>G9</f>
        <v>0.98</v>
      </c>
      <c r="H10" s="79"/>
      <c r="K10" s="669"/>
    </row>
    <row r="11" spans="1:12" s="75" customFormat="1" ht="16.5" customHeight="1" x14ac:dyDescent="0.25">
      <c r="A11" s="119">
        <f t="shared" si="0"/>
        <v>5</v>
      </c>
      <c r="B11" s="80" t="s">
        <v>157</v>
      </c>
      <c r="C11" s="80">
        <f>ROUND((250+(60*((10*2)+20)+300))/60,-1)</f>
        <v>50</v>
      </c>
      <c r="D11" s="80" t="s">
        <v>9</v>
      </c>
      <c r="E11" s="81" t="s">
        <v>152</v>
      </c>
      <c r="G11" s="78">
        <f>G10</f>
        <v>0.98</v>
      </c>
      <c r="H11" s="79"/>
      <c r="K11" s="669"/>
    </row>
    <row r="12" spans="1:12" s="75" customFormat="1" ht="16.5" customHeight="1" x14ac:dyDescent="0.25">
      <c r="A12" s="119">
        <f t="shared" si="0"/>
        <v>6</v>
      </c>
      <c r="B12" s="80" t="s">
        <v>158</v>
      </c>
      <c r="C12" s="80">
        <v>10</v>
      </c>
      <c r="D12" s="80" t="s">
        <v>9</v>
      </c>
      <c r="E12" s="81" t="s">
        <v>159</v>
      </c>
      <c r="G12" s="78">
        <v>0.8</v>
      </c>
      <c r="H12" s="79"/>
      <c r="K12" s="669"/>
    </row>
    <row r="13" spans="1:12" s="75" customFormat="1" ht="16.5" customHeight="1" x14ac:dyDescent="0.25">
      <c r="A13" s="119">
        <f t="shared" si="0"/>
        <v>7</v>
      </c>
      <c r="B13" s="80" t="s">
        <v>160</v>
      </c>
      <c r="C13" s="80">
        <f>ROUND(150+(250+500)/20,-1)</f>
        <v>190</v>
      </c>
      <c r="D13" s="80" t="s">
        <v>9</v>
      </c>
      <c r="E13" s="81" t="s">
        <v>152</v>
      </c>
      <c r="G13" s="78">
        <v>0.85</v>
      </c>
      <c r="H13" s="79"/>
      <c r="K13" s="669"/>
    </row>
    <row r="14" spans="1:12" s="75" customFormat="1" ht="16.5" customHeight="1" x14ac:dyDescent="0.25">
      <c r="A14" s="119">
        <f t="shared" si="0"/>
        <v>8</v>
      </c>
      <c r="B14" s="80" t="s">
        <v>949</v>
      </c>
      <c r="C14" s="80">
        <f>ROUND(70+(250+500)/20,-1)</f>
        <v>110</v>
      </c>
      <c r="D14" s="80" t="s">
        <v>9</v>
      </c>
      <c r="E14" s="81" t="s">
        <v>152</v>
      </c>
      <c r="G14" s="78">
        <f>G13</f>
        <v>0.85</v>
      </c>
      <c r="H14" s="79"/>
      <c r="K14" s="669"/>
    </row>
    <row r="15" spans="1:12" s="75" customFormat="1" ht="16.5" customHeight="1" x14ac:dyDescent="0.25">
      <c r="A15" s="119">
        <f t="shared" si="0"/>
        <v>9</v>
      </c>
      <c r="B15" s="80" t="s">
        <v>217</v>
      </c>
      <c r="C15" s="80">
        <f>ROUND((30*300+2000)/30,-1)</f>
        <v>370</v>
      </c>
      <c r="D15" s="80" t="s">
        <v>9</v>
      </c>
      <c r="E15" s="81" t="s">
        <v>152</v>
      </c>
      <c r="G15" s="78">
        <v>1</v>
      </c>
      <c r="H15" s="79"/>
      <c r="K15" s="669"/>
    </row>
    <row r="16" spans="1:12" s="75" customFormat="1" ht="16.5" customHeight="1" x14ac:dyDescent="0.25">
      <c r="A16" s="119">
        <f t="shared" si="0"/>
        <v>10</v>
      </c>
      <c r="B16" s="80" t="s">
        <v>279</v>
      </c>
      <c r="C16" s="80">
        <f>ROUND((7*300+2000)/7,-1)</f>
        <v>590</v>
      </c>
      <c r="D16" s="80" t="s">
        <v>9</v>
      </c>
      <c r="E16" s="81" t="s">
        <v>152</v>
      </c>
      <c r="G16" s="78">
        <v>0.95</v>
      </c>
      <c r="H16" s="79"/>
      <c r="K16" s="669"/>
    </row>
    <row r="17" spans="1:11" s="75" customFormat="1" ht="16.5" customHeight="1" x14ac:dyDescent="0.25">
      <c r="A17" s="119">
        <f t="shared" si="0"/>
        <v>11</v>
      </c>
      <c r="B17" s="80" t="s">
        <v>182</v>
      </c>
      <c r="C17" s="80">
        <f>ROUND((250+(20*((10*2)+20)+300))/20,-1)</f>
        <v>70</v>
      </c>
      <c r="D17" s="80" t="s">
        <v>9</v>
      </c>
      <c r="E17" s="81" t="s">
        <v>152</v>
      </c>
      <c r="G17" s="78">
        <v>0.9</v>
      </c>
      <c r="K17" s="669"/>
    </row>
    <row r="18" spans="1:11" s="75" customFormat="1" ht="16.5" customHeight="1" x14ac:dyDescent="0.25">
      <c r="A18" s="119">
        <f t="shared" si="0"/>
        <v>12</v>
      </c>
      <c r="B18" s="80" t="s">
        <v>650</v>
      </c>
      <c r="C18" s="80">
        <f>ROUND(70+(250+500)/10,-1)</f>
        <v>150</v>
      </c>
      <c r="D18" s="80" t="s">
        <v>9</v>
      </c>
      <c r="E18" s="81" t="s">
        <v>152</v>
      </c>
      <c r="K18" s="669"/>
    </row>
    <row r="19" spans="1:11" s="75" customFormat="1" ht="16.5" customHeight="1" x14ac:dyDescent="0.25">
      <c r="A19" s="119">
        <f t="shared" si="0"/>
        <v>13</v>
      </c>
      <c r="B19" s="80" t="s">
        <v>648</v>
      </c>
      <c r="C19" s="80">
        <v>15</v>
      </c>
      <c r="D19" s="80" t="s">
        <v>9</v>
      </c>
      <c r="E19" s="81" t="s">
        <v>152</v>
      </c>
      <c r="K19" s="669"/>
    </row>
    <row r="20" spans="1:11" s="75" customFormat="1" ht="16.5" customHeight="1" x14ac:dyDescent="0.25">
      <c r="A20" s="119">
        <f t="shared" si="0"/>
        <v>14</v>
      </c>
      <c r="B20" s="80" t="s">
        <v>948</v>
      </c>
      <c r="C20" s="80">
        <v>3</v>
      </c>
      <c r="D20" s="80" t="s">
        <v>9</v>
      </c>
      <c r="E20" s="81" t="s">
        <v>159</v>
      </c>
      <c r="K20" s="669"/>
    </row>
    <row r="21" spans="1:11" s="75" customFormat="1" ht="16.5" customHeight="1" x14ac:dyDescent="0.25">
      <c r="A21" s="119">
        <f t="shared" si="0"/>
        <v>15</v>
      </c>
      <c r="B21" s="80"/>
      <c r="C21" s="80"/>
      <c r="D21" s="80"/>
      <c r="E21" s="81" t="s">
        <v>152</v>
      </c>
      <c r="K21" s="669"/>
    </row>
    <row r="22" spans="1:11" s="75" customFormat="1" ht="16.5" customHeight="1" x14ac:dyDescent="0.25">
      <c r="A22" s="119">
        <f t="shared" si="0"/>
        <v>16</v>
      </c>
      <c r="B22" s="80"/>
      <c r="C22" s="80"/>
      <c r="D22" s="80"/>
      <c r="E22" s="81" t="s">
        <v>152</v>
      </c>
      <c r="K22" s="669"/>
    </row>
    <row r="23" spans="1:11" s="75" customFormat="1" ht="16.5" customHeight="1" x14ac:dyDescent="0.25">
      <c r="A23" s="119">
        <f t="shared" si="0"/>
        <v>17</v>
      </c>
      <c r="B23" s="80" t="s">
        <v>215</v>
      </c>
      <c r="C23" s="80">
        <v>30000</v>
      </c>
      <c r="D23" s="80" t="s">
        <v>9</v>
      </c>
      <c r="E23" s="81" t="s">
        <v>159</v>
      </c>
      <c r="K23" s="669"/>
    </row>
    <row r="24" spans="1:11" s="75" customFormat="1" ht="16.5" customHeight="1" x14ac:dyDescent="0.25">
      <c r="A24" s="119">
        <f t="shared" si="0"/>
        <v>18</v>
      </c>
      <c r="B24" s="80" t="s">
        <v>226</v>
      </c>
      <c r="C24" s="80">
        <f>C25/2</f>
        <v>40000</v>
      </c>
      <c r="D24" s="80" t="s">
        <v>9</v>
      </c>
      <c r="E24" s="81" t="s">
        <v>159</v>
      </c>
      <c r="F24" s="82"/>
      <c r="K24" s="669"/>
    </row>
    <row r="25" spans="1:11" s="75" customFormat="1" ht="16.5" customHeight="1" x14ac:dyDescent="0.25">
      <c r="A25" s="119">
        <f t="shared" si="0"/>
        <v>19</v>
      </c>
      <c r="B25" s="80" t="s">
        <v>225</v>
      </c>
      <c r="C25" s="80">
        <v>80000</v>
      </c>
      <c r="D25" s="80" t="s">
        <v>9</v>
      </c>
      <c r="E25" s="81" t="s">
        <v>159</v>
      </c>
      <c r="K25" s="669"/>
    </row>
    <row r="26" spans="1:11" s="75" customFormat="1" ht="16.5" customHeight="1" x14ac:dyDescent="0.25">
      <c r="A26" s="120">
        <f>A25+1</f>
        <v>20</v>
      </c>
      <c r="B26" s="80" t="s">
        <v>161</v>
      </c>
      <c r="C26" s="80">
        <f>13000+3000</f>
        <v>16000</v>
      </c>
      <c r="D26" s="80" t="s">
        <v>9</v>
      </c>
      <c r="E26" s="81" t="s">
        <v>1</v>
      </c>
      <c r="K26" s="669"/>
    </row>
    <row r="27" spans="1:11" s="75" customFormat="1" ht="16.5" customHeight="1" x14ac:dyDescent="0.25">
      <c r="A27" s="119">
        <f t="shared" si="0"/>
        <v>21</v>
      </c>
      <c r="B27" s="80" t="s">
        <v>162</v>
      </c>
      <c r="C27" s="80">
        <f>C26</f>
        <v>16000</v>
      </c>
      <c r="D27" s="80" t="s">
        <v>9</v>
      </c>
      <c r="E27" s="81" t="s">
        <v>1</v>
      </c>
      <c r="K27" s="669"/>
    </row>
    <row r="28" spans="1:11" s="75" customFormat="1" ht="16.5" customHeight="1" x14ac:dyDescent="0.25">
      <c r="A28" s="119">
        <f t="shared" si="0"/>
        <v>22</v>
      </c>
      <c r="B28" s="80" t="s">
        <v>163</v>
      </c>
      <c r="C28" s="80">
        <f>C27*1.25</f>
        <v>20000</v>
      </c>
      <c r="D28" s="80" t="s">
        <v>9</v>
      </c>
      <c r="E28" s="81" t="s">
        <v>1</v>
      </c>
      <c r="K28" s="669"/>
    </row>
    <row r="29" spans="1:11" s="75" customFormat="1" ht="16.5" customHeight="1" x14ac:dyDescent="0.25">
      <c r="A29" s="119">
        <f t="shared" si="0"/>
        <v>23</v>
      </c>
      <c r="B29" s="80" t="s">
        <v>164</v>
      </c>
      <c r="C29" s="80">
        <f>C28*1.2</f>
        <v>24000</v>
      </c>
      <c r="D29" s="80" t="s">
        <v>9</v>
      </c>
      <c r="E29" s="81" t="s">
        <v>1</v>
      </c>
      <c r="K29" s="669"/>
    </row>
    <row r="30" spans="1:11" s="75" customFormat="1" ht="16.5" customHeight="1" x14ac:dyDescent="0.25">
      <c r="A30" s="119">
        <f t="shared" si="0"/>
        <v>24</v>
      </c>
      <c r="B30" s="80" t="s">
        <v>280</v>
      </c>
      <c r="C30" s="80">
        <f>25000/25</f>
        <v>1000</v>
      </c>
      <c r="D30" s="80" t="s">
        <v>9</v>
      </c>
      <c r="E30" s="81" t="s">
        <v>1</v>
      </c>
      <c r="K30" s="669"/>
    </row>
    <row r="31" spans="1:11" s="75" customFormat="1" ht="16.5" customHeight="1" x14ac:dyDescent="0.25">
      <c r="A31" s="119">
        <f t="shared" si="0"/>
        <v>25</v>
      </c>
      <c r="B31" s="80" t="s">
        <v>165</v>
      </c>
      <c r="C31" s="80">
        <f>0.6*C26</f>
        <v>9600</v>
      </c>
      <c r="D31" s="80" t="s">
        <v>9</v>
      </c>
      <c r="E31" s="81" t="s">
        <v>1</v>
      </c>
      <c r="K31" s="669"/>
    </row>
    <row r="32" spans="1:11" s="75" customFormat="1" ht="16.5" customHeight="1" x14ac:dyDescent="0.25">
      <c r="A32" s="119">
        <f t="shared" si="0"/>
        <v>26</v>
      </c>
      <c r="B32" s="80" t="s">
        <v>281</v>
      </c>
      <c r="C32" s="80">
        <f>0.6*C27</f>
        <v>9600</v>
      </c>
      <c r="D32" s="80" t="s">
        <v>9</v>
      </c>
      <c r="E32" s="81" t="s">
        <v>1</v>
      </c>
      <c r="K32" s="669"/>
    </row>
    <row r="33" spans="1:11" s="75" customFormat="1" ht="16.5" customHeight="1" x14ac:dyDescent="0.25">
      <c r="A33" s="119">
        <f t="shared" si="0"/>
        <v>27</v>
      </c>
      <c r="B33" s="80" t="s">
        <v>166</v>
      </c>
      <c r="C33" s="80">
        <f>0.6*C28</f>
        <v>12000</v>
      </c>
      <c r="D33" s="80" t="s">
        <v>9</v>
      </c>
      <c r="E33" s="81" t="s">
        <v>1</v>
      </c>
      <c r="K33" s="669"/>
    </row>
    <row r="34" spans="1:11" s="75" customFormat="1" ht="16.5" customHeight="1" x14ac:dyDescent="0.25">
      <c r="A34" s="119">
        <f t="shared" si="0"/>
        <v>28</v>
      </c>
      <c r="B34" s="80" t="s">
        <v>167</v>
      </c>
      <c r="C34" s="80">
        <f>0.6*C29</f>
        <v>14400</v>
      </c>
      <c r="D34" s="80" t="s">
        <v>9</v>
      </c>
      <c r="E34" s="81" t="s">
        <v>1</v>
      </c>
      <c r="K34" s="669"/>
    </row>
    <row r="35" spans="1:11" s="75" customFormat="1" ht="16.5" customHeight="1" x14ac:dyDescent="0.25">
      <c r="A35" s="119">
        <f t="shared" si="0"/>
        <v>29</v>
      </c>
      <c r="B35" s="80" t="s">
        <v>976</v>
      </c>
      <c r="C35" s="80">
        <f>0.6*C30</f>
        <v>600</v>
      </c>
      <c r="D35" s="80" t="s">
        <v>9</v>
      </c>
      <c r="E35" s="81" t="s">
        <v>1</v>
      </c>
      <c r="K35" s="669"/>
    </row>
    <row r="36" spans="1:11" s="75" customFormat="1" ht="16.5" customHeight="1" x14ac:dyDescent="0.25">
      <c r="A36" s="119">
        <f t="shared" si="0"/>
        <v>30</v>
      </c>
      <c r="B36" s="80" t="s">
        <v>282</v>
      </c>
      <c r="C36" s="80">
        <v>2000</v>
      </c>
      <c r="D36" s="80" t="s">
        <v>9</v>
      </c>
      <c r="E36" s="81" t="s">
        <v>1</v>
      </c>
      <c r="K36" s="669"/>
    </row>
    <row r="37" spans="1:11" s="75" customFormat="1" ht="16.5" customHeight="1" x14ac:dyDescent="0.25">
      <c r="A37" s="119">
        <f t="shared" si="0"/>
        <v>31</v>
      </c>
      <c r="B37" s="80" t="s">
        <v>252</v>
      </c>
      <c r="C37" s="80">
        <f>(400*300)+(100*300)</f>
        <v>150000</v>
      </c>
      <c r="D37" s="80" t="s">
        <v>9</v>
      </c>
      <c r="E37" s="81" t="s">
        <v>159</v>
      </c>
      <c r="K37" s="669"/>
    </row>
    <row r="38" spans="1:11" s="75" customFormat="1" ht="16.5" customHeight="1" x14ac:dyDescent="0.25">
      <c r="A38" s="119">
        <f t="shared" si="0"/>
        <v>32</v>
      </c>
      <c r="B38" s="83" t="s">
        <v>255</v>
      </c>
      <c r="C38" s="80">
        <f>(400*100)+(100*100)</f>
        <v>50000</v>
      </c>
      <c r="D38" s="80" t="s">
        <v>9</v>
      </c>
      <c r="E38" s="81" t="s">
        <v>159</v>
      </c>
      <c r="K38" s="669"/>
    </row>
    <row r="39" spans="1:11" s="75" customFormat="1" ht="16.5" customHeight="1" x14ac:dyDescent="0.25">
      <c r="A39" s="119">
        <f t="shared" si="0"/>
        <v>33</v>
      </c>
      <c r="B39" s="80" t="s">
        <v>257</v>
      </c>
      <c r="C39" s="80">
        <v>50000</v>
      </c>
      <c r="D39" s="80" t="s">
        <v>9</v>
      </c>
      <c r="E39" s="81" t="s">
        <v>159</v>
      </c>
      <c r="K39" s="669"/>
    </row>
    <row r="40" spans="1:11" s="75" customFormat="1" ht="16.5" customHeight="1" x14ac:dyDescent="0.25">
      <c r="A40" s="119">
        <f t="shared" si="0"/>
        <v>34</v>
      </c>
      <c r="B40" s="83" t="s">
        <v>245</v>
      </c>
      <c r="C40" s="80">
        <v>400000</v>
      </c>
      <c r="D40" s="80" t="s">
        <v>9</v>
      </c>
      <c r="E40" s="81" t="s">
        <v>159</v>
      </c>
      <c r="K40" s="669"/>
    </row>
    <row r="41" spans="1:11" s="75" customFormat="1" ht="16.5" customHeight="1" x14ac:dyDescent="0.25">
      <c r="A41" s="119">
        <f t="shared" si="0"/>
        <v>35</v>
      </c>
      <c r="B41" s="83" t="s">
        <v>246</v>
      </c>
      <c r="C41" s="80">
        <v>400000</v>
      </c>
      <c r="D41" s="80" t="s">
        <v>9</v>
      </c>
      <c r="E41" s="81" t="s">
        <v>159</v>
      </c>
      <c r="K41" s="669"/>
    </row>
    <row r="42" spans="1:11" s="75" customFormat="1" ht="16.5" customHeight="1" x14ac:dyDescent="0.25">
      <c r="A42" s="119">
        <f t="shared" si="0"/>
        <v>36</v>
      </c>
      <c r="B42" s="83" t="s">
        <v>834</v>
      </c>
      <c r="C42" s="80">
        <f>AVERAGE(C33,C32)</f>
        <v>10800</v>
      </c>
      <c r="D42" s="80" t="s">
        <v>9</v>
      </c>
      <c r="E42" s="81" t="s">
        <v>159</v>
      </c>
      <c r="K42" s="669"/>
    </row>
    <row r="43" spans="1:11" s="75" customFormat="1" ht="16.5" customHeight="1" x14ac:dyDescent="0.25">
      <c r="A43" s="119">
        <f t="shared" si="0"/>
        <v>37</v>
      </c>
      <c r="B43" s="83" t="s">
        <v>283</v>
      </c>
      <c r="C43" s="80">
        <v>500</v>
      </c>
      <c r="D43" s="80" t="s">
        <v>9</v>
      </c>
      <c r="E43" s="81" t="s">
        <v>1</v>
      </c>
      <c r="K43" s="669"/>
    </row>
    <row r="44" spans="1:11" s="75" customFormat="1" ht="16.5" customHeight="1" x14ac:dyDescent="0.25">
      <c r="A44" s="119">
        <f t="shared" si="0"/>
        <v>38</v>
      </c>
      <c r="B44" s="83" t="s">
        <v>284</v>
      </c>
      <c r="C44" s="80">
        <v>10000</v>
      </c>
      <c r="D44" s="80" t="s">
        <v>9</v>
      </c>
      <c r="E44" s="81" t="s">
        <v>285</v>
      </c>
      <c r="K44" s="669"/>
    </row>
    <row r="45" spans="1:11" s="75" customFormat="1" ht="16.5" customHeight="1" x14ac:dyDescent="0.25">
      <c r="A45" s="119">
        <f t="shared" si="0"/>
        <v>39</v>
      </c>
      <c r="B45" s="83" t="s">
        <v>835</v>
      </c>
      <c r="C45" s="80">
        <v>600</v>
      </c>
      <c r="D45" s="80" t="s">
        <v>9</v>
      </c>
      <c r="E45" s="81" t="s">
        <v>159</v>
      </c>
      <c r="K45" s="669"/>
    </row>
    <row r="46" spans="1:11" s="75" customFormat="1" ht="16.5" customHeight="1" x14ac:dyDescent="0.25">
      <c r="A46" s="120">
        <f>A45+1</f>
        <v>40</v>
      </c>
      <c r="B46" s="83" t="s">
        <v>286</v>
      </c>
      <c r="C46" s="80">
        <v>30000</v>
      </c>
      <c r="D46" s="80" t="s">
        <v>9</v>
      </c>
      <c r="E46" s="81" t="s">
        <v>1</v>
      </c>
      <c r="K46" s="669"/>
    </row>
    <row r="47" spans="1:11" s="75" customFormat="1" ht="16.5" customHeight="1" x14ac:dyDescent="0.25">
      <c r="A47" s="119">
        <f t="shared" si="0"/>
        <v>41</v>
      </c>
      <c r="B47" s="83" t="s">
        <v>287</v>
      </c>
      <c r="C47" s="80">
        <v>3000</v>
      </c>
      <c r="D47" s="80" t="s">
        <v>9</v>
      </c>
      <c r="E47" s="81" t="s">
        <v>1</v>
      </c>
      <c r="K47" s="669"/>
    </row>
    <row r="48" spans="1:11" s="75" customFormat="1" ht="16.5" customHeight="1" x14ac:dyDescent="0.25">
      <c r="A48" s="119">
        <f t="shared" si="0"/>
        <v>42</v>
      </c>
      <c r="B48" s="83" t="s">
        <v>168</v>
      </c>
      <c r="C48" s="80">
        <v>150</v>
      </c>
      <c r="D48" s="80" t="s">
        <v>9</v>
      </c>
      <c r="E48" s="81" t="s">
        <v>1</v>
      </c>
      <c r="K48" s="669"/>
    </row>
    <row r="49" spans="1:11" s="75" customFormat="1" ht="16.5" customHeight="1" x14ac:dyDescent="0.25">
      <c r="A49" s="119">
        <f t="shared" si="0"/>
        <v>43</v>
      </c>
      <c r="B49" s="83" t="s">
        <v>288</v>
      </c>
      <c r="C49" s="80">
        <v>1500</v>
      </c>
      <c r="D49" s="80" t="s">
        <v>9</v>
      </c>
      <c r="E49" s="81" t="s">
        <v>1</v>
      </c>
      <c r="K49" s="669"/>
    </row>
    <row r="50" spans="1:11" s="75" customFormat="1" ht="16.5" customHeight="1" x14ac:dyDescent="0.25">
      <c r="A50" s="119">
        <f t="shared" si="0"/>
        <v>44</v>
      </c>
      <c r="B50" s="80" t="s">
        <v>169</v>
      </c>
      <c r="C50" s="80">
        <v>2000</v>
      </c>
      <c r="D50" s="80" t="s">
        <v>9</v>
      </c>
      <c r="E50" s="81" t="s">
        <v>159</v>
      </c>
      <c r="K50" s="669"/>
    </row>
    <row r="51" spans="1:11" s="75" customFormat="1" ht="16.5" customHeight="1" x14ac:dyDescent="0.25">
      <c r="A51" s="119">
        <f t="shared" si="0"/>
        <v>45</v>
      </c>
      <c r="B51" s="80" t="s">
        <v>289</v>
      </c>
      <c r="C51" s="80">
        <v>1500</v>
      </c>
      <c r="D51" s="80" t="s">
        <v>9</v>
      </c>
      <c r="E51" s="81" t="s">
        <v>159</v>
      </c>
      <c r="K51" s="669"/>
    </row>
    <row r="52" spans="1:11" s="75" customFormat="1" ht="16.5" customHeight="1" x14ac:dyDescent="0.25">
      <c r="A52" s="119">
        <f t="shared" si="0"/>
        <v>46</v>
      </c>
      <c r="B52" s="83" t="s">
        <v>290</v>
      </c>
      <c r="C52" s="80">
        <v>10000</v>
      </c>
      <c r="D52" s="80" t="s">
        <v>9</v>
      </c>
      <c r="E52" s="81" t="s">
        <v>159</v>
      </c>
      <c r="K52" s="669"/>
    </row>
    <row r="53" spans="1:11" s="75" customFormat="1" ht="16.5" customHeight="1" x14ac:dyDescent="0.25">
      <c r="A53" s="119">
        <f t="shared" si="0"/>
        <v>47</v>
      </c>
      <c r="B53" s="83" t="s">
        <v>170</v>
      </c>
      <c r="C53" s="80">
        <v>5000</v>
      </c>
      <c r="D53" s="80" t="s">
        <v>9</v>
      </c>
      <c r="E53" s="81" t="s">
        <v>159</v>
      </c>
      <c r="K53" s="669"/>
    </row>
    <row r="54" spans="1:11" s="75" customFormat="1" ht="16.5" customHeight="1" x14ac:dyDescent="0.25">
      <c r="A54" s="119">
        <f t="shared" si="0"/>
        <v>48</v>
      </c>
      <c r="B54" s="83" t="s">
        <v>258</v>
      </c>
      <c r="C54" s="80">
        <v>100000</v>
      </c>
      <c r="D54" s="80" t="s">
        <v>9</v>
      </c>
      <c r="E54" s="81" t="s">
        <v>159</v>
      </c>
      <c r="K54" s="669"/>
    </row>
    <row r="55" spans="1:11" s="75" customFormat="1" ht="16.5" customHeight="1" x14ac:dyDescent="0.25">
      <c r="A55" s="119">
        <f t="shared" si="0"/>
        <v>49</v>
      </c>
      <c r="B55" s="83" t="s">
        <v>715</v>
      </c>
      <c r="C55" s="80">
        <v>400000</v>
      </c>
      <c r="D55" s="80" t="s">
        <v>9</v>
      </c>
      <c r="E55" s="81" t="s">
        <v>159</v>
      </c>
      <c r="K55" s="669"/>
    </row>
    <row r="56" spans="1:11" s="75" customFormat="1" ht="16.5" customHeight="1" x14ac:dyDescent="0.25">
      <c r="A56" s="119">
        <f t="shared" si="0"/>
        <v>50</v>
      </c>
      <c r="B56" s="83" t="s">
        <v>291</v>
      </c>
      <c r="C56" s="80">
        <v>100</v>
      </c>
      <c r="D56" s="80" t="s">
        <v>9</v>
      </c>
      <c r="E56" s="81" t="s">
        <v>1</v>
      </c>
      <c r="K56" s="669"/>
    </row>
    <row r="57" spans="1:11" s="75" customFormat="1" ht="16.5" customHeight="1" x14ac:dyDescent="0.25">
      <c r="A57" s="119">
        <f t="shared" si="0"/>
        <v>51</v>
      </c>
      <c r="B57" s="80" t="s">
        <v>292</v>
      </c>
      <c r="C57" s="80">
        <v>100</v>
      </c>
      <c r="D57" s="80" t="s">
        <v>9</v>
      </c>
      <c r="E57" s="81" t="s">
        <v>159</v>
      </c>
      <c r="K57" s="669"/>
    </row>
    <row r="58" spans="1:11" s="75" customFormat="1" ht="16.5" customHeight="1" x14ac:dyDescent="0.25">
      <c r="A58" s="119">
        <f t="shared" si="0"/>
        <v>52</v>
      </c>
      <c r="B58" s="83" t="s">
        <v>293</v>
      </c>
      <c r="C58" s="80">
        <f>(4*(300*3+25*20+150))*150+(300*3+25*20+150)*600</f>
        <v>1860000</v>
      </c>
      <c r="D58" s="80" t="s">
        <v>9</v>
      </c>
      <c r="E58" s="81" t="s">
        <v>159</v>
      </c>
      <c r="K58" s="669"/>
    </row>
    <row r="59" spans="1:11" s="75" customFormat="1" ht="16.5" customHeight="1" x14ac:dyDescent="0.25">
      <c r="A59" s="119">
        <f t="shared" si="0"/>
        <v>53</v>
      </c>
      <c r="B59" s="83" t="s">
        <v>294</v>
      </c>
      <c r="C59" s="80">
        <f>0.5*C58</f>
        <v>930000</v>
      </c>
      <c r="D59" s="80" t="s">
        <v>9</v>
      </c>
      <c r="E59" s="81" t="s">
        <v>159</v>
      </c>
      <c r="K59" s="669"/>
    </row>
    <row r="60" spans="1:11" s="75" customFormat="1" ht="16.5" customHeight="1" x14ac:dyDescent="0.25">
      <c r="A60" s="119">
        <f t="shared" si="0"/>
        <v>54</v>
      </c>
      <c r="B60" s="83" t="s">
        <v>295</v>
      </c>
      <c r="C60" s="80">
        <v>200</v>
      </c>
      <c r="D60" s="80" t="s">
        <v>9</v>
      </c>
      <c r="E60" s="81" t="s">
        <v>1</v>
      </c>
      <c r="K60" s="669"/>
    </row>
    <row r="61" spans="1:11" s="75" customFormat="1" ht="16.5" customHeight="1" x14ac:dyDescent="0.25">
      <c r="A61" s="119">
        <f t="shared" si="0"/>
        <v>55</v>
      </c>
      <c r="B61" s="87" t="s">
        <v>768</v>
      </c>
      <c r="C61" s="80">
        <v>1000</v>
      </c>
      <c r="D61" s="80" t="s">
        <v>9</v>
      </c>
      <c r="E61" s="81" t="s">
        <v>1</v>
      </c>
      <c r="K61" s="669"/>
    </row>
    <row r="62" spans="1:11" s="75" customFormat="1" ht="16.5" customHeight="1" x14ac:dyDescent="0.25">
      <c r="A62" s="119">
        <f t="shared" si="0"/>
        <v>56</v>
      </c>
      <c r="B62" s="87" t="s">
        <v>296</v>
      </c>
      <c r="C62" s="80">
        <v>2000</v>
      </c>
      <c r="D62" s="80" t="s">
        <v>9</v>
      </c>
      <c r="E62" s="81" t="s">
        <v>159</v>
      </c>
      <c r="K62" s="669"/>
    </row>
    <row r="63" spans="1:11" s="75" customFormat="1" ht="16.5" customHeight="1" x14ac:dyDescent="0.25">
      <c r="A63" s="119">
        <f t="shared" si="0"/>
        <v>57</v>
      </c>
      <c r="B63" s="83" t="s">
        <v>913</v>
      </c>
      <c r="C63" s="80">
        <v>500</v>
      </c>
      <c r="D63" s="80" t="s">
        <v>9</v>
      </c>
      <c r="E63" s="81" t="s">
        <v>914</v>
      </c>
      <c r="K63" s="669"/>
    </row>
    <row r="64" spans="1:11" s="75" customFormat="1" ht="16.5" customHeight="1" x14ac:dyDescent="0.25">
      <c r="A64" s="119">
        <f t="shared" si="0"/>
        <v>58</v>
      </c>
      <c r="B64" s="83" t="s">
        <v>297</v>
      </c>
      <c r="C64" s="121">
        <v>3</v>
      </c>
      <c r="D64" s="80" t="s">
        <v>9</v>
      </c>
      <c r="E64" s="81" t="s">
        <v>1</v>
      </c>
      <c r="K64" s="669"/>
    </row>
    <row r="65" spans="1:11" s="75" customFormat="1" ht="16.5" customHeight="1" x14ac:dyDescent="0.25">
      <c r="A65" s="119">
        <f t="shared" si="0"/>
        <v>59</v>
      </c>
      <c r="B65" s="83" t="s">
        <v>298</v>
      </c>
      <c r="C65" s="121">
        <v>2</v>
      </c>
      <c r="D65" s="80" t="s">
        <v>9</v>
      </c>
      <c r="E65" s="81" t="s">
        <v>1</v>
      </c>
      <c r="K65" s="669"/>
    </row>
    <row r="66" spans="1:11" s="75" customFormat="1" ht="16.5" customHeight="1" x14ac:dyDescent="0.25">
      <c r="A66" s="119">
        <f t="shared" si="0"/>
        <v>60</v>
      </c>
      <c r="B66" s="80" t="s">
        <v>299</v>
      </c>
      <c r="C66" s="80">
        <v>40000</v>
      </c>
      <c r="D66" s="80" t="s">
        <v>9</v>
      </c>
      <c r="E66" s="81" t="s">
        <v>159</v>
      </c>
      <c r="K66" s="669"/>
    </row>
    <row r="67" spans="1:11" s="75" customFormat="1" ht="16.5" customHeight="1" x14ac:dyDescent="0.25">
      <c r="A67" s="119">
        <f t="shared" si="0"/>
        <v>61</v>
      </c>
      <c r="B67" s="80" t="s">
        <v>300</v>
      </c>
      <c r="C67" s="80">
        <v>5000</v>
      </c>
      <c r="D67" s="80" t="s">
        <v>9</v>
      </c>
      <c r="E67" s="81" t="s">
        <v>159</v>
      </c>
      <c r="K67" s="669"/>
    </row>
    <row r="68" spans="1:11" s="75" customFormat="1" ht="16.5" customHeight="1" x14ac:dyDescent="0.25">
      <c r="A68" s="119">
        <f t="shared" si="0"/>
        <v>62</v>
      </c>
      <c r="B68" s="83" t="s">
        <v>301</v>
      </c>
      <c r="C68" s="80">
        <v>5000</v>
      </c>
      <c r="D68" s="80" t="s">
        <v>9</v>
      </c>
      <c r="E68" s="81" t="s">
        <v>159</v>
      </c>
      <c r="K68" s="669"/>
    </row>
    <row r="69" spans="1:11" s="75" customFormat="1" ht="16.5" customHeight="1" x14ac:dyDescent="0.25">
      <c r="A69" s="119">
        <f t="shared" si="0"/>
        <v>63</v>
      </c>
      <c r="B69" s="83" t="s">
        <v>302</v>
      </c>
      <c r="C69" s="80">
        <v>150000</v>
      </c>
      <c r="D69" s="80" t="s">
        <v>9</v>
      </c>
      <c r="E69" s="81" t="s">
        <v>159</v>
      </c>
      <c r="K69" s="669"/>
    </row>
    <row r="70" spans="1:11" s="75" customFormat="1" ht="16.5" customHeight="1" x14ac:dyDescent="0.25">
      <c r="A70" s="119">
        <f t="shared" si="0"/>
        <v>64</v>
      </c>
      <c r="B70" s="83" t="s">
        <v>303</v>
      </c>
      <c r="C70" s="80">
        <f>700*1*1000</f>
        <v>700000</v>
      </c>
      <c r="D70" s="80" t="s">
        <v>9</v>
      </c>
      <c r="E70" s="81" t="s">
        <v>159</v>
      </c>
      <c r="K70" s="669"/>
    </row>
    <row r="71" spans="1:11" s="75" customFormat="1" ht="16.5" customHeight="1" x14ac:dyDescent="0.25">
      <c r="A71" s="119">
        <f t="shared" si="0"/>
        <v>65</v>
      </c>
      <c r="B71" s="83" t="s">
        <v>304</v>
      </c>
      <c r="C71" s="80">
        <f>C70/2</f>
        <v>350000</v>
      </c>
      <c r="D71" s="80" t="s">
        <v>9</v>
      </c>
      <c r="E71" s="81" t="s">
        <v>159</v>
      </c>
      <c r="K71" s="669"/>
    </row>
    <row r="72" spans="1:11" s="75" customFormat="1" ht="16.5" customHeight="1" x14ac:dyDescent="0.25">
      <c r="A72" s="119">
        <f t="shared" ref="A72:A135" si="1">A71+1</f>
        <v>66</v>
      </c>
      <c r="B72" s="83" t="s">
        <v>247</v>
      </c>
      <c r="C72" s="80">
        <v>100000</v>
      </c>
      <c r="D72" s="80" t="s">
        <v>9</v>
      </c>
      <c r="E72" s="81" t="s">
        <v>159</v>
      </c>
      <c r="K72" s="669"/>
    </row>
    <row r="73" spans="1:11" s="75" customFormat="1" ht="16.5" customHeight="1" x14ac:dyDescent="0.25">
      <c r="A73" s="119">
        <f t="shared" si="1"/>
        <v>67</v>
      </c>
      <c r="B73" s="80" t="s">
        <v>305</v>
      </c>
      <c r="C73" s="80">
        <f>350*4</f>
        <v>1400</v>
      </c>
      <c r="D73" s="80" t="s">
        <v>9</v>
      </c>
      <c r="E73" s="81" t="s">
        <v>306</v>
      </c>
      <c r="K73" s="669"/>
    </row>
    <row r="74" spans="1:11" s="75" customFormat="1" ht="16.5" customHeight="1" x14ac:dyDescent="0.25">
      <c r="A74" s="119">
        <f t="shared" si="1"/>
        <v>68</v>
      </c>
      <c r="B74" s="83" t="s">
        <v>652</v>
      </c>
      <c r="C74" s="80">
        <f>(10*12)*300</f>
        <v>36000</v>
      </c>
      <c r="D74" s="80" t="s">
        <v>9</v>
      </c>
      <c r="E74" s="81" t="s">
        <v>159</v>
      </c>
      <c r="K74" s="669"/>
    </row>
    <row r="75" spans="1:11" s="75" customFormat="1" ht="16.5" customHeight="1" x14ac:dyDescent="0.25">
      <c r="A75" s="119">
        <f t="shared" si="1"/>
        <v>69</v>
      </c>
      <c r="B75" s="83" t="s">
        <v>651</v>
      </c>
      <c r="C75" s="80">
        <f>ROUND(53000+20000+46000,-4)</f>
        <v>120000</v>
      </c>
      <c r="D75" s="80" t="s">
        <v>9</v>
      </c>
      <c r="E75" s="81" t="s">
        <v>159</v>
      </c>
      <c r="K75" s="669"/>
    </row>
    <row r="76" spans="1:11" s="75" customFormat="1" ht="16.5" customHeight="1" x14ac:dyDescent="0.25">
      <c r="A76" s="119">
        <f t="shared" si="1"/>
        <v>70</v>
      </c>
      <c r="B76" s="83" t="s">
        <v>848</v>
      </c>
      <c r="C76" s="80">
        <v>100000</v>
      </c>
      <c r="D76" s="80" t="s">
        <v>9</v>
      </c>
      <c r="E76" s="81" t="s">
        <v>306</v>
      </c>
      <c r="K76" s="669"/>
    </row>
    <row r="77" spans="1:11" s="75" customFormat="1" ht="16.5" customHeight="1" x14ac:dyDescent="0.25">
      <c r="A77" s="119">
        <f t="shared" si="1"/>
        <v>71</v>
      </c>
      <c r="B77" s="83" t="s">
        <v>837</v>
      </c>
      <c r="C77" s="80">
        <v>3500</v>
      </c>
      <c r="D77" s="80" t="s">
        <v>9</v>
      </c>
      <c r="E77" s="81" t="s">
        <v>306</v>
      </c>
      <c r="K77" s="669"/>
    </row>
    <row r="78" spans="1:11" s="75" customFormat="1" ht="16.5" customHeight="1" x14ac:dyDescent="0.25">
      <c r="A78" s="119">
        <f t="shared" si="1"/>
        <v>72</v>
      </c>
      <c r="B78" s="83" t="s">
        <v>947</v>
      </c>
      <c r="C78" s="80">
        <v>2000</v>
      </c>
      <c r="D78" s="80" t="s">
        <v>9</v>
      </c>
      <c r="E78" s="81" t="s">
        <v>159</v>
      </c>
      <c r="K78" s="669"/>
    </row>
    <row r="79" spans="1:11" s="75" customFormat="1" ht="16.5" customHeight="1" x14ac:dyDescent="0.25">
      <c r="A79" s="119">
        <f t="shared" si="1"/>
        <v>73</v>
      </c>
      <c r="B79" s="83" t="s">
        <v>952</v>
      </c>
      <c r="C79" s="80">
        <f>C55</f>
        <v>400000</v>
      </c>
      <c r="D79" s="80" t="s">
        <v>9</v>
      </c>
      <c r="E79" s="81" t="s">
        <v>901</v>
      </c>
      <c r="K79" s="669"/>
    </row>
    <row r="80" spans="1:11" s="75" customFormat="1" ht="16.5" customHeight="1" x14ac:dyDescent="0.25">
      <c r="A80" s="119">
        <f t="shared" si="1"/>
        <v>74</v>
      </c>
      <c r="B80" s="83" t="s">
        <v>953</v>
      </c>
      <c r="C80" s="80">
        <f>H!G157</f>
        <v>2000000</v>
      </c>
      <c r="D80" s="80" t="s">
        <v>9</v>
      </c>
      <c r="E80" s="81" t="s">
        <v>901</v>
      </c>
      <c r="K80" s="669"/>
    </row>
    <row r="81" spans="1:11" s="75" customFormat="1" ht="16.5" customHeight="1" x14ac:dyDescent="0.25">
      <c r="A81" s="119">
        <f t="shared" si="1"/>
        <v>75</v>
      </c>
      <c r="B81" s="83" t="s">
        <v>897</v>
      </c>
      <c r="C81" s="80">
        <v>1500</v>
      </c>
      <c r="D81" s="80" t="s">
        <v>9</v>
      </c>
      <c r="E81" s="81" t="s">
        <v>901</v>
      </c>
      <c r="K81" s="669"/>
    </row>
    <row r="82" spans="1:11" s="75" customFormat="1" ht="16.5" customHeight="1" x14ac:dyDescent="0.25">
      <c r="A82" s="119">
        <f t="shared" si="1"/>
        <v>76</v>
      </c>
      <c r="B82" s="83" t="s">
        <v>898</v>
      </c>
      <c r="C82" s="80">
        <v>1000</v>
      </c>
      <c r="D82" s="80" t="s">
        <v>9</v>
      </c>
      <c r="E82" s="81" t="s">
        <v>901</v>
      </c>
      <c r="K82" s="669"/>
    </row>
    <row r="83" spans="1:11" s="75" customFormat="1" ht="16.5" customHeight="1" x14ac:dyDescent="0.25">
      <c r="A83" s="119">
        <f t="shared" si="1"/>
        <v>77</v>
      </c>
      <c r="B83" s="83" t="s">
        <v>899</v>
      </c>
      <c r="C83" s="80">
        <v>1000</v>
      </c>
      <c r="D83" s="80" t="s">
        <v>9</v>
      </c>
      <c r="E83" s="81" t="s">
        <v>901</v>
      </c>
      <c r="K83" s="669"/>
    </row>
    <row r="84" spans="1:11" s="75" customFormat="1" ht="16.5" customHeight="1" x14ac:dyDescent="0.25">
      <c r="A84" s="119">
        <f t="shared" si="1"/>
        <v>78</v>
      </c>
      <c r="B84" s="83" t="s">
        <v>900</v>
      </c>
      <c r="C84" s="80">
        <v>1500</v>
      </c>
      <c r="D84" s="80" t="s">
        <v>9</v>
      </c>
      <c r="E84" s="81" t="s">
        <v>901</v>
      </c>
      <c r="K84" s="669"/>
    </row>
    <row r="85" spans="1:11" s="75" customFormat="1" x14ac:dyDescent="0.25">
      <c r="A85" s="119">
        <f t="shared" si="1"/>
        <v>79</v>
      </c>
      <c r="B85" s="83"/>
      <c r="C85" s="80"/>
      <c r="D85" s="80"/>
      <c r="E85" s="81"/>
      <c r="K85" s="669"/>
    </row>
    <row r="86" spans="1:11" s="75" customFormat="1" ht="16.5" customHeight="1" x14ac:dyDescent="0.25">
      <c r="A86" s="120">
        <f t="shared" si="1"/>
        <v>80</v>
      </c>
      <c r="B86" s="83"/>
      <c r="C86" s="80"/>
      <c r="D86" s="80"/>
      <c r="E86" s="81"/>
      <c r="K86" s="669"/>
    </row>
    <row r="87" spans="1:11" s="75" customFormat="1" ht="16.5" customHeight="1" x14ac:dyDescent="0.25">
      <c r="A87" s="119">
        <f t="shared" si="1"/>
        <v>81</v>
      </c>
      <c r="B87" s="83" t="s">
        <v>186</v>
      </c>
      <c r="C87" s="80">
        <v>350</v>
      </c>
      <c r="D87" s="80" t="s">
        <v>9</v>
      </c>
      <c r="E87" s="81" t="s">
        <v>1</v>
      </c>
      <c r="K87" s="669"/>
    </row>
    <row r="88" spans="1:11" s="75" customFormat="1" ht="16.5" customHeight="1" x14ac:dyDescent="0.25">
      <c r="A88" s="119">
        <f t="shared" si="1"/>
        <v>82</v>
      </c>
      <c r="B88" s="83" t="s">
        <v>184</v>
      </c>
      <c r="C88" s="80">
        <v>2400</v>
      </c>
      <c r="D88" s="80" t="s">
        <v>9</v>
      </c>
      <c r="E88" s="81" t="s">
        <v>185</v>
      </c>
      <c r="K88" s="669"/>
    </row>
    <row r="89" spans="1:11" s="75" customFormat="1" ht="16.5" customHeight="1" x14ac:dyDescent="0.25">
      <c r="A89" s="119">
        <f t="shared" si="1"/>
        <v>83</v>
      </c>
      <c r="B89" s="83" t="s">
        <v>183</v>
      </c>
      <c r="C89" s="80">
        <v>25</v>
      </c>
      <c r="D89" s="80" t="s">
        <v>9</v>
      </c>
      <c r="E89" s="81" t="s">
        <v>1</v>
      </c>
      <c r="K89" s="669"/>
    </row>
    <row r="90" spans="1:11" s="75" customFormat="1" ht="16.5" customHeight="1" x14ac:dyDescent="0.25">
      <c r="A90" s="119">
        <f t="shared" si="1"/>
        <v>84</v>
      </c>
      <c r="B90" s="83" t="s">
        <v>187</v>
      </c>
      <c r="C90" s="80">
        <f>500+5*150+500</f>
        <v>1750</v>
      </c>
      <c r="D90" s="80" t="s">
        <v>9</v>
      </c>
      <c r="E90" s="81" t="s">
        <v>1</v>
      </c>
      <c r="K90" s="669"/>
    </row>
    <row r="91" spans="1:11" s="75" customFormat="1" ht="16.5" customHeight="1" x14ac:dyDescent="0.25">
      <c r="A91" s="119">
        <f t="shared" si="1"/>
        <v>85</v>
      </c>
      <c r="B91" s="83" t="s">
        <v>307</v>
      </c>
      <c r="C91" s="80">
        <f>2800+6000</f>
        <v>8800</v>
      </c>
      <c r="D91" s="80" t="s">
        <v>9</v>
      </c>
      <c r="E91" s="81" t="s">
        <v>1</v>
      </c>
      <c r="K91" s="669"/>
    </row>
    <row r="92" spans="1:11" s="75" customFormat="1" ht="16.5" customHeight="1" x14ac:dyDescent="0.25">
      <c r="A92" s="119">
        <f t="shared" si="1"/>
        <v>86</v>
      </c>
      <c r="B92" s="83" t="s">
        <v>308</v>
      </c>
      <c r="C92" s="80">
        <v>500</v>
      </c>
      <c r="D92" s="80" t="s">
        <v>9</v>
      </c>
      <c r="E92" s="81" t="s">
        <v>1</v>
      </c>
      <c r="K92" s="669"/>
    </row>
    <row r="93" spans="1:11" s="75" customFormat="1" ht="16.5" customHeight="1" x14ac:dyDescent="0.25">
      <c r="A93" s="119">
        <f t="shared" si="1"/>
        <v>87</v>
      </c>
      <c r="B93" s="83"/>
      <c r="C93" s="80"/>
      <c r="D93" s="80"/>
      <c r="E93" s="81"/>
      <c r="K93" s="669"/>
    </row>
    <row r="94" spans="1:11" s="75" customFormat="1" ht="16.5" customHeight="1" x14ac:dyDescent="0.25">
      <c r="A94" s="119">
        <f t="shared" si="1"/>
        <v>88</v>
      </c>
      <c r="B94" s="83"/>
      <c r="C94" s="80"/>
      <c r="D94" s="83"/>
      <c r="E94" s="81"/>
      <c r="K94" s="669"/>
    </row>
    <row r="95" spans="1:11" s="75" customFormat="1" ht="16.5" customHeight="1" x14ac:dyDescent="0.25">
      <c r="A95" s="119">
        <f t="shared" si="1"/>
        <v>89</v>
      </c>
      <c r="B95" s="83"/>
      <c r="C95" s="80"/>
      <c r="D95" s="80"/>
      <c r="E95" s="81"/>
      <c r="K95" s="669"/>
    </row>
    <row r="96" spans="1:11" s="75" customFormat="1" ht="16.5" customHeight="1" x14ac:dyDescent="0.25">
      <c r="A96" s="119">
        <f t="shared" si="1"/>
        <v>90</v>
      </c>
      <c r="B96" s="83" t="s">
        <v>653</v>
      </c>
      <c r="C96" s="80">
        <v>5000</v>
      </c>
      <c r="D96" s="80" t="s">
        <v>9</v>
      </c>
      <c r="E96" s="81" t="s">
        <v>159</v>
      </c>
      <c r="K96" s="669"/>
    </row>
    <row r="97" spans="1:11" s="75" customFormat="1" ht="16.5" customHeight="1" x14ac:dyDescent="0.25">
      <c r="A97" s="119">
        <f t="shared" si="1"/>
        <v>91</v>
      </c>
      <c r="B97" s="83" t="s">
        <v>309</v>
      </c>
      <c r="C97" s="80">
        <v>2000</v>
      </c>
      <c r="D97" s="80" t="s">
        <v>9</v>
      </c>
      <c r="E97" s="81" t="s">
        <v>159</v>
      </c>
      <c r="K97" s="669"/>
    </row>
    <row r="98" spans="1:11" s="75" customFormat="1" ht="16.5" customHeight="1" x14ac:dyDescent="0.25">
      <c r="A98" s="119">
        <f t="shared" si="1"/>
        <v>92</v>
      </c>
      <c r="B98" s="83" t="s">
        <v>310</v>
      </c>
      <c r="C98" s="80">
        <v>1000</v>
      </c>
      <c r="D98" s="80" t="s">
        <v>9</v>
      </c>
      <c r="E98" s="81" t="s">
        <v>159</v>
      </c>
      <c r="K98" s="669"/>
    </row>
    <row r="99" spans="1:11" s="75" customFormat="1" ht="16.5" customHeight="1" x14ac:dyDescent="0.25">
      <c r="A99" s="119">
        <f t="shared" si="1"/>
        <v>93</v>
      </c>
      <c r="B99" s="83" t="s">
        <v>311</v>
      </c>
      <c r="C99" s="80">
        <f>25*12</f>
        <v>300</v>
      </c>
      <c r="D99" s="80" t="s">
        <v>9</v>
      </c>
      <c r="E99" s="81" t="s">
        <v>312</v>
      </c>
      <c r="K99" s="669"/>
    </row>
    <row r="100" spans="1:11" s="75" customFormat="1" ht="16.5" customHeight="1" x14ac:dyDescent="0.25">
      <c r="A100" s="119">
        <f t="shared" si="1"/>
        <v>94</v>
      </c>
      <c r="B100" s="83" t="s">
        <v>313</v>
      </c>
      <c r="C100" s="80">
        <f>ROUND(30%*110*12,-1)</f>
        <v>400</v>
      </c>
      <c r="D100" s="80" t="s">
        <v>9</v>
      </c>
      <c r="E100" s="81" t="s">
        <v>312</v>
      </c>
      <c r="K100" s="669"/>
    </row>
    <row r="101" spans="1:11" s="75" customFormat="1" ht="16.5" customHeight="1" x14ac:dyDescent="0.25">
      <c r="A101" s="119">
        <f t="shared" si="1"/>
        <v>95</v>
      </c>
      <c r="B101" s="83" t="s">
        <v>314</v>
      </c>
      <c r="C101" s="80">
        <f>30*12</f>
        <v>360</v>
      </c>
      <c r="D101" s="80" t="s">
        <v>9</v>
      </c>
      <c r="E101" s="81" t="s">
        <v>312</v>
      </c>
      <c r="K101" s="669"/>
    </row>
    <row r="102" spans="1:11" s="75" customFormat="1" ht="16.5" customHeight="1" x14ac:dyDescent="0.25">
      <c r="A102" s="119">
        <f t="shared" si="1"/>
        <v>96</v>
      </c>
      <c r="B102" s="83" t="s">
        <v>315</v>
      </c>
      <c r="C102" s="80">
        <f>50*12</f>
        <v>600</v>
      </c>
      <c r="D102" s="80" t="s">
        <v>9</v>
      </c>
      <c r="E102" s="81" t="s">
        <v>312</v>
      </c>
      <c r="K102" s="669"/>
    </row>
    <row r="103" spans="1:11" s="75" customFormat="1" ht="16.5" customHeight="1" x14ac:dyDescent="0.25">
      <c r="A103" s="119">
        <f t="shared" si="1"/>
        <v>97</v>
      </c>
      <c r="B103" s="83" t="s">
        <v>847</v>
      </c>
      <c r="C103" s="80">
        <v>500</v>
      </c>
      <c r="D103" s="80" t="s">
        <v>9</v>
      </c>
      <c r="E103" s="81" t="s">
        <v>312</v>
      </c>
      <c r="K103" s="669"/>
    </row>
    <row r="104" spans="1:11" s="75" customFormat="1" ht="16.5" customHeight="1" x14ac:dyDescent="0.25">
      <c r="A104" s="119">
        <f t="shared" si="1"/>
        <v>98</v>
      </c>
      <c r="B104" s="83" t="s">
        <v>1146</v>
      </c>
      <c r="C104" s="80">
        <f>6*1000+150*5*6</f>
        <v>10500</v>
      </c>
      <c r="D104" s="80" t="s">
        <v>9</v>
      </c>
      <c r="E104" s="81" t="s">
        <v>312</v>
      </c>
      <c r="K104" s="669"/>
    </row>
    <row r="105" spans="1:11" s="75" customFormat="1" ht="16.5" customHeight="1" x14ac:dyDescent="0.25">
      <c r="A105" s="119">
        <f t="shared" si="1"/>
        <v>99</v>
      </c>
      <c r="B105" s="83"/>
      <c r="C105" s="80"/>
      <c r="D105" s="80"/>
      <c r="E105" s="81"/>
      <c r="K105" s="669"/>
    </row>
    <row r="106" spans="1:11" s="75" customFormat="1" ht="16.5" customHeight="1" x14ac:dyDescent="0.25">
      <c r="A106" s="119">
        <f t="shared" si="1"/>
        <v>100</v>
      </c>
      <c r="B106" s="83" t="s">
        <v>1216</v>
      </c>
      <c r="C106" s="80">
        <v>200000</v>
      </c>
      <c r="D106" s="80" t="s">
        <v>9</v>
      </c>
      <c r="E106" s="81" t="s">
        <v>159</v>
      </c>
      <c r="K106" s="669"/>
    </row>
    <row r="107" spans="1:11" s="75" customFormat="1" ht="16.5" customHeight="1" x14ac:dyDescent="0.25">
      <c r="A107" s="119">
        <f t="shared" si="1"/>
        <v>101</v>
      </c>
      <c r="B107" s="83" t="s">
        <v>316</v>
      </c>
      <c r="C107" s="80">
        <f>2000+1000+2000</f>
        <v>5000</v>
      </c>
      <c r="D107" s="80" t="s">
        <v>9</v>
      </c>
      <c r="E107" s="81" t="s">
        <v>159</v>
      </c>
      <c r="K107" s="669"/>
    </row>
    <row r="108" spans="1:11" s="75" customFormat="1" ht="16.5" customHeight="1" x14ac:dyDescent="0.25">
      <c r="A108" s="119">
        <f t="shared" si="1"/>
        <v>102</v>
      </c>
      <c r="B108" s="83" t="s">
        <v>855</v>
      </c>
      <c r="C108" s="80">
        <v>100000</v>
      </c>
      <c r="D108" s="80" t="s">
        <v>9</v>
      </c>
      <c r="E108" s="81" t="s">
        <v>159</v>
      </c>
      <c r="K108" s="669"/>
    </row>
    <row r="109" spans="1:11" s="75" customFormat="1" ht="16.5" customHeight="1" x14ac:dyDescent="0.25">
      <c r="A109" s="119">
        <f t="shared" si="1"/>
        <v>103</v>
      </c>
      <c r="B109" s="83" t="s">
        <v>856</v>
      </c>
      <c r="C109" s="80">
        <f>150000*12</f>
        <v>1800000</v>
      </c>
      <c r="D109" s="80" t="s">
        <v>9</v>
      </c>
      <c r="E109" s="81" t="s">
        <v>159</v>
      </c>
      <c r="K109" s="669"/>
    </row>
    <row r="110" spans="1:11" s="75" customFormat="1" ht="16.5" customHeight="1" x14ac:dyDescent="0.25">
      <c r="A110" s="119">
        <f t="shared" si="1"/>
        <v>104</v>
      </c>
      <c r="B110" s="83" t="s">
        <v>317</v>
      </c>
      <c r="C110" s="80">
        <v>500000</v>
      </c>
      <c r="D110" s="80" t="s">
        <v>9</v>
      </c>
      <c r="E110" s="81" t="s">
        <v>159</v>
      </c>
      <c r="K110" s="669"/>
    </row>
    <row r="111" spans="1:11" s="75" customFormat="1" ht="16.5" customHeight="1" x14ac:dyDescent="0.25">
      <c r="A111" s="119">
        <f t="shared" si="1"/>
        <v>105</v>
      </c>
      <c r="B111" s="83" t="s">
        <v>318</v>
      </c>
      <c r="C111" s="80">
        <v>10000</v>
      </c>
      <c r="D111" s="80" t="s">
        <v>9</v>
      </c>
      <c r="E111" s="81" t="s">
        <v>159</v>
      </c>
      <c r="K111" s="669"/>
    </row>
    <row r="112" spans="1:11" s="75" customFormat="1" ht="16.5" customHeight="1" x14ac:dyDescent="0.25">
      <c r="A112" s="119">
        <f t="shared" si="1"/>
        <v>106</v>
      </c>
      <c r="B112" s="83" t="s">
        <v>319</v>
      </c>
      <c r="C112" s="80">
        <f>20000*12</f>
        <v>240000</v>
      </c>
      <c r="D112" s="80" t="s">
        <v>9</v>
      </c>
      <c r="E112" s="81" t="s">
        <v>159</v>
      </c>
      <c r="K112" s="669"/>
    </row>
    <row r="113" spans="1:11" s="75" customFormat="1" ht="16.5" customHeight="1" x14ac:dyDescent="0.25">
      <c r="A113" s="119">
        <f t="shared" si="1"/>
        <v>107</v>
      </c>
      <c r="B113" s="83" t="s">
        <v>320</v>
      </c>
      <c r="C113" s="80">
        <v>400000</v>
      </c>
      <c r="D113" s="80" t="s">
        <v>9</v>
      </c>
      <c r="E113" s="81" t="s">
        <v>321</v>
      </c>
      <c r="K113" s="669"/>
    </row>
    <row r="114" spans="1:11" s="75" customFormat="1" ht="16.5" customHeight="1" x14ac:dyDescent="0.25">
      <c r="A114" s="119">
        <f t="shared" si="1"/>
        <v>108</v>
      </c>
      <c r="B114" s="83" t="s">
        <v>322</v>
      </c>
      <c r="C114" s="80">
        <v>100000</v>
      </c>
      <c r="D114" s="80" t="s">
        <v>9</v>
      </c>
      <c r="E114" s="81" t="s">
        <v>159</v>
      </c>
      <c r="K114" s="669"/>
    </row>
    <row r="115" spans="1:11" s="75" customFormat="1" ht="16.5" customHeight="1" x14ac:dyDescent="0.25">
      <c r="A115" s="119">
        <f t="shared" si="1"/>
        <v>109</v>
      </c>
      <c r="B115" s="83" t="s">
        <v>323</v>
      </c>
      <c r="C115" s="80">
        <f>10000*12</f>
        <v>120000</v>
      </c>
      <c r="D115" s="80" t="s">
        <v>9</v>
      </c>
      <c r="E115" s="81" t="s">
        <v>159</v>
      </c>
      <c r="K115" s="669"/>
    </row>
    <row r="116" spans="1:11" s="75" customFormat="1" ht="16.5" customHeight="1" x14ac:dyDescent="0.25">
      <c r="A116" s="119">
        <f t="shared" si="1"/>
        <v>110</v>
      </c>
      <c r="B116" s="83" t="s">
        <v>324</v>
      </c>
      <c r="C116" s="80">
        <f>1000000</f>
        <v>1000000</v>
      </c>
      <c r="D116" s="80" t="s">
        <v>9</v>
      </c>
      <c r="E116" s="81" t="s">
        <v>159</v>
      </c>
      <c r="K116" s="669"/>
    </row>
    <row r="117" spans="1:11" s="75" customFormat="1" ht="16.5" customHeight="1" x14ac:dyDescent="0.25">
      <c r="A117" s="119">
        <f t="shared" si="1"/>
        <v>111</v>
      </c>
      <c r="B117" s="83" t="s">
        <v>325</v>
      </c>
      <c r="C117" s="80">
        <v>500000</v>
      </c>
      <c r="D117" s="80" t="s">
        <v>9</v>
      </c>
      <c r="E117" s="81" t="s">
        <v>159</v>
      </c>
      <c r="K117" s="669"/>
    </row>
    <row r="118" spans="1:11" s="75" customFormat="1" ht="16.5" customHeight="1" x14ac:dyDescent="0.25">
      <c r="A118" s="119">
        <f t="shared" si="1"/>
        <v>112</v>
      </c>
      <c r="B118" s="87" t="s">
        <v>326</v>
      </c>
      <c r="C118" s="85">
        <v>20000</v>
      </c>
      <c r="D118" s="80" t="s">
        <v>9</v>
      </c>
      <c r="E118" s="81" t="s">
        <v>321</v>
      </c>
      <c r="K118" s="669"/>
    </row>
    <row r="119" spans="1:11" s="75" customFormat="1" ht="16.5" customHeight="1" x14ac:dyDescent="0.25">
      <c r="A119" s="119">
        <f t="shared" si="1"/>
        <v>113</v>
      </c>
      <c r="B119" s="87" t="s">
        <v>327</v>
      </c>
      <c r="C119" s="80">
        <v>500000</v>
      </c>
      <c r="D119" s="80" t="s">
        <v>9</v>
      </c>
      <c r="E119" s="81" t="s">
        <v>159</v>
      </c>
      <c r="K119" s="669"/>
    </row>
    <row r="120" spans="1:11" s="75" customFormat="1" ht="16.5" customHeight="1" x14ac:dyDescent="0.25">
      <c r="A120" s="119">
        <f t="shared" si="1"/>
        <v>114</v>
      </c>
      <c r="B120" s="87" t="s">
        <v>857</v>
      </c>
      <c r="C120" s="80">
        <v>400000</v>
      </c>
      <c r="D120" s="80" t="s">
        <v>9</v>
      </c>
      <c r="E120" s="81" t="s">
        <v>159</v>
      </c>
      <c r="K120" s="669"/>
    </row>
    <row r="121" spans="1:11" s="75" customFormat="1" ht="16.5" customHeight="1" x14ac:dyDescent="0.25">
      <c r="A121" s="119">
        <f t="shared" si="1"/>
        <v>115</v>
      </c>
      <c r="B121" s="87" t="s">
        <v>858</v>
      </c>
      <c r="C121" s="80">
        <v>5000</v>
      </c>
      <c r="D121" s="80" t="s">
        <v>9</v>
      </c>
      <c r="E121" s="81" t="s">
        <v>159</v>
      </c>
      <c r="K121" s="669"/>
    </row>
    <row r="122" spans="1:11" s="75" customFormat="1" ht="16.5" customHeight="1" x14ac:dyDescent="0.25">
      <c r="A122" s="119">
        <f t="shared" si="1"/>
        <v>116</v>
      </c>
      <c r="B122" s="87" t="s">
        <v>1214</v>
      </c>
      <c r="C122" s="80">
        <v>200000</v>
      </c>
      <c r="D122" s="80" t="s">
        <v>9</v>
      </c>
      <c r="E122" s="81" t="s">
        <v>159</v>
      </c>
      <c r="K122" s="669"/>
    </row>
    <row r="123" spans="1:11" s="75" customFormat="1" ht="16.5" customHeight="1" x14ac:dyDescent="0.25">
      <c r="A123" s="119">
        <f t="shared" si="1"/>
        <v>117</v>
      </c>
      <c r="B123" s="87" t="s">
        <v>328</v>
      </c>
      <c r="C123" s="80">
        <v>100000</v>
      </c>
      <c r="D123" s="80" t="s">
        <v>9</v>
      </c>
      <c r="E123" s="81" t="s">
        <v>159</v>
      </c>
      <c r="K123" s="669"/>
    </row>
    <row r="124" spans="1:11" s="75" customFormat="1" ht="16.5" customHeight="1" x14ac:dyDescent="0.25">
      <c r="A124" s="119">
        <f t="shared" si="1"/>
        <v>118</v>
      </c>
      <c r="B124" s="83" t="s">
        <v>329</v>
      </c>
      <c r="C124" s="80">
        <v>300000</v>
      </c>
      <c r="D124" s="80" t="s">
        <v>9</v>
      </c>
      <c r="E124" s="81" t="s">
        <v>159</v>
      </c>
      <c r="K124" s="669"/>
    </row>
    <row r="125" spans="1:11" s="75" customFormat="1" ht="16.5" customHeight="1" x14ac:dyDescent="0.25">
      <c r="A125" s="119">
        <f t="shared" si="1"/>
        <v>119</v>
      </c>
      <c r="B125" s="87" t="s">
        <v>330</v>
      </c>
      <c r="C125" s="80">
        <v>400000</v>
      </c>
      <c r="D125" s="80" t="s">
        <v>9</v>
      </c>
      <c r="E125" s="81" t="s">
        <v>159</v>
      </c>
      <c r="K125" s="669"/>
    </row>
    <row r="126" spans="1:11" s="75" customFormat="1" ht="16.5" customHeight="1" x14ac:dyDescent="0.25">
      <c r="A126" s="119">
        <f t="shared" si="1"/>
        <v>120</v>
      </c>
      <c r="B126" s="83" t="s">
        <v>331</v>
      </c>
      <c r="C126" s="80">
        <v>30000</v>
      </c>
      <c r="D126" s="80" t="s">
        <v>9</v>
      </c>
      <c r="E126" s="81" t="s">
        <v>159</v>
      </c>
      <c r="K126" s="669"/>
    </row>
    <row r="127" spans="1:11" s="75" customFormat="1" ht="16.5" customHeight="1" x14ac:dyDescent="0.25">
      <c r="A127" s="119">
        <f t="shared" si="1"/>
        <v>121</v>
      </c>
      <c r="B127" s="83" t="s">
        <v>332</v>
      </c>
      <c r="C127" s="80">
        <f>ROUND(5%*K128,-4)</f>
        <v>2960000</v>
      </c>
      <c r="D127" s="80" t="s">
        <v>9</v>
      </c>
      <c r="E127" s="81" t="s">
        <v>159</v>
      </c>
      <c r="K127" s="669"/>
    </row>
    <row r="128" spans="1:11" s="75" customFormat="1" ht="16.5" customHeight="1" x14ac:dyDescent="0.25">
      <c r="A128" s="119">
        <f t="shared" si="1"/>
        <v>122</v>
      </c>
      <c r="B128" s="83" t="s">
        <v>333</v>
      </c>
      <c r="C128" s="80">
        <f>2000*12</f>
        <v>24000</v>
      </c>
      <c r="D128" s="80" t="s">
        <v>9</v>
      </c>
      <c r="E128" s="81" t="s">
        <v>159</v>
      </c>
      <c r="K128" s="669">
        <v>59280000</v>
      </c>
    </row>
    <row r="129" spans="1:11" s="75" customFormat="1" ht="16.5" customHeight="1" x14ac:dyDescent="0.25">
      <c r="A129" s="119">
        <f t="shared" si="1"/>
        <v>123</v>
      </c>
      <c r="B129" s="83" t="s">
        <v>334</v>
      </c>
      <c r="C129" s="80">
        <v>500</v>
      </c>
      <c r="D129" s="80" t="s">
        <v>9</v>
      </c>
      <c r="E129" s="81" t="s">
        <v>335</v>
      </c>
      <c r="K129" s="669"/>
    </row>
    <row r="130" spans="1:11" s="75" customFormat="1" ht="16.5" customHeight="1" x14ac:dyDescent="0.25">
      <c r="A130" s="119">
        <f t="shared" si="1"/>
        <v>124</v>
      </c>
      <c r="B130" s="87" t="s">
        <v>336</v>
      </c>
      <c r="C130" s="80">
        <v>1000</v>
      </c>
      <c r="D130" s="80" t="s">
        <v>9</v>
      </c>
      <c r="E130" s="81" t="s">
        <v>335</v>
      </c>
      <c r="K130" s="669"/>
    </row>
    <row r="131" spans="1:11" s="75" customFormat="1" ht="16.5" customHeight="1" x14ac:dyDescent="0.25">
      <c r="A131" s="119">
        <f t="shared" si="1"/>
        <v>125</v>
      </c>
      <c r="B131" s="87" t="s">
        <v>337</v>
      </c>
      <c r="C131" s="80">
        <v>50000</v>
      </c>
      <c r="D131" s="80" t="s">
        <v>9</v>
      </c>
      <c r="E131" s="81" t="s">
        <v>159</v>
      </c>
      <c r="K131" s="669"/>
    </row>
    <row r="132" spans="1:11" s="75" customFormat="1" ht="16.5" customHeight="1" x14ac:dyDescent="0.25">
      <c r="A132" s="119">
        <f t="shared" si="1"/>
        <v>126</v>
      </c>
      <c r="B132" s="87" t="s">
        <v>338</v>
      </c>
      <c r="C132" s="80">
        <v>20000</v>
      </c>
      <c r="D132" s="80" t="s">
        <v>9</v>
      </c>
      <c r="E132" s="81" t="s">
        <v>335</v>
      </c>
      <c r="K132" s="669"/>
    </row>
    <row r="133" spans="1:11" s="75" customFormat="1" ht="16.5" customHeight="1" x14ac:dyDescent="0.25">
      <c r="A133" s="119">
        <f t="shared" si="1"/>
        <v>127</v>
      </c>
      <c r="B133" s="87" t="s">
        <v>339</v>
      </c>
      <c r="C133" s="80">
        <v>2000</v>
      </c>
      <c r="D133" s="80" t="s">
        <v>9</v>
      </c>
      <c r="E133" s="81" t="s">
        <v>335</v>
      </c>
      <c r="K133" s="669"/>
    </row>
    <row r="134" spans="1:11" s="75" customFormat="1" ht="16.5" customHeight="1" x14ac:dyDescent="0.25">
      <c r="A134" s="119">
        <f t="shared" si="1"/>
        <v>128</v>
      </c>
      <c r="B134" s="87" t="s">
        <v>915</v>
      </c>
      <c r="C134" s="85">
        <v>5000000</v>
      </c>
      <c r="D134" s="80" t="s">
        <v>9</v>
      </c>
      <c r="E134" s="81" t="s">
        <v>335</v>
      </c>
      <c r="K134" s="669"/>
    </row>
    <row r="135" spans="1:11" s="75" customFormat="1" ht="16.5" customHeight="1" x14ac:dyDescent="0.25">
      <c r="A135" s="119">
        <f t="shared" si="1"/>
        <v>129</v>
      </c>
      <c r="B135" s="87" t="s">
        <v>1506</v>
      </c>
      <c r="C135" s="85">
        <f>(20*20+100)*2000</f>
        <v>1000000</v>
      </c>
      <c r="D135" s="80" t="s">
        <v>9</v>
      </c>
      <c r="E135" s="81" t="s">
        <v>159</v>
      </c>
      <c r="K135" s="669"/>
    </row>
    <row r="136" spans="1:11" s="75" customFormat="1" ht="16.5" customHeight="1" x14ac:dyDescent="0.25">
      <c r="A136" s="119">
        <f t="shared" ref="A136:A199" si="2">A135+1</f>
        <v>130</v>
      </c>
      <c r="B136" s="87" t="s">
        <v>1215</v>
      </c>
      <c r="C136" s="85">
        <f>20*3000*12+10*30*1000+1500000</f>
        <v>2520000</v>
      </c>
      <c r="D136" s="80" t="s">
        <v>9</v>
      </c>
      <c r="E136" s="81" t="s">
        <v>335</v>
      </c>
      <c r="K136" s="669"/>
    </row>
    <row r="137" spans="1:11" s="75" customFormat="1" ht="16.5" customHeight="1" x14ac:dyDescent="0.25">
      <c r="A137" s="119">
        <f t="shared" si="2"/>
        <v>131</v>
      </c>
      <c r="B137" s="80" t="s">
        <v>340</v>
      </c>
      <c r="C137" s="80">
        <v>500</v>
      </c>
      <c r="D137" s="80" t="s">
        <v>9</v>
      </c>
      <c r="E137" s="81" t="s">
        <v>159</v>
      </c>
      <c r="K137" s="669"/>
    </row>
    <row r="138" spans="1:11" s="75" customFormat="1" ht="16.5" customHeight="1" x14ac:dyDescent="0.25">
      <c r="A138" s="119">
        <f t="shared" si="2"/>
        <v>132</v>
      </c>
      <c r="B138" s="80" t="s">
        <v>341</v>
      </c>
      <c r="C138" s="80">
        <v>1500</v>
      </c>
      <c r="D138" s="80" t="s">
        <v>9</v>
      </c>
      <c r="E138" s="81" t="s">
        <v>159</v>
      </c>
      <c r="K138" s="669"/>
    </row>
    <row r="139" spans="1:11" s="75" customFormat="1" ht="16.5" customHeight="1" x14ac:dyDescent="0.25">
      <c r="A139" s="119">
        <f t="shared" si="2"/>
        <v>133</v>
      </c>
      <c r="B139" s="87" t="s">
        <v>342</v>
      </c>
      <c r="C139" s="85">
        <v>300</v>
      </c>
      <c r="D139" s="85" t="s">
        <v>9</v>
      </c>
      <c r="E139" s="86" t="s">
        <v>159</v>
      </c>
      <c r="K139" s="669"/>
    </row>
    <row r="140" spans="1:11" s="75" customFormat="1" ht="16.5" customHeight="1" x14ac:dyDescent="0.25">
      <c r="A140" s="119">
        <f t="shared" si="2"/>
        <v>134</v>
      </c>
      <c r="B140" s="87" t="s">
        <v>1507</v>
      </c>
      <c r="C140" s="85">
        <v>50000</v>
      </c>
      <c r="D140" s="85" t="s">
        <v>9</v>
      </c>
      <c r="E140" s="81" t="s">
        <v>1508</v>
      </c>
      <c r="K140" s="669"/>
    </row>
    <row r="141" spans="1:11" s="75" customFormat="1" ht="16.5" customHeight="1" x14ac:dyDescent="0.25">
      <c r="A141" s="119">
        <f t="shared" si="2"/>
        <v>135</v>
      </c>
      <c r="B141" s="87"/>
      <c r="C141" s="85"/>
      <c r="D141" s="85"/>
      <c r="E141" s="86"/>
      <c r="K141" s="669"/>
    </row>
    <row r="142" spans="1:11" s="75" customFormat="1" ht="16.5" customHeight="1" x14ac:dyDescent="0.25">
      <c r="A142" s="119">
        <f t="shared" si="2"/>
        <v>136</v>
      </c>
      <c r="B142" s="87" t="s">
        <v>674</v>
      </c>
      <c r="C142" s="85">
        <v>200</v>
      </c>
      <c r="D142" s="85" t="s">
        <v>9</v>
      </c>
      <c r="E142" s="86" t="s">
        <v>159</v>
      </c>
      <c r="K142" s="669"/>
    </row>
    <row r="143" spans="1:11" s="75" customFormat="1" ht="16.5" customHeight="1" x14ac:dyDescent="0.25">
      <c r="A143" s="119">
        <f t="shared" si="2"/>
        <v>137</v>
      </c>
      <c r="B143" s="83" t="s">
        <v>672</v>
      </c>
      <c r="C143" s="80">
        <f>10+20</f>
        <v>30</v>
      </c>
      <c r="D143" s="80" t="s">
        <v>9</v>
      </c>
      <c r="E143" s="81" t="s">
        <v>306</v>
      </c>
      <c r="K143" s="669"/>
    </row>
    <row r="144" spans="1:11" s="75" customFormat="1" ht="16.5" customHeight="1" x14ac:dyDescent="0.25">
      <c r="A144" s="119">
        <f t="shared" si="2"/>
        <v>138</v>
      </c>
      <c r="B144" s="87"/>
      <c r="C144" s="85"/>
      <c r="D144" s="85"/>
      <c r="E144" s="86"/>
      <c r="K144" s="669"/>
    </row>
    <row r="145" spans="1:11" s="75" customFormat="1" ht="16.5" customHeight="1" x14ac:dyDescent="0.25">
      <c r="A145" s="119">
        <f t="shared" si="2"/>
        <v>139</v>
      </c>
      <c r="B145" s="87"/>
      <c r="C145" s="85"/>
      <c r="D145" s="85"/>
      <c r="E145" s="86"/>
      <c r="K145" s="669"/>
    </row>
    <row r="146" spans="1:11" s="75" customFormat="1" ht="0.95" customHeight="1" x14ac:dyDescent="0.25">
      <c r="A146" s="119">
        <f t="shared" si="2"/>
        <v>140</v>
      </c>
      <c r="B146" s="87"/>
      <c r="C146" s="85"/>
      <c r="D146" s="85"/>
      <c r="E146" s="86"/>
      <c r="K146" s="669"/>
    </row>
    <row r="147" spans="1:11" s="75" customFormat="1" ht="0.95" customHeight="1" x14ac:dyDescent="0.25">
      <c r="A147" s="119">
        <f t="shared" si="2"/>
        <v>141</v>
      </c>
      <c r="B147" s="87"/>
      <c r="C147" s="85"/>
      <c r="D147" s="85"/>
      <c r="E147" s="86"/>
      <c r="K147" s="669"/>
    </row>
    <row r="148" spans="1:11" s="75" customFormat="1" ht="0.95" customHeight="1" x14ac:dyDescent="0.25">
      <c r="A148" s="119">
        <f t="shared" si="2"/>
        <v>142</v>
      </c>
      <c r="B148" s="87"/>
      <c r="C148" s="85"/>
      <c r="D148" s="85"/>
      <c r="E148" s="86"/>
      <c r="K148" s="669"/>
    </row>
    <row r="149" spans="1:11" s="75" customFormat="1" ht="0.95" customHeight="1" x14ac:dyDescent="0.25">
      <c r="A149" s="119">
        <f t="shared" si="2"/>
        <v>143</v>
      </c>
      <c r="B149" s="87"/>
      <c r="C149" s="85"/>
      <c r="D149" s="85"/>
      <c r="E149" s="86"/>
      <c r="K149" s="669"/>
    </row>
    <row r="150" spans="1:11" s="75" customFormat="1" ht="0.95" customHeight="1" x14ac:dyDescent="0.25">
      <c r="A150" s="119">
        <f t="shared" si="2"/>
        <v>144</v>
      </c>
      <c r="B150" s="87"/>
      <c r="C150" s="85"/>
      <c r="D150" s="85"/>
      <c r="E150" s="86"/>
      <c r="K150" s="669"/>
    </row>
    <row r="151" spans="1:11" s="75" customFormat="1" ht="0.95" customHeight="1" x14ac:dyDescent="0.25">
      <c r="A151" s="119">
        <f t="shared" si="2"/>
        <v>145</v>
      </c>
      <c r="B151" s="87"/>
      <c r="C151" s="85"/>
      <c r="D151" s="85"/>
      <c r="E151" s="86"/>
      <c r="K151" s="669"/>
    </row>
    <row r="152" spans="1:11" s="75" customFormat="1" ht="0.95" customHeight="1" x14ac:dyDescent="0.25">
      <c r="A152" s="119">
        <f t="shared" si="2"/>
        <v>146</v>
      </c>
      <c r="B152" s="87"/>
      <c r="C152" s="85"/>
      <c r="D152" s="85"/>
      <c r="E152" s="86"/>
      <c r="K152" s="669"/>
    </row>
    <row r="153" spans="1:11" s="75" customFormat="1" ht="0.95" customHeight="1" x14ac:dyDescent="0.25">
      <c r="A153" s="119">
        <f t="shared" si="2"/>
        <v>147</v>
      </c>
      <c r="B153" s="87"/>
      <c r="C153" s="85"/>
      <c r="D153" s="85"/>
      <c r="E153" s="86"/>
      <c r="K153" s="669"/>
    </row>
    <row r="154" spans="1:11" s="75" customFormat="1" ht="0.95" customHeight="1" x14ac:dyDescent="0.25">
      <c r="A154" s="119">
        <f t="shared" si="2"/>
        <v>148</v>
      </c>
      <c r="B154" s="87"/>
      <c r="C154" s="85"/>
      <c r="D154" s="85"/>
      <c r="E154" s="86"/>
      <c r="K154" s="669"/>
    </row>
    <row r="155" spans="1:11" s="75" customFormat="1" ht="0.95" customHeight="1" x14ac:dyDescent="0.25">
      <c r="A155" s="119">
        <f t="shared" si="2"/>
        <v>149</v>
      </c>
      <c r="B155" s="87"/>
      <c r="C155" s="85"/>
      <c r="D155" s="85"/>
      <c r="E155" s="86"/>
      <c r="K155" s="669"/>
    </row>
    <row r="156" spans="1:11" s="75" customFormat="1" ht="0.95" customHeight="1" x14ac:dyDescent="0.25">
      <c r="A156" s="119">
        <f t="shared" si="2"/>
        <v>150</v>
      </c>
      <c r="B156" s="87"/>
      <c r="C156" s="85"/>
      <c r="D156" s="85"/>
      <c r="E156" s="86"/>
      <c r="K156" s="669"/>
    </row>
    <row r="157" spans="1:11" s="75" customFormat="1" ht="0.95" customHeight="1" x14ac:dyDescent="0.25">
      <c r="A157" s="119">
        <f t="shared" si="2"/>
        <v>151</v>
      </c>
      <c r="B157" s="87"/>
      <c r="C157" s="80"/>
      <c r="D157" s="80"/>
      <c r="E157" s="81"/>
      <c r="K157" s="669"/>
    </row>
    <row r="158" spans="1:11" s="75" customFormat="1" ht="0.95" customHeight="1" x14ac:dyDescent="0.25">
      <c r="A158" s="119">
        <f t="shared" si="2"/>
        <v>152</v>
      </c>
      <c r="B158" s="87"/>
      <c r="C158" s="85"/>
      <c r="D158" s="85"/>
      <c r="E158" s="86"/>
      <c r="K158" s="669"/>
    </row>
    <row r="159" spans="1:11" s="75" customFormat="1" ht="0.95" customHeight="1" x14ac:dyDescent="0.25">
      <c r="A159" s="119">
        <f t="shared" si="2"/>
        <v>153</v>
      </c>
      <c r="B159" s="87"/>
      <c r="C159" s="85"/>
      <c r="D159" s="85"/>
      <c r="E159" s="86"/>
      <c r="K159" s="669"/>
    </row>
    <row r="160" spans="1:11" s="75" customFormat="1" ht="0.95" customHeight="1" x14ac:dyDescent="0.25">
      <c r="A160" s="119">
        <f t="shared" si="2"/>
        <v>154</v>
      </c>
      <c r="B160" s="87"/>
      <c r="C160" s="85"/>
      <c r="D160" s="85"/>
      <c r="E160" s="86"/>
      <c r="K160" s="669"/>
    </row>
    <row r="161" spans="1:11" s="75" customFormat="1" ht="0.95" customHeight="1" x14ac:dyDescent="0.25">
      <c r="A161" s="119">
        <f t="shared" si="2"/>
        <v>155</v>
      </c>
      <c r="B161" s="87"/>
      <c r="C161" s="85"/>
      <c r="D161" s="85"/>
      <c r="E161" s="86"/>
      <c r="K161" s="669"/>
    </row>
    <row r="162" spans="1:11" s="75" customFormat="1" ht="0.95" customHeight="1" x14ac:dyDescent="0.25">
      <c r="A162" s="119">
        <f t="shared" si="2"/>
        <v>156</v>
      </c>
      <c r="B162" s="87"/>
      <c r="C162" s="85"/>
      <c r="D162" s="85"/>
      <c r="E162" s="86"/>
      <c r="K162" s="669"/>
    </row>
    <row r="163" spans="1:11" s="75" customFormat="1" ht="0.95" customHeight="1" x14ac:dyDescent="0.25">
      <c r="A163" s="119">
        <f t="shared" si="2"/>
        <v>157</v>
      </c>
      <c r="B163" s="87"/>
      <c r="C163" s="85"/>
      <c r="D163" s="85"/>
      <c r="E163" s="86"/>
      <c r="K163" s="669"/>
    </row>
    <row r="164" spans="1:11" s="75" customFormat="1" ht="0.95" customHeight="1" x14ac:dyDescent="0.25">
      <c r="A164" s="119">
        <f t="shared" si="2"/>
        <v>158</v>
      </c>
      <c r="B164" s="87"/>
      <c r="C164" s="85"/>
      <c r="D164" s="85"/>
      <c r="E164" s="86"/>
      <c r="K164" s="669"/>
    </row>
    <row r="165" spans="1:11" s="75" customFormat="1" ht="0.95" customHeight="1" x14ac:dyDescent="0.25">
      <c r="A165" s="119">
        <f t="shared" si="2"/>
        <v>159</v>
      </c>
      <c r="B165" s="87"/>
      <c r="C165" s="85"/>
      <c r="D165" s="85"/>
      <c r="E165" s="86"/>
      <c r="K165" s="669"/>
    </row>
    <row r="166" spans="1:11" s="75" customFormat="1" ht="0.95" customHeight="1" x14ac:dyDescent="0.25">
      <c r="A166" s="119">
        <f t="shared" si="2"/>
        <v>160</v>
      </c>
      <c r="B166" s="87"/>
      <c r="C166" s="85"/>
      <c r="D166" s="85"/>
      <c r="E166" s="86"/>
      <c r="K166" s="669"/>
    </row>
    <row r="167" spans="1:11" s="75" customFormat="1" ht="0.95" customHeight="1" x14ac:dyDescent="0.25">
      <c r="A167" s="119">
        <f t="shared" si="2"/>
        <v>161</v>
      </c>
      <c r="B167" s="87"/>
      <c r="C167" s="85"/>
      <c r="D167" s="85"/>
      <c r="E167" s="86"/>
      <c r="K167" s="669"/>
    </row>
    <row r="168" spans="1:11" s="75" customFormat="1" ht="0.95" customHeight="1" x14ac:dyDescent="0.25">
      <c r="A168" s="119">
        <f t="shared" si="2"/>
        <v>162</v>
      </c>
      <c r="B168" s="87"/>
      <c r="C168" s="85"/>
      <c r="D168" s="85"/>
      <c r="E168" s="86"/>
      <c r="K168" s="669"/>
    </row>
    <row r="169" spans="1:11" s="75" customFormat="1" ht="0.95" customHeight="1" x14ac:dyDescent="0.25">
      <c r="A169" s="119">
        <f t="shared" si="2"/>
        <v>163</v>
      </c>
      <c r="B169" s="87"/>
      <c r="C169" s="85"/>
      <c r="D169" s="85"/>
      <c r="E169" s="86"/>
      <c r="K169" s="669"/>
    </row>
    <row r="170" spans="1:11" s="75" customFormat="1" ht="0.95" customHeight="1" x14ac:dyDescent="0.25">
      <c r="A170" s="119">
        <f t="shared" si="2"/>
        <v>164</v>
      </c>
      <c r="B170" s="87"/>
      <c r="C170" s="85"/>
      <c r="D170" s="85"/>
      <c r="E170" s="86"/>
      <c r="K170" s="669"/>
    </row>
    <row r="171" spans="1:11" s="75" customFormat="1" ht="0.95" customHeight="1" x14ac:dyDescent="0.25">
      <c r="A171" s="119">
        <f t="shared" si="2"/>
        <v>165</v>
      </c>
      <c r="B171" s="87"/>
      <c r="C171" s="85"/>
      <c r="D171" s="85"/>
      <c r="E171" s="86"/>
      <c r="K171" s="669"/>
    </row>
    <row r="172" spans="1:11" s="75" customFormat="1" ht="0.95" customHeight="1" x14ac:dyDescent="0.25">
      <c r="A172" s="119">
        <f t="shared" si="2"/>
        <v>166</v>
      </c>
      <c r="B172" s="87"/>
      <c r="C172" s="85"/>
      <c r="D172" s="85"/>
      <c r="E172" s="86"/>
      <c r="K172" s="669"/>
    </row>
    <row r="173" spans="1:11" s="75" customFormat="1" ht="0.95" customHeight="1" x14ac:dyDescent="0.25">
      <c r="A173" s="119">
        <f t="shared" si="2"/>
        <v>167</v>
      </c>
      <c r="B173" s="87"/>
      <c r="C173" s="85"/>
      <c r="D173" s="85"/>
      <c r="E173" s="86"/>
      <c r="K173" s="669"/>
    </row>
    <row r="174" spans="1:11" s="75" customFormat="1" ht="0.95" customHeight="1" x14ac:dyDescent="0.25">
      <c r="A174" s="119">
        <f t="shared" si="2"/>
        <v>168</v>
      </c>
      <c r="B174" s="87"/>
      <c r="C174" s="85"/>
      <c r="D174" s="85"/>
      <c r="E174" s="86"/>
      <c r="K174" s="669"/>
    </row>
    <row r="175" spans="1:11" s="75" customFormat="1" ht="0.95" customHeight="1" x14ac:dyDescent="0.25">
      <c r="A175" s="119">
        <f t="shared" si="2"/>
        <v>169</v>
      </c>
      <c r="B175" s="87"/>
      <c r="C175" s="85"/>
      <c r="D175" s="85"/>
      <c r="E175" s="86"/>
      <c r="K175" s="669"/>
    </row>
    <row r="176" spans="1:11" s="75" customFormat="1" ht="0.95" customHeight="1" x14ac:dyDescent="0.25">
      <c r="A176" s="119">
        <f t="shared" si="2"/>
        <v>170</v>
      </c>
      <c r="B176" s="87"/>
      <c r="C176" s="85"/>
      <c r="D176" s="85"/>
      <c r="E176" s="86"/>
      <c r="K176" s="669"/>
    </row>
    <row r="177" spans="1:11" s="75" customFormat="1" ht="0.95" customHeight="1" x14ac:dyDescent="0.25">
      <c r="A177" s="119">
        <f t="shared" si="2"/>
        <v>171</v>
      </c>
      <c r="B177" s="87"/>
      <c r="C177" s="85"/>
      <c r="D177" s="85"/>
      <c r="E177" s="86"/>
      <c r="K177" s="669"/>
    </row>
    <row r="178" spans="1:11" s="75" customFormat="1" ht="0.95" customHeight="1" x14ac:dyDescent="0.25">
      <c r="A178" s="119">
        <f t="shared" si="2"/>
        <v>172</v>
      </c>
      <c r="B178" s="87"/>
      <c r="C178" s="85"/>
      <c r="D178" s="85"/>
      <c r="E178" s="86"/>
      <c r="K178" s="669"/>
    </row>
    <row r="179" spans="1:11" s="75" customFormat="1" ht="0.95" customHeight="1" x14ac:dyDescent="0.25">
      <c r="A179" s="119">
        <f t="shared" si="2"/>
        <v>173</v>
      </c>
      <c r="B179" s="87"/>
      <c r="C179" s="85"/>
      <c r="D179" s="85"/>
      <c r="E179" s="86"/>
      <c r="K179" s="669"/>
    </row>
    <row r="180" spans="1:11" s="75" customFormat="1" ht="0.95" customHeight="1" x14ac:dyDescent="0.25">
      <c r="A180" s="119">
        <f t="shared" si="2"/>
        <v>174</v>
      </c>
      <c r="B180" s="87"/>
      <c r="C180" s="85"/>
      <c r="D180" s="85"/>
      <c r="E180" s="86"/>
      <c r="K180" s="669"/>
    </row>
    <row r="181" spans="1:11" s="75" customFormat="1" ht="0.95" customHeight="1" x14ac:dyDescent="0.25">
      <c r="A181" s="119">
        <f t="shared" si="2"/>
        <v>175</v>
      </c>
      <c r="B181" s="87"/>
      <c r="C181" s="85"/>
      <c r="D181" s="85"/>
      <c r="E181" s="86"/>
      <c r="K181" s="669"/>
    </row>
    <row r="182" spans="1:11" s="75" customFormat="1" ht="0.95" customHeight="1" x14ac:dyDescent="0.25">
      <c r="A182" s="119">
        <f t="shared" si="2"/>
        <v>176</v>
      </c>
      <c r="B182" s="87"/>
      <c r="C182" s="85"/>
      <c r="D182" s="85"/>
      <c r="E182" s="86"/>
      <c r="K182" s="669"/>
    </row>
    <row r="183" spans="1:11" s="75" customFormat="1" ht="0.95" customHeight="1" x14ac:dyDescent="0.25">
      <c r="A183" s="119">
        <f t="shared" si="2"/>
        <v>177</v>
      </c>
      <c r="B183" s="87"/>
      <c r="C183" s="85"/>
      <c r="D183" s="85"/>
      <c r="E183" s="86"/>
      <c r="K183" s="669"/>
    </row>
    <row r="184" spans="1:11" s="75" customFormat="1" ht="0.95" customHeight="1" x14ac:dyDescent="0.25">
      <c r="A184" s="119">
        <f t="shared" si="2"/>
        <v>178</v>
      </c>
      <c r="B184" s="87"/>
      <c r="C184" s="85"/>
      <c r="D184" s="85"/>
      <c r="E184" s="86"/>
      <c r="K184" s="669"/>
    </row>
    <row r="185" spans="1:11" s="75" customFormat="1" ht="0.95" customHeight="1" x14ac:dyDescent="0.25">
      <c r="A185" s="119">
        <f t="shared" si="2"/>
        <v>179</v>
      </c>
      <c r="B185" s="87"/>
      <c r="C185" s="85"/>
      <c r="D185" s="85"/>
      <c r="E185" s="86"/>
      <c r="K185" s="669"/>
    </row>
    <row r="186" spans="1:11" s="75" customFormat="1" ht="0.95" customHeight="1" x14ac:dyDescent="0.25">
      <c r="A186" s="119">
        <f t="shared" si="2"/>
        <v>180</v>
      </c>
      <c r="B186" s="87"/>
      <c r="C186" s="85"/>
      <c r="D186" s="85"/>
      <c r="E186" s="86"/>
      <c r="K186" s="669"/>
    </row>
    <row r="187" spans="1:11" s="75" customFormat="1" ht="0.95" customHeight="1" x14ac:dyDescent="0.25">
      <c r="A187" s="119">
        <f t="shared" si="2"/>
        <v>181</v>
      </c>
      <c r="B187" s="87"/>
      <c r="C187" s="85"/>
      <c r="D187" s="85"/>
      <c r="E187" s="86"/>
      <c r="K187" s="669"/>
    </row>
    <row r="188" spans="1:11" s="75" customFormat="1" ht="0.95" customHeight="1" x14ac:dyDescent="0.25">
      <c r="A188" s="119">
        <f t="shared" si="2"/>
        <v>182</v>
      </c>
      <c r="B188" s="87"/>
      <c r="C188" s="85"/>
      <c r="D188" s="85"/>
      <c r="E188" s="86"/>
      <c r="K188" s="669"/>
    </row>
    <row r="189" spans="1:11" s="75" customFormat="1" ht="0.95" customHeight="1" x14ac:dyDescent="0.25">
      <c r="A189" s="119">
        <f t="shared" si="2"/>
        <v>183</v>
      </c>
      <c r="B189" s="87"/>
      <c r="C189" s="85"/>
      <c r="D189" s="85"/>
      <c r="E189" s="86"/>
      <c r="K189" s="669"/>
    </row>
    <row r="190" spans="1:11" s="75" customFormat="1" ht="0.95" customHeight="1" x14ac:dyDescent="0.25">
      <c r="A190" s="119">
        <f t="shared" si="2"/>
        <v>184</v>
      </c>
      <c r="B190" s="87"/>
      <c r="C190" s="85"/>
      <c r="D190" s="85"/>
      <c r="E190" s="86"/>
      <c r="K190" s="669"/>
    </row>
    <row r="191" spans="1:11" s="75" customFormat="1" ht="0.95" customHeight="1" x14ac:dyDescent="0.25">
      <c r="A191" s="119">
        <f t="shared" si="2"/>
        <v>185</v>
      </c>
      <c r="B191" s="87"/>
      <c r="C191" s="85"/>
      <c r="D191" s="85"/>
      <c r="E191" s="86"/>
      <c r="K191" s="669"/>
    </row>
    <row r="192" spans="1:11" s="75" customFormat="1" ht="0.95" customHeight="1" x14ac:dyDescent="0.25">
      <c r="A192" s="119">
        <f t="shared" si="2"/>
        <v>186</v>
      </c>
      <c r="B192" s="87"/>
      <c r="C192" s="85"/>
      <c r="D192" s="85"/>
      <c r="E192" s="86"/>
      <c r="K192" s="669"/>
    </row>
    <row r="193" spans="1:11" s="75" customFormat="1" ht="0.95" customHeight="1" x14ac:dyDescent="0.25">
      <c r="A193" s="119">
        <f t="shared" si="2"/>
        <v>187</v>
      </c>
      <c r="B193" s="87"/>
      <c r="C193" s="85"/>
      <c r="D193" s="85"/>
      <c r="E193" s="86"/>
      <c r="K193" s="669"/>
    </row>
    <row r="194" spans="1:11" s="75" customFormat="1" ht="0.95" customHeight="1" x14ac:dyDescent="0.25">
      <c r="A194" s="119">
        <f t="shared" si="2"/>
        <v>188</v>
      </c>
      <c r="B194" s="87"/>
      <c r="C194" s="85"/>
      <c r="D194" s="85"/>
      <c r="E194" s="86"/>
      <c r="K194" s="669"/>
    </row>
    <row r="195" spans="1:11" s="75" customFormat="1" ht="0.95" customHeight="1" x14ac:dyDescent="0.25">
      <c r="A195" s="119">
        <f t="shared" si="2"/>
        <v>189</v>
      </c>
      <c r="B195" s="87"/>
      <c r="C195" s="85"/>
      <c r="D195" s="85"/>
      <c r="E195" s="86"/>
      <c r="K195" s="669"/>
    </row>
    <row r="196" spans="1:11" s="75" customFormat="1" ht="0.95" customHeight="1" x14ac:dyDescent="0.25">
      <c r="A196" s="119">
        <f t="shared" si="2"/>
        <v>190</v>
      </c>
      <c r="B196" s="87"/>
      <c r="C196" s="85"/>
      <c r="D196" s="85"/>
      <c r="E196" s="86"/>
      <c r="K196" s="669"/>
    </row>
    <row r="197" spans="1:11" s="75" customFormat="1" ht="0.95" customHeight="1" x14ac:dyDescent="0.25">
      <c r="A197" s="119">
        <f t="shared" si="2"/>
        <v>191</v>
      </c>
      <c r="B197" s="87"/>
      <c r="C197" s="85"/>
      <c r="D197" s="85"/>
      <c r="E197" s="86"/>
      <c r="K197" s="669"/>
    </row>
    <row r="198" spans="1:11" s="75" customFormat="1" ht="0.95" customHeight="1" x14ac:dyDescent="0.25">
      <c r="A198" s="119">
        <f t="shared" si="2"/>
        <v>192</v>
      </c>
      <c r="B198" s="87"/>
      <c r="C198" s="85"/>
      <c r="D198" s="85"/>
      <c r="E198" s="86"/>
      <c r="K198" s="669"/>
    </row>
    <row r="199" spans="1:11" s="75" customFormat="1" ht="0.95" customHeight="1" x14ac:dyDescent="0.25">
      <c r="A199" s="119">
        <f t="shared" si="2"/>
        <v>193</v>
      </c>
      <c r="B199" s="87"/>
      <c r="C199" s="85"/>
      <c r="D199" s="85"/>
      <c r="E199" s="86"/>
      <c r="K199" s="669"/>
    </row>
    <row r="200" spans="1:11" s="75" customFormat="1" ht="0.95" customHeight="1" x14ac:dyDescent="0.25">
      <c r="A200" s="119">
        <f t="shared" ref="A200:A255" si="3">A199+1</f>
        <v>194</v>
      </c>
      <c r="B200" s="87"/>
      <c r="C200" s="85"/>
      <c r="D200" s="85"/>
      <c r="E200" s="86"/>
      <c r="K200" s="669"/>
    </row>
    <row r="201" spans="1:11" s="75" customFormat="1" ht="0.95" customHeight="1" x14ac:dyDescent="0.25">
      <c r="A201" s="119">
        <f t="shared" si="3"/>
        <v>195</v>
      </c>
      <c r="B201" s="87"/>
      <c r="C201" s="85"/>
      <c r="D201" s="85"/>
      <c r="E201" s="86"/>
      <c r="K201" s="669"/>
    </row>
    <row r="202" spans="1:11" s="75" customFormat="1" ht="0.95" customHeight="1" x14ac:dyDescent="0.25">
      <c r="A202" s="119">
        <f t="shared" si="3"/>
        <v>196</v>
      </c>
      <c r="B202" s="87"/>
      <c r="C202" s="85"/>
      <c r="D202" s="85"/>
      <c r="E202" s="86"/>
      <c r="K202" s="669"/>
    </row>
    <row r="203" spans="1:11" s="75" customFormat="1" ht="0.95" customHeight="1" x14ac:dyDescent="0.25">
      <c r="A203" s="119">
        <f t="shared" si="3"/>
        <v>197</v>
      </c>
      <c r="B203" s="87"/>
      <c r="C203" s="85"/>
      <c r="D203" s="85"/>
      <c r="E203" s="86"/>
      <c r="K203" s="669"/>
    </row>
    <row r="204" spans="1:11" s="75" customFormat="1" ht="16.5" customHeight="1" x14ac:dyDescent="0.25">
      <c r="A204" s="119">
        <f t="shared" si="3"/>
        <v>198</v>
      </c>
      <c r="B204" s="87"/>
      <c r="C204" s="85"/>
      <c r="D204" s="85"/>
      <c r="E204" s="86"/>
      <c r="K204" s="669"/>
    </row>
    <row r="205" spans="1:11" s="75" customFormat="1" ht="16.5" customHeight="1" x14ac:dyDescent="0.25">
      <c r="A205" s="119">
        <f t="shared" si="3"/>
        <v>199</v>
      </c>
      <c r="B205" s="87"/>
      <c r="C205" s="85"/>
      <c r="D205" s="85"/>
      <c r="E205" s="86"/>
      <c r="K205" s="669"/>
    </row>
    <row r="206" spans="1:11" s="75" customFormat="1" ht="16.5" customHeight="1" x14ac:dyDescent="0.25">
      <c r="A206" s="119">
        <f t="shared" si="3"/>
        <v>200</v>
      </c>
      <c r="B206" s="87"/>
      <c r="C206" s="85"/>
      <c r="D206" s="85"/>
      <c r="E206" s="86"/>
      <c r="K206" s="669"/>
    </row>
    <row r="207" spans="1:11" s="75" customFormat="1" ht="16.5" customHeight="1" x14ac:dyDescent="0.25">
      <c r="A207" s="119">
        <f t="shared" si="3"/>
        <v>201</v>
      </c>
      <c r="B207" s="83" t="s">
        <v>200</v>
      </c>
      <c r="C207" s="80">
        <f>90*12</f>
        <v>1080</v>
      </c>
      <c r="D207" s="80" t="s">
        <v>9</v>
      </c>
      <c r="E207" s="81" t="s">
        <v>259</v>
      </c>
      <c r="K207" s="669"/>
    </row>
    <row r="208" spans="1:11" s="75" customFormat="1" ht="16.5" customHeight="1" x14ac:dyDescent="0.25">
      <c r="A208" s="119">
        <f t="shared" si="3"/>
        <v>202</v>
      </c>
      <c r="B208" s="83" t="s">
        <v>207</v>
      </c>
      <c r="C208" s="235">
        <f>'PA-Détails'!K98</f>
        <v>1695.5280955506091</v>
      </c>
      <c r="D208" s="80" t="s">
        <v>9</v>
      </c>
      <c r="E208" s="81" t="s">
        <v>259</v>
      </c>
      <c r="K208" s="669"/>
    </row>
    <row r="209" spans="1:11" s="75" customFormat="1" ht="16.5" customHeight="1" x14ac:dyDescent="0.25">
      <c r="A209" s="119">
        <f>A208+1</f>
        <v>203</v>
      </c>
      <c r="B209" s="83" t="s">
        <v>213</v>
      </c>
      <c r="C209" s="80">
        <f>40*12</f>
        <v>480</v>
      </c>
      <c r="D209" s="80" t="s">
        <v>9</v>
      </c>
      <c r="E209" s="81" t="s">
        <v>260</v>
      </c>
      <c r="K209" s="669"/>
    </row>
    <row r="210" spans="1:11" s="75" customFormat="1" ht="16.5" customHeight="1" x14ac:dyDescent="0.25">
      <c r="A210" s="119">
        <f t="shared" ref="A210:A216" si="4">A209+1</f>
        <v>204</v>
      </c>
      <c r="B210" s="83" t="s">
        <v>980</v>
      </c>
      <c r="C210" s="235">
        <f>'PA-Détails'!K598</f>
        <v>1738.179743580248</v>
      </c>
      <c r="D210" s="80" t="s">
        <v>9</v>
      </c>
      <c r="E210" s="81" t="s">
        <v>259</v>
      </c>
      <c r="K210" s="669"/>
    </row>
    <row r="211" spans="1:11" s="75" customFormat="1" ht="16.5" customHeight="1" x14ac:dyDescent="0.25">
      <c r="A211" s="119">
        <f t="shared" si="4"/>
        <v>205</v>
      </c>
      <c r="B211" s="87" t="s">
        <v>934</v>
      </c>
      <c r="C211" s="242">
        <v>1</v>
      </c>
      <c r="D211" s="85" t="s">
        <v>9</v>
      </c>
      <c r="E211" s="86" t="s">
        <v>942</v>
      </c>
      <c r="K211" s="669"/>
    </row>
    <row r="212" spans="1:11" s="75" customFormat="1" ht="16.5" customHeight="1" x14ac:dyDescent="0.25">
      <c r="A212" s="119">
        <f t="shared" si="4"/>
        <v>206</v>
      </c>
      <c r="B212" s="87" t="s">
        <v>935</v>
      </c>
      <c r="C212" s="242">
        <v>1</v>
      </c>
      <c r="D212" s="85" t="s">
        <v>9</v>
      </c>
      <c r="E212" s="86" t="s">
        <v>942</v>
      </c>
      <c r="K212" s="669"/>
    </row>
    <row r="213" spans="1:11" s="75" customFormat="1" ht="16.5" customHeight="1" x14ac:dyDescent="0.25">
      <c r="A213" s="119">
        <f t="shared" si="4"/>
        <v>207</v>
      </c>
      <c r="B213" s="87" t="s">
        <v>936</v>
      </c>
      <c r="C213" s="242">
        <v>1</v>
      </c>
      <c r="D213" s="85" t="s">
        <v>9</v>
      </c>
      <c r="E213" s="86" t="s">
        <v>942</v>
      </c>
      <c r="K213" s="669"/>
    </row>
    <row r="214" spans="1:11" s="75" customFormat="1" ht="16.5" customHeight="1" x14ac:dyDescent="0.25">
      <c r="A214" s="119">
        <f t="shared" si="4"/>
        <v>208</v>
      </c>
      <c r="B214" s="87" t="s">
        <v>937</v>
      </c>
      <c r="C214" s="242">
        <v>1</v>
      </c>
      <c r="D214" s="85" t="s">
        <v>9</v>
      </c>
      <c r="E214" s="86" t="s">
        <v>942</v>
      </c>
      <c r="K214" s="669"/>
    </row>
    <row r="215" spans="1:11" s="75" customFormat="1" ht="16.5" customHeight="1" x14ac:dyDescent="0.25">
      <c r="A215" s="119">
        <f t="shared" si="4"/>
        <v>209</v>
      </c>
      <c r="B215" s="87" t="s">
        <v>990</v>
      </c>
      <c r="C215" s="334">
        <f>'PA-Détails'!K1228</f>
        <v>42473.839245621915</v>
      </c>
      <c r="D215" s="85" t="s">
        <v>9</v>
      </c>
      <c r="E215" s="86" t="s">
        <v>991</v>
      </c>
      <c r="K215" s="669"/>
    </row>
    <row r="216" spans="1:11" s="75" customFormat="1" ht="16.5" customHeight="1" x14ac:dyDescent="0.25">
      <c r="A216" s="119">
        <f t="shared" si="4"/>
        <v>210</v>
      </c>
      <c r="B216" s="87" t="s">
        <v>938</v>
      </c>
      <c r="C216" s="85"/>
      <c r="D216" s="85" t="s">
        <v>9</v>
      </c>
      <c r="E216" s="86" t="s">
        <v>159</v>
      </c>
      <c r="K216" s="669"/>
    </row>
    <row r="217" spans="1:11" s="75" customFormat="1" ht="16.5" customHeight="1" x14ac:dyDescent="0.25">
      <c r="A217" s="119">
        <f t="shared" si="3"/>
        <v>211</v>
      </c>
      <c r="B217" s="87" t="s">
        <v>939</v>
      </c>
      <c r="C217" s="85"/>
      <c r="D217" s="85" t="s">
        <v>9</v>
      </c>
      <c r="E217" s="86" t="s">
        <v>159</v>
      </c>
      <c r="K217" s="669"/>
    </row>
    <row r="218" spans="1:11" s="75" customFormat="1" ht="16.5" customHeight="1" x14ac:dyDescent="0.25">
      <c r="A218" s="119">
        <f t="shared" si="3"/>
        <v>212</v>
      </c>
      <c r="B218" s="87" t="s">
        <v>940</v>
      </c>
      <c r="C218" s="85"/>
      <c r="D218" s="85" t="s">
        <v>9</v>
      </c>
      <c r="E218" s="86" t="s">
        <v>159</v>
      </c>
      <c r="K218" s="669"/>
    </row>
    <row r="219" spans="1:11" s="75" customFormat="1" ht="16.5" customHeight="1" x14ac:dyDescent="0.25">
      <c r="A219" s="119">
        <f t="shared" si="3"/>
        <v>213</v>
      </c>
      <c r="B219" s="87" t="s">
        <v>941</v>
      </c>
      <c r="C219" s="334">
        <f>'PA-Détails'!K951</f>
        <v>11444.791844509165</v>
      </c>
      <c r="D219" s="85" t="s">
        <v>9</v>
      </c>
      <c r="E219" s="86" t="s">
        <v>259</v>
      </c>
      <c r="K219" s="669"/>
    </row>
    <row r="220" spans="1:11" s="75" customFormat="1" ht="16.5" customHeight="1" x14ac:dyDescent="0.25">
      <c r="A220" s="119">
        <f t="shared" si="3"/>
        <v>214</v>
      </c>
      <c r="B220" s="83" t="s">
        <v>981</v>
      </c>
      <c r="C220" s="334">
        <f>'PA-Détails'!K684</f>
        <v>1734.0388258712624</v>
      </c>
      <c r="D220" s="85"/>
      <c r="E220" s="86"/>
      <c r="K220" s="669"/>
    </row>
    <row r="221" spans="1:11" s="75" customFormat="1" ht="16.5" customHeight="1" x14ac:dyDescent="0.25">
      <c r="A221" s="119">
        <f t="shared" si="3"/>
        <v>215</v>
      </c>
      <c r="B221" s="83" t="s">
        <v>987</v>
      </c>
      <c r="C221" s="334">
        <f>'PA-Détails'!K685</f>
        <v>0</v>
      </c>
      <c r="D221" s="85"/>
      <c r="E221" s="86"/>
      <c r="K221" s="669"/>
    </row>
    <row r="222" spans="1:11" s="75" customFormat="1" ht="16.5" customHeight="1" x14ac:dyDescent="0.25">
      <c r="A222" s="119">
        <f t="shared" si="3"/>
        <v>216</v>
      </c>
      <c r="B222" s="87" t="s">
        <v>343</v>
      </c>
      <c r="C222" s="85">
        <v>5</v>
      </c>
      <c r="D222" s="85" t="s">
        <v>9</v>
      </c>
      <c r="E222" s="86" t="s">
        <v>152</v>
      </c>
      <c r="K222" s="669"/>
    </row>
    <row r="223" spans="1:11" s="75" customFormat="1" ht="16.5" customHeight="1" x14ac:dyDescent="0.25">
      <c r="A223" s="119">
        <f t="shared" si="3"/>
        <v>217</v>
      </c>
      <c r="B223" s="87" t="s">
        <v>344</v>
      </c>
      <c r="C223" s="85">
        <v>1200</v>
      </c>
      <c r="D223" s="85" t="s">
        <v>9</v>
      </c>
      <c r="E223" s="86" t="s">
        <v>345</v>
      </c>
      <c r="K223" s="669"/>
    </row>
    <row r="224" spans="1:11" s="75" customFormat="1" ht="16.5" customHeight="1" x14ac:dyDescent="0.25">
      <c r="A224" s="119">
        <f t="shared" si="3"/>
        <v>218</v>
      </c>
      <c r="B224" s="87" t="s">
        <v>1207</v>
      </c>
      <c r="C224" s="85">
        <f>200*12</f>
        <v>2400</v>
      </c>
      <c r="D224" s="85"/>
      <c r="E224" s="81" t="s">
        <v>259</v>
      </c>
      <c r="K224" s="669"/>
    </row>
    <row r="225" spans="1:11" s="75" customFormat="1" ht="16.5" customHeight="1" x14ac:dyDescent="0.25">
      <c r="A225" s="119">
        <f t="shared" si="3"/>
        <v>219</v>
      </c>
      <c r="B225" s="87"/>
      <c r="C225" s="85"/>
      <c r="D225" s="85"/>
      <c r="E225" s="86"/>
      <c r="K225" s="669"/>
    </row>
    <row r="226" spans="1:11" s="75" customFormat="1" ht="16.5" customHeight="1" x14ac:dyDescent="0.25">
      <c r="A226" s="119">
        <f t="shared" si="3"/>
        <v>220</v>
      </c>
      <c r="B226" s="87" t="s">
        <v>209</v>
      </c>
      <c r="C226" s="85">
        <v>90</v>
      </c>
      <c r="D226" s="85" t="s">
        <v>9</v>
      </c>
      <c r="E226" s="86" t="s">
        <v>346</v>
      </c>
      <c r="K226" s="669"/>
    </row>
    <row r="227" spans="1:11" s="75" customFormat="1" ht="16.5" customHeight="1" x14ac:dyDescent="0.25">
      <c r="A227" s="119">
        <f t="shared" si="3"/>
        <v>221</v>
      </c>
      <c r="B227" s="87" t="s">
        <v>198</v>
      </c>
      <c r="C227" s="85">
        <f>ROUND((500+170*7)/7,-1)</f>
        <v>240</v>
      </c>
      <c r="D227" s="85" t="s">
        <v>9</v>
      </c>
      <c r="E227" s="86" t="s">
        <v>346</v>
      </c>
      <c r="K227" s="669"/>
    </row>
    <row r="228" spans="1:11" s="75" customFormat="1" ht="16.5" customHeight="1" x14ac:dyDescent="0.25">
      <c r="A228" s="119">
        <f t="shared" si="3"/>
        <v>222</v>
      </c>
      <c r="B228" s="87" t="s">
        <v>199</v>
      </c>
      <c r="C228" s="85">
        <f>50</f>
        <v>50</v>
      </c>
      <c r="D228" s="85" t="s">
        <v>9</v>
      </c>
      <c r="E228" s="86" t="s">
        <v>346</v>
      </c>
      <c r="K228" s="669"/>
    </row>
    <row r="229" spans="1:11" s="75" customFormat="1" ht="16.5" customHeight="1" x14ac:dyDescent="0.25">
      <c r="A229" s="119">
        <f t="shared" si="3"/>
        <v>223</v>
      </c>
      <c r="B229" s="87"/>
      <c r="C229" s="85"/>
      <c r="D229" s="85"/>
      <c r="E229" s="86"/>
      <c r="K229" s="669"/>
    </row>
    <row r="230" spans="1:11" s="75" customFormat="1" ht="16.5" customHeight="1" x14ac:dyDescent="0.25">
      <c r="A230" s="119">
        <f t="shared" si="3"/>
        <v>224</v>
      </c>
      <c r="B230" s="87" t="s">
        <v>682</v>
      </c>
      <c r="C230" s="85">
        <v>5</v>
      </c>
      <c r="D230" s="85" t="s">
        <v>9</v>
      </c>
      <c r="E230" s="81" t="s">
        <v>261</v>
      </c>
      <c r="K230" s="669"/>
    </row>
    <row r="231" spans="1:11" s="75" customFormat="1" ht="16.5" customHeight="1" x14ac:dyDescent="0.25">
      <c r="A231" s="119">
        <f t="shared" si="3"/>
        <v>225</v>
      </c>
      <c r="B231" s="83" t="s">
        <v>210</v>
      </c>
      <c r="C231" s="80">
        <v>3</v>
      </c>
      <c r="D231" s="80" t="s">
        <v>9</v>
      </c>
      <c r="E231" s="81" t="s">
        <v>261</v>
      </c>
      <c r="K231" s="669"/>
    </row>
    <row r="232" spans="1:11" s="75" customFormat="1" ht="16.5" customHeight="1" x14ac:dyDescent="0.25">
      <c r="A232" s="119">
        <f t="shared" si="3"/>
        <v>226</v>
      </c>
      <c r="B232" s="83" t="s">
        <v>211</v>
      </c>
      <c r="C232" s="80">
        <v>11</v>
      </c>
      <c r="D232" s="80" t="s">
        <v>9</v>
      </c>
      <c r="E232" s="81" t="s">
        <v>261</v>
      </c>
      <c r="K232" s="669"/>
    </row>
    <row r="233" spans="1:11" s="75" customFormat="1" ht="16.5" customHeight="1" x14ac:dyDescent="0.25">
      <c r="A233" s="119">
        <f t="shared" si="3"/>
        <v>227</v>
      </c>
      <c r="B233" s="83" t="s">
        <v>227</v>
      </c>
      <c r="C233" s="80">
        <v>15</v>
      </c>
      <c r="D233" s="80" t="s">
        <v>9</v>
      </c>
      <c r="E233" s="81" t="s">
        <v>261</v>
      </c>
      <c r="K233" s="669"/>
    </row>
    <row r="234" spans="1:11" s="75" customFormat="1" ht="16.5" customHeight="1" x14ac:dyDescent="0.25">
      <c r="A234" s="119">
        <f t="shared" si="3"/>
        <v>228</v>
      </c>
      <c r="B234" s="80" t="s">
        <v>239</v>
      </c>
      <c r="C234" s="80">
        <f>100*12</f>
        <v>1200</v>
      </c>
      <c r="D234" s="80" t="s">
        <v>9</v>
      </c>
      <c r="E234" s="81" t="s">
        <v>262</v>
      </c>
      <c r="K234" s="669"/>
    </row>
    <row r="235" spans="1:11" s="75" customFormat="1" ht="16.5" customHeight="1" x14ac:dyDescent="0.25">
      <c r="A235" s="119">
        <f t="shared" si="3"/>
        <v>229</v>
      </c>
      <c r="B235" s="87"/>
      <c r="C235" s="85"/>
      <c r="D235" s="85"/>
      <c r="E235" s="86"/>
      <c r="K235" s="669"/>
    </row>
    <row r="236" spans="1:11" s="75" customFormat="1" ht="16.5" customHeight="1" x14ac:dyDescent="0.25">
      <c r="A236" s="119">
        <f t="shared" si="3"/>
        <v>230</v>
      </c>
      <c r="B236" s="87" t="s">
        <v>347</v>
      </c>
      <c r="C236" s="85">
        <v>2400</v>
      </c>
      <c r="D236" s="85" t="s">
        <v>9</v>
      </c>
      <c r="E236" s="86" t="s">
        <v>335</v>
      </c>
      <c r="K236" s="669"/>
    </row>
    <row r="237" spans="1:11" s="75" customFormat="1" ht="16.5" customHeight="1" x14ac:dyDescent="0.25">
      <c r="A237" s="119">
        <f t="shared" si="3"/>
        <v>231</v>
      </c>
      <c r="B237" s="87" t="s">
        <v>348</v>
      </c>
      <c r="C237" s="85"/>
      <c r="D237" s="85"/>
      <c r="E237" s="86"/>
      <c r="K237" s="669"/>
    </row>
    <row r="238" spans="1:11" s="75" customFormat="1" ht="16.5" customHeight="1" x14ac:dyDescent="0.25">
      <c r="A238" s="119">
        <f t="shared" si="3"/>
        <v>232</v>
      </c>
      <c r="B238" s="87" t="s">
        <v>349</v>
      </c>
      <c r="C238" s="85"/>
      <c r="D238" s="85"/>
      <c r="E238" s="86"/>
      <c r="K238" s="669"/>
    </row>
    <row r="239" spans="1:11" s="75" customFormat="1" ht="16.5" customHeight="1" x14ac:dyDescent="0.25">
      <c r="A239" s="119">
        <f t="shared" si="3"/>
        <v>233</v>
      </c>
      <c r="B239" s="87" t="s">
        <v>350</v>
      </c>
      <c r="C239" s="85"/>
      <c r="D239" s="85"/>
      <c r="E239" s="86"/>
      <c r="K239" s="669"/>
    </row>
    <row r="240" spans="1:11" s="75" customFormat="1" ht="16.5" customHeight="1" x14ac:dyDescent="0.25">
      <c r="A240" s="119">
        <f t="shared" si="3"/>
        <v>234</v>
      </c>
      <c r="B240" s="425"/>
      <c r="C240" s="85"/>
      <c r="D240" s="85"/>
      <c r="E240" s="86"/>
      <c r="K240" s="669"/>
    </row>
    <row r="241" spans="1:11" s="75" customFormat="1" ht="16.5" customHeight="1" x14ac:dyDescent="0.25">
      <c r="A241" s="119">
        <f t="shared" si="3"/>
        <v>235</v>
      </c>
      <c r="B241" s="87" t="s">
        <v>351</v>
      </c>
      <c r="C241" s="242">
        <v>1</v>
      </c>
      <c r="D241" s="85" t="s">
        <v>9</v>
      </c>
      <c r="E241" s="86" t="s">
        <v>942</v>
      </c>
      <c r="K241" s="669"/>
    </row>
    <row r="242" spans="1:11" s="75" customFormat="1" ht="16.5" customHeight="1" x14ac:dyDescent="0.25">
      <c r="A242" s="119">
        <f t="shared" si="3"/>
        <v>236</v>
      </c>
      <c r="B242" s="87" t="s">
        <v>352</v>
      </c>
      <c r="C242" s="242">
        <v>1</v>
      </c>
      <c r="D242" s="85" t="s">
        <v>9</v>
      </c>
      <c r="E242" s="86" t="s">
        <v>942</v>
      </c>
      <c r="K242" s="669"/>
    </row>
    <row r="243" spans="1:11" s="75" customFormat="1" ht="16.5" customHeight="1" x14ac:dyDescent="0.25">
      <c r="A243" s="119">
        <f t="shared" si="3"/>
        <v>237</v>
      </c>
      <c r="B243" s="87" t="s">
        <v>353</v>
      </c>
      <c r="C243" s="242">
        <v>1</v>
      </c>
      <c r="D243" s="85" t="s">
        <v>9</v>
      </c>
      <c r="E243" s="86" t="s">
        <v>942</v>
      </c>
      <c r="K243" s="669"/>
    </row>
    <row r="244" spans="1:11" s="75" customFormat="1" ht="16.5" customHeight="1" x14ac:dyDescent="0.25">
      <c r="A244" s="119">
        <f t="shared" si="3"/>
        <v>238</v>
      </c>
      <c r="B244" s="87" t="s">
        <v>354</v>
      </c>
      <c r="C244" s="242">
        <v>1</v>
      </c>
      <c r="D244" s="85" t="s">
        <v>9</v>
      </c>
      <c r="E244" s="86" t="s">
        <v>942</v>
      </c>
      <c r="K244" s="669"/>
    </row>
    <row r="245" spans="1:11" s="75" customFormat="1" ht="16.5" customHeight="1" x14ac:dyDescent="0.25">
      <c r="A245" s="119">
        <f t="shared" si="3"/>
        <v>239</v>
      </c>
      <c r="B245" s="87"/>
      <c r="C245" s="85"/>
      <c r="D245" s="85"/>
      <c r="E245" s="86"/>
      <c r="K245" s="669"/>
    </row>
    <row r="246" spans="1:11" s="75" customFormat="1" ht="16.5" customHeight="1" x14ac:dyDescent="0.25">
      <c r="A246" s="119">
        <f t="shared" si="3"/>
        <v>240</v>
      </c>
      <c r="B246" s="87" t="s">
        <v>355</v>
      </c>
      <c r="C246" s="242">
        <v>1</v>
      </c>
      <c r="D246" s="85" t="s">
        <v>9</v>
      </c>
      <c r="E246" s="86" t="s">
        <v>942</v>
      </c>
      <c r="K246" s="669"/>
    </row>
    <row r="247" spans="1:11" s="75" customFormat="1" ht="16.5" customHeight="1" x14ac:dyDescent="0.25">
      <c r="A247" s="119">
        <f t="shared" si="3"/>
        <v>241</v>
      </c>
      <c r="B247" s="87" t="s">
        <v>356</v>
      </c>
      <c r="C247" s="242">
        <v>1</v>
      </c>
      <c r="D247" s="85" t="s">
        <v>9</v>
      </c>
      <c r="E247" s="86" t="s">
        <v>942</v>
      </c>
      <c r="K247" s="669"/>
    </row>
    <row r="248" spans="1:11" s="75" customFormat="1" ht="16.5" customHeight="1" x14ac:dyDescent="0.25">
      <c r="A248" s="119">
        <f t="shared" si="3"/>
        <v>242</v>
      </c>
      <c r="B248" s="87" t="s">
        <v>357</v>
      </c>
      <c r="C248" s="242">
        <v>1</v>
      </c>
      <c r="D248" s="85" t="s">
        <v>9</v>
      </c>
      <c r="E248" s="86" t="s">
        <v>942</v>
      </c>
      <c r="K248" s="669"/>
    </row>
    <row r="249" spans="1:11" s="75" customFormat="1" ht="16.5" customHeight="1" x14ac:dyDescent="0.25">
      <c r="A249" s="119">
        <f t="shared" si="3"/>
        <v>243</v>
      </c>
      <c r="B249" s="87" t="s">
        <v>358</v>
      </c>
      <c r="C249" s="242">
        <v>1</v>
      </c>
      <c r="D249" s="85" t="s">
        <v>9</v>
      </c>
      <c r="E249" s="86" t="s">
        <v>942</v>
      </c>
      <c r="K249" s="669"/>
    </row>
    <row r="250" spans="1:11" s="75" customFormat="1" ht="16.5" customHeight="1" x14ac:dyDescent="0.25">
      <c r="A250" s="119">
        <f t="shared" si="3"/>
        <v>244</v>
      </c>
      <c r="B250" s="87" t="s">
        <v>359</v>
      </c>
      <c r="C250" s="242">
        <v>1</v>
      </c>
      <c r="D250" s="85" t="s">
        <v>9</v>
      </c>
      <c r="E250" s="86" t="s">
        <v>942</v>
      </c>
      <c r="K250" s="669"/>
    </row>
    <row r="251" spans="1:11" s="75" customFormat="1" ht="16.5" customHeight="1" x14ac:dyDescent="0.25">
      <c r="A251" s="119">
        <f t="shared" si="3"/>
        <v>245</v>
      </c>
      <c r="B251" s="87"/>
      <c r="C251" s="85"/>
      <c r="D251" s="85"/>
      <c r="E251" s="86"/>
      <c r="K251" s="669"/>
    </row>
    <row r="252" spans="1:11" s="75" customFormat="1" ht="16.5" customHeight="1" x14ac:dyDescent="0.25">
      <c r="A252" s="119">
        <f t="shared" si="3"/>
        <v>246</v>
      </c>
      <c r="B252" s="87" t="s">
        <v>677</v>
      </c>
      <c r="C252" s="85">
        <v>5000</v>
      </c>
      <c r="D252" s="85" t="s">
        <v>9</v>
      </c>
      <c r="E252" s="86" t="s">
        <v>159</v>
      </c>
      <c r="K252" s="669"/>
    </row>
    <row r="253" spans="1:11" s="75" customFormat="1" ht="16.5" customHeight="1" x14ac:dyDescent="0.25">
      <c r="A253" s="119">
        <f t="shared" si="3"/>
        <v>247</v>
      </c>
      <c r="B253" s="87" t="s">
        <v>839</v>
      </c>
      <c r="C253" s="206">
        <v>0.5</v>
      </c>
      <c r="D253" s="85" t="s">
        <v>9</v>
      </c>
      <c r="E253" s="86" t="s">
        <v>840</v>
      </c>
      <c r="K253" s="669"/>
    </row>
    <row r="254" spans="1:11" s="75" customFormat="1" ht="16.5" customHeight="1" x14ac:dyDescent="0.25">
      <c r="A254" s="119">
        <f t="shared" si="3"/>
        <v>248</v>
      </c>
      <c r="B254" s="83" t="s">
        <v>309</v>
      </c>
      <c r="C254" s="80">
        <v>2000</v>
      </c>
      <c r="D254" s="80" t="s">
        <v>9</v>
      </c>
      <c r="E254" s="81" t="s">
        <v>159</v>
      </c>
      <c r="K254" s="669"/>
    </row>
    <row r="255" spans="1:11" s="75" customFormat="1" ht="16.5" customHeight="1" x14ac:dyDescent="0.25">
      <c r="A255" s="119">
        <f t="shared" si="3"/>
        <v>249</v>
      </c>
      <c r="B255" s="83" t="s">
        <v>310</v>
      </c>
      <c r="C255" s="80">
        <v>1000</v>
      </c>
      <c r="D255" s="80" t="s">
        <v>9</v>
      </c>
      <c r="E255" s="81" t="s">
        <v>159</v>
      </c>
      <c r="K255" s="669"/>
    </row>
    <row r="256" spans="1:11" s="75" customFormat="1" ht="16.5" customHeight="1" x14ac:dyDescent="0.25">
      <c r="A256" s="77">
        <f t="shared" ref="A256:A263" si="5">A255+1</f>
        <v>250</v>
      </c>
      <c r="B256" s="87"/>
      <c r="C256" s="84"/>
      <c r="D256" s="85"/>
      <c r="E256" s="86"/>
      <c r="K256" s="669"/>
    </row>
    <row r="257" spans="1:11" s="75" customFormat="1" ht="16.5" customHeight="1" x14ac:dyDescent="0.25">
      <c r="A257" s="77">
        <f t="shared" si="5"/>
        <v>251</v>
      </c>
      <c r="B257" s="87" t="s">
        <v>851</v>
      </c>
      <c r="C257" s="84">
        <v>10000</v>
      </c>
      <c r="D257" s="85" t="s">
        <v>9</v>
      </c>
      <c r="E257" s="86" t="s">
        <v>159</v>
      </c>
      <c r="K257" s="669"/>
    </row>
    <row r="258" spans="1:11" s="75" customFormat="1" ht="16.5" customHeight="1" x14ac:dyDescent="0.25">
      <c r="A258" s="77">
        <f t="shared" si="5"/>
        <v>252</v>
      </c>
      <c r="B258" s="87"/>
      <c r="C258" s="84"/>
      <c r="D258" s="85"/>
      <c r="E258" s="86"/>
      <c r="K258" s="669"/>
    </row>
    <row r="259" spans="1:11" s="75" customFormat="1" ht="16.5" customHeight="1" x14ac:dyDescent="0.25">
      <c r="A259" s="77">
        <f t="shared" si="5"/>
        <v>253</v>
      </c>
      <c r="B259" s="80" t="s">
        <v>895</v>
      </c>
      <c r="C259" s="80">
        <v>360000</v>
      </c>
      <c r="D259" s="80" t="s">
        <v>9</v>
      </c>
      <c r="E259" s="81" t="s">
        <v>306</v>
      </c>
      <c r="K259" s="669"/>
    </row>
    <row r="260" spans="1:11" s="75" customFormat="1" ht="16.5" customHeight="1" x14ac:dyDescent="0.25">
      <c r="A260" s="77">
        <f t="shared" si="5"/>
        <v>254</v>
      </c>
      <c r="B260" s="83" t="s">
        <v>896</v>
      </c>
      <c r="C260" s="80">
        <f>ROUND(60000+50400+23860+4000+12400,-3)-1000</f>
        <v>150000</v>
      </c>
      <c r="D260" s="80" t="s">
        <v>9</v>
      </c>
      <c r="E260" s="81" t="s">
        <v>306</v>
      </c>
      <c r="K260" s="669"/>
    </row>
    <row r="261" spans="1:11" s="75" customFormat="1" ht="16.5" customHeight="1" x14ac:dyDescent="0.25">
      <c r="A261" s="77">
        <f t="shared" si="5"/>
        <v>255</v>
      </c>
      <c r="B261" s="87"/>
      <c r="C261" s="84"/>
      <c r="D261" s="85"/>
      <c r="E261" s="86"/>
      <c r="K261" s="669"/>
    </row>
    <row r="262" spans="1:11" s="75" customFormat="1" ht="16.5" customHeight="1" x14ac:dyDescent="0.25">
      <c r="A262" s="77">
        <f t="shared" si="5"/>
        <v>256</v>
      </c>
      <c r="B262" s="87" t="s">
        <v>956</v>
      </c>
      <c r="C262" s="242">
        <v>1</v>
      </c>
      <c r="D262" s="85" t="s">
        <v>9</v>
      </c>
      <c r="E262" s="86" t="s">
        <v>159</v>
      </c>
      <c r="K262" s="669"/>
    </row>
    <row r="263" spans="1:11" s="75" customFormat="1" ht="16.5" customHeight="1" x14ac:dyDescent="0.25">
      <c r="A263" s="77">
        <f t="shared" si="5"/>
        <v>257</v>
      </c>
      <c r="B263" s="87" t="s">
        <v>957</v>
      </c>
      <c r="C263" s="242">
        <v>1</v>
      </c>
      <c r="D263" s="85" t="s">
        <v>9</v>
      </c>
      <c r="E263" s="86" t="s">
        <v>159</v>
      </c>
      <c r="K263" s="669"/>
    </row>
    <row r="264" spans="1:11" s="75" customFormat="1" ht="16.5" customHeight="1" x14ac:dyDescent="0.25">
      <c r="A264" s="77">
        <f t="shared" ref="A264:A305" si="6">A263+1</f>
        <v>258</v>
      </c>
      <c r="B264" s="87" t="s">
        <v>958</v>
      </c>
      <c r="C264" s="242">
        <v>1</v>
      </c>
      <c r="D264" s="85" t="s">
        <v>9</v>
      </c>
      <c r="E264" s="86" t="s">
        <v>159</v>
      </c>
      <c r="K264" s="669"/>
    </row>
    <row r="265" spans="1:11" s="75" customFormat="1" ht="16.5" customHeight="1" x14ac:dyDescent="0.25">
      <c r="A265" s="77">
        <f t="shared" si="6"/>
        <v>259</v>
      </c>
      <c r="B265" s="87" t="s">
        <v>959</v>
      </c>
      <c r="C265" s="242">
        <v>1</v>
      </c>
      <c r="D265" s="85" t="s">
        <v>9</v>
      </c>
      <c r="E265" s="86" t="s">
        <v>159</v>
      </c>
      <c r="K265" s="669"/>
    </row>
    <row r="266" spans="1:11" s="75" customFormat="1" ht="16.5" customHeight="1" x14ac:dyDescent="0.25">
      <c r="A266" s="77">
        <f t="shared" si="6"/>
        <v>260</v>
      </c>
      <c r="B266" s="87"/>
      <c r="C266" s="84"/>
      <c r="D266" s="85"/>
      <c r="E266" s="86"/>
      <c r="K266" s="669"/>
    </row>
    <row r="267" spans="1:11" s="75" customFormat="1" ht="0.95" customHeight="1" x14ac:dyDescent="0.25">
      <c r="A267" s="77">
        <f t="shared" si="6"/>
        <v>261</v>
      </c>
      <c r="B267" s="87"/>
      <c r="C267" s="84"/>
      <c r="D267" s="85"/>
      <c r="E267" s="86"/>
      <c r="K267" s="669"/>
    </row>
    <row r="268" spans="1:11" s="75" customFormat="1" ht="0.95" customHeight="1" x14ac:dyDescent="0.25">
      <c r="A268" s="77">
        <f t="shared" si="6"/>
        <v>262</v>
      </c>
      <c r="B268" s="87"/>
      <c r="C268" s="84"/>
      <c r="D268" s="85"/>
      <c r="E268" s="86"/>
      <c r="K268" s="669"/>
    </row>
    <row r="269" spans="1:11" s="75" customFormat="1" ht="0.95" customHeight="1" x14ac:dyDescent="0.25">
      <c r="A269" s="77">
        <f t="shared" si="6"/>
        <v>263</v>
      </c>
      <c r="B269" s="87"/>
      <c r="C269" s="84"/>
      <c r="D269" s="85"/>
      <c r="E269" s="86"/>
      <c r="K269" s="669"/>
    </row>
    <row r="270" spans="1:11" s="75" customFormat="1" ht="0.95" customHeight="1" x14ac:dyDescent="0.25">
      <c r="A270" s="77">
        <f t="shared" si="6"/>
        <v>264</v>
      </c>
      <c r="B270" s="87"/>
      <c r="C270" s="84"/>
      <c r="D270" s="85"/>
      <c r="E270" s="86"/>
      <c r="K270" s="669"/>
    </row>
    <row r="271" spans="1:11" s="75" customFormat="1" ht="0.95" customHeight="1" x14ac:dyDescent="0.25">
      <c r="A271" s="77">
        <f t="shared" si="6"/>
        <v>265</v>
      </c>
      <c r="B271" s="87"/>
      <c r="C271" s="84"/>
      <c r="D271" s="85"/>
      <c r="E271" s="86"/>
      <c r="K271" s="669"/>
    </row>
    <row r="272" spans="1:11" s="75" customFormat="1" ht="0.95" customHeight="1" x14ac:dyDescent="0.25">
      <c r="A272" s="77">
        <f t="shared" si="6"/>
        <v>266</v>
      </c>
      <c r="B272" s="87"/>
      <c r="C272" s="84"/>
      <c r="D272" s="85"/>
      <c r="E272" s="86"/>
      <c r="K272" s="669"/>
    </row>
    <row r="273" spans="1:11" s="75" customFormat="1" ht="0.95" customHeight="1" x14ac:dyDescent="0.25">
      <c r="A273" s="77">
        <f t="shared" si="6"/>
        <v>267</v>
      </c>
      <c r="B273" s="87"/>
      <c r="C273" s="84"/>
      <c r="D273" s="85"/>
      <c r="E273" s="86"/>
      <c r="K273" s="669"/>
    </row>
    <row r="274" spans="1:11" s="75" customFormat="1" ht="0.95" customHeight="1" x14ac:dyDescent="0.25">
      <c r="A274" s="77">
        <f t="shared" si="6"/>
        <v>268</v>
      </c>
      <c r="B274" s="87"/>
      <c r="C274" s="84"/>
      <c r="D274" s="85"/>
      <c r="E274" s="86"/>
      <c r="K274" s="669"/>
    </row>
    <row r="275" spans="1:11" s="75" customFormat="1" ht="0.95" customHeight="1" x14ac:dyDescent="0.25">
      <c r="A275" s="77">
        <f t="shared" si="6"/>
        <v>269</v>
      </c>
      <c r="B275" s="87"/>
      <c r="C275" s="84"/>
      <c r="D275" s="85"/>
      <c r="E275" s="86"/>
      <c r="K275" s="669"/>
    </row>
    <row r="276" spans="1:11" s="75" customFormat="1" ht="0.95" customHeight="1" x14ac:dyDescent="0.25">
      <c r="A276" s="77">
        <f t="shared" si="6"/>
        <v>270</v>
      </c>
      <c r="B276" s="87"/>
      <c r="C276" s="84"/>
      <c r="D276" s="85"/>
      <c r="E276" s="86"/>
      <c r="K276" s="669"/>
    </row>
    <row r="277" spans="1:11" s="75" customFormat="1" ht="0.95" customHeight="1" x14ac:dyDescent="0.25">
      <c r="A277" s="77">
        <f t="shared" si="6"/>
        <v>271</v>
      </c>
      <c r="B277" s="87"/>
      <c r="C277" s="84"/>
      <c r="D277" s="85"/>
      <c r="E277" s="86"/>
      <c r="K277" s="669"/>
    </row>
    <row r="278" spans="1:11" s="75" customFormat="1" ht="0.95" customHeight="1" x14ac:dyDescent="0.25">
      <c r="A278" s="77">
        <f t="shared" si="6"/>
        <v>272</v>
      </c>
      <c r="B278" s="87"/>
      <c r="C278" s="84"/>
      <c r="D278" s="85"/>
      <c r="E278" s="86"/>
      <c r="K278" s="669"/>
    </row>
    <row r="279" spans="1:11" s="75" customFormat="1" ht="0.95" customHeight="1" x14ac:dyDescent="0.25">
      <c r="A279" s="77">
        <f t="shared" si="6"/>
        <v>273</v>
      </c>
      <c r="B279" s="87"/>
      <c r="C279" s="84"/>
      <c r="D279" s="85"/>
      <c r="E279" s="86"/>
      <c r="K279" s="669"/>
    </row>
    <row r="280" spans="1:11" s="75" customFormat="1" ht="0.95" customHeight="1" x14ac:dyDescent="0.25">
      <c r="A280" s="77">
        <f t="shared" si="6"/>
        <v>274</v>
      </c>
      <c r="B280" s="87"/>
      <c r="C280" s="84"/>
      <c r="D280" s="85"/>
      <c r="E280" s="86"/>
      <c r="K280" s="669"/>
    </row>
    <row r="281" spans="1:11" s="75" customFormat="1" ht="0.95" customHeight="1" x14ac:dyDescent="0.25">
      <c r="A281" s="77">
        <f t="shared" si="6"/>
        <v>275</v>
      </c>
      <c r="B281" s="87"/>
      <c r="C281" s="84"/>
      <c r="D281" s="85"/>
      <c r="E281" s="86"/>
      <c r="K281" s="669"/>
    </row>
    <row r="282" spans="1:11" s="75" customFormat="1" ht="0.95" customHeight="1" x14ac:dyDescent="0.25">
      <c r="A282" s="77">
        <f t="shared" si="6"/>
        <v>276</v>
      </c>
      <c r="B282" s="87"/>
      <c r="C282" s="84"/>
      <c r="D282" s="85"/>
      <c r="E282" s="86"/>
      <c r="K282" s="669"/>
    </row>
    <row r="283" spans="1:11" s="75" customFormat="1" ht="0.95" customHeight="1" x14ac:dyDescent="0.25">
      <c r="A283" s="77">
        <f t="shared" si="6"/>
        <v>277</v>
      </c>
      <c r="B283" s="87"/>
      <c r="C283" s="84"/>
      <c r="D283" s="85"/>
      <c r="E283" s="86"/>
      <c r="K283" s="669"/>
    </row>
    <row r="284" spans="1:11" s="75" customFormat="1" ht="0.95" customHeight="1" x14ac:dyDescent="0.25">
      <c r="A284" s="77">
        <f t="shared" si="6"/>
        <v>278</v>
      </c>
      <c r="B284" s="87"/>
      <c r="C284" s="84"/>
      <c r="D284" s="85"/>
      <c r="E284" s="86"/>
      <c r="K284" s="669"/>
    </row>
    <row r="285" spans="1:11" s="75" customFormat="1" ht="0.95" customHeight="1" x14ac:dyDescent="0.25">
      <c r="A285" s="77">
        <f t="shared" si="6"/>
        <v>279</v>
      </c>
      <c r="B285" s="87"/>
      <c r="C285" s="84"/>
      <c r="D285" s="85"/>
      <c r="E285" s="86"/>
      <c r="K285" s="669"/>
    </row>
    <row r="286" spans="1:11" s="75" customFormat="1" ht="0.95" customHeight="1" x14ac:dyDescent="0.25">
      <c r="A286" s="77">
        <f t="shared" si="6"/>
        <v>280</v>
      </c>
      <c r="B286" s="87"/>
      <c r="C286" s="84"/>
      <c r="D286" s="85"/>
      <c r="E286" s="86"/>
      <c r="K286" s="669"/>
    </row>
    <row r="287" spans="1:11" s="75" customFormat="1" ht="0.95" customHeight="1" x14ac:dyDescent="0.25">
      <c r="A287" s="77">
        <f t="shared" si="6"/>
        <v>281</v>
      </c>
      <c r="B287" s="87"/>
      <c r="C287" s="84"/>
      <c r="D287" s="85"/>
      <c r="E287" s="86"/>
      <c r="K287" s="669"/>
    </row>
    <row r="288" spans="1:11" s="75" customFormat="1" ht="0.95" customHeight="1" x14ac:dyDescent="0.25">
      <c r="A288" s="77">
        <f t="shared" si="6"/>
        <v>282</v>
      </c>
      <c r="B288" s="87"/>
      <c r="C288" s="84"/>
      <c r="D288" s="85"/>
      <c r="E288" s="86"/>
      <c r="K288" s="669"/>
    </row>
    <row r="289" spans="1:11" s="75" customFormat="1" ht="0.95" customHeight="1" x14ac:dyDescent="0.25">
      <c r="A289" s="77">
        <f t="shared" si="6"/>
        <v>283</v>
      </c>
      <c r="B289" s="87"/>
      <c r="C289" s="84"/>
      <c r="D289" s="85"/>
      <c r="E289" s="86"/>
      <c r="K289" s="669"/>
    </row>
    <row r="290" spans="1:11" s="75" customFormat="1" ht="0.95" customHeight="1" x14ac:dyDescent="0.25">
      <c r="A290" s="77">
        <f t="shared" si="6"/>
        <v>284</v>
      </c>
      <c r="B290" s="87"/>
      <c r="C290" s="84"/>
      <c r="D290" s="85"/>
      <c r="E290" s="86"/>
      <c r="K290" s="669"/>
    </row>
    <row r="291" spans="1:11" s="75" customFormat="1" ht="0.95" customHeight="1" x14ac:dyDescent="0.25">
      <c r="A291" s="77">
        <f t="shared" si="6"/>
        <v>285</v>
      </c>
      <c r="B291" s="87"/>
      <c r="C291" s="84"/>
      <c r="D291" s="85"/>
      <c r="E291" s="86"/>
      <c r="K291" s="669"/>
    </row>
    <row r="292" spans="1:11" s="75" customFormat="1" ht="0.95" customHeight="1" x14ac:dyDescent="0.25">
      <c r="A292" s="77">
        <f t="shared" si="6"/>
        <v>286</v>
      </c>
      <c r="B292" s="87"/>
      <c r="C292" s="84"/>
      <c r="D292" s="85"/>
      <c r="E292" s="86"/>
      <c r="K292" s="669"/>
    </row>
    <row r="293" spans="1:11" s="75" customFormat="1" ht="0.95" customHeight="1" x14ac:dyDescent="0.25">
      <c r="A293" s="77">
        <f t="shared" si="6"/>
        <v>287</v>
      </c>
      <c r="B293" s="87"/>
      <c r="C293" s="84"/>
      <c r="D293" s="85"/>
      <c r="E293" s="86"/>
      <c r="K293" s="669"/>
    </row>
    <row r="294" spans="1:11" s="75" customFormat="1" ht="0.95" customHeight="1" x14ac:dyDescent="0.25">
      <c r="A294" s="77">
        <f t="shared" si="6"/>
        <v>288</v>
      </c>
      <c r="B294" s="87"/>
      <c r="C294" s="84"/>
      <c r="D294" s="85"/>
      <c r="E294" s="86"/>
      <c r="K294" s="669"/>
    </row>
    <row r="295" spans="1:11" s="75" customFormat="1" ht="0.95" customHeight="1" x14ac:dyDescent="0.25">
      <c r="A295" s="77">
        <f t="shared" si="6"/>
        <v>289</v>
      </c>
      <c r="B295" s="87"/>
      <c r="C295" s="84"/>
      <c r="D295" s="85"/>
      <c r="E295" s="86"/>
      <c r="K295" s="669"/>
    </row>
    <row r="296" spans="1:11" s="75" customFormat="1" ht="0.95" customHeight="1" x14ac:dyDescent="0.25">
      <c r="A296" s="77">
        <f t="shared" si="6"/>
        <v>290</v>
      </c>
      <c r="B296" s="87"/>
      <c r="C296" s="84"/>
      <c r="D296" s="85"/>
      <c r="E296" s="86"/>
      <c r="K296" s="669"/>
    </row>
    <row r="297" spans="1:11" s="75" customFormat="1" ht="0.95" customHeight="1" x14ac:dyDescent="0.25">
      <c r="A297" s="77">
        <f t="shared" si="6"/>
        <v>291</v>
      </c>
      <c r="B297" s="87"/>
      <c r="C297" s="84"/>
      <c r="D297" s="85"/>
      <c r="E297" s="86"/>
      <c r="K297" s="669"/>
    </row>
    <row r="298" spans="1:11" s="75" customFormat="1" ht="0.95" customHeight="1" x14ac:dyDescent="0.25">
      <c r="A298" s="77">
        <f t="shared" si="6"/>
        <v>292</v>
      </c>
      <c r="B298" s="87"/>
      <c r="C298" s="84"/>
      <c r="D298" s="85"/>
      <c r="E298" s="86"/>
      <c r="K298" s="669"/>
    </row>
    <row r="299" spans="1:11" s="75" customFormat="1" ht="0.95" customHeight="1" x14ac:dyDescent="0.25">
      <c r="A299" s="77">
        <f t="shared" si="6"/>
        <v>293</v>
      </c>
      <c r="B299" s="87"/>
      <c r="C299" s="84"/>
      <c r="D299" s="85"/>
      <c r="E299" s="86"/>
      <c r="K299" s="669"/>
    </row>
    <row r="300" spans="1:11" s="75" customFormat="1" ht="0.95" customHeight="1" x14ac:dyDescent="0.25">
      <c r="A300" s="77">
        <f t="shared" si="6"/>
        <v>294</v>
      </c>
      <c r="B300" s="87"/>
      <c r="C300" s="84"/>
      <c r="D300" s="85"/>
      <c r="E300" s="86"/>
      <c r="K300" s="669"/>
    </row>
    <row r="301" spans="1:11" s="75" customFormat="1" ht="0.95" customHeight="1" x14ac:dyDescent="0.25">
      <c r="A301" s="77">
        <f t="shared" si="6"/>
        <v>295</v>
      </c>
      <c r="B301" s="87"/>
      <c r="C301" s="84"/>
      <c r="D301" s="85"/>
      <c r="E301" s="86"/>
      <c r="K301" s="669"/>
    </row>
    <row r="302" spans="1:11" s="75" customFormat="1" ht="0.95" customHeight="1" x14ac:dyDescent="0.25">
      <c r="A302" s="77">
        <f t="shared" si="6"/>
        <v>296</v>
      </c>
      <c r="B302" s="87"/>
      <c r="C302" s="84"/>
      <c r="D302" s="85"/>
      <c r="E302" s="86"/>
      <c r="K302" s="669"/>
    </row>
    <row r="303" spans="1:11" s="75" customFormat="1" ht="0.95" customHeight="1" x14ac:dyDescent="0.25">
      <c r="A303" s="77">
        <f t="shared" si="6"/>
        <v>297</v>
      </c>
      <c r="B303" s="87"/>
      <c r="C303" s="84"/>
      <c r="D303" s="85"/>
      <c r="E303" s="86"/>
      <c r="K303" s="669"/>
    </row>
    <row r="304" spans="1:11" s="75" customFormat="1" ht="0.95" customHeight="1" x14ac:dyDescent="0.25">
      <c r="A304" s="77">
        <f t="shared" si="6"/>
        <v>298</v>
      </c>
      <c r="B304" s="87"/>
      <c r="C304" s="84"/>
      <c r="D304" s="85"/>
      <c r="E304" s="86"/>
      <c r="K304" s="669"/>
    </row>
    <row r="305" spans="1:11" s="75" customFormat="1" ht="16.5" customHeight="1" x14ac:dyDescent="0.25">
      <c r="A305" s="77">
        <f t="shared" si="6"/>
        <v>299</v>
      </c>
      <c r="B305" s="87"/>
      <c r="C305" s="84"/>
      <c r="D305" s="85"/>
      <c r="E305" s="86"/>
      <c r="K305" s="669"/>
    </row>
    <row r="306" spans="1:11" s="75" customFormat="1" ht="16.5" customHeight="1" thickBot="1" x14ac:dyDescent="0.3">
      <c r="A306" s="88">
        <f>A305+1</f>
        <v>300</v>
      </c>
      <c r="B306" s="89" t="s">
        <v>886</v>
      </c>
      <c r="C306" s="90"/>
      <c r="D306" s="91"/>
      <c r="E306" s="92"/>
      <c r="K306" s="669"/>
    </row>
    <row r="307" spans="1:11" ht="12.75" thickTop="1" x14ac:dyDescent="0.2"/>
  </sheetData>
  <customSheetViews>
    <customSheetView guid="{16F311FB-A03A-407C-98DE-A6C8D1A31210}" scale="110" showGridLines="0" hiddenColumns="1" topLeftCell="A287">
      <selection activeCell="B307" sqref="B307"/>
      <pageMargins left="0.26" right="0.26" top="0.44" bottom="0.91" header="0.26" footer="0.57999999999999996"/>
      <printOptions horizontalCentered="1"/>
      <pageSetup paperSize="9" orientation="portrait" r:id="rId1"/>
      <headerFooter alignWithMargins="0">
        <oddFooter>&amp;L&amp;F&amp;R&amp;A, page &amp;P de &amp;N</oddFooter>
      </headerFooter>
    </customSheetView>
    <customSheetView guid="{7DCFC24B-AE2D-4244-9FC9-42CB2B15C505}" scale="110" showGridLines="0" hiddenColumns="1" topLeftCell="A309">
      <selection activeCell="B318" sqref="B318"/>
      <pageMargins left="0.26" right="0.26" top="0.44" bottom="0.91" header="0.26" footer="0.57999999999999996"/>
      <printOptions horizontalCentered="1"/>
      <pageSetup paperSize="9" orientation="portrait" r:id="rId2"/>
      <headerFooter alignWithMargins="0">
        <oddFooter>&amp;L&amp;F&amp;R&amp;A, page &amp;P de &amp;N</oddFooter>
      </headerFooter>
    </customSheetView>
    <customSheetView guid="{78FB95F1-5BFE-4EBA-A03F-865E18F9C8C8}" scale="110" showPageBreaks="1" showGridLines="0" printArea="1" hiddenColumns="1" topLeftCell="A248">
      <selection activeCell="B257" sqref="B257"/>
      <pageMargins left="0.26" right="0.26" top="0.44" bottom="0.91" header="0.26" footer="0.57999999999999996"/>
      <printOptions horizontalCentered="1"/>
      <pageSetup paperSize="9" orientation="portrait" r:id="rId3"/>
      <headerFooter alignWithMargins="0">
        <oddFooter>&amp;L&amp;F&amp;R&amp;A, page &amp;P de &amp;N</oddFooter>
      </headerFooter>
    </customSheetView>
  </customSheetViews>
  <printOptions horizontalCentered="1"/>
  <pageMargins left="0.26" right="0.26" top="0.44" bottom="0.91" header="0.26" footer="0.57999999999999996"/>
  <pageSetup paperSize="9" orientation="portrait" r:id="rId4"/>
  <headerFooter alignWithMargins="0">
    <oddFooter>&amp;L&amp;F&amp;R&amp;A, page &amp;P de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516"/>
  <sheetViews>
    <sheetView showGridLines="0" showZeros="0" topLeftCell="A28" zoomScaleNormal="100" workbookViewId="0">
      <selection activeCell="B31" sqref="B31"/>
    </sheetView>
  </sheetViews>
  <sheetFormatPr defaultColWidth="11.25" defaultRowHeight="11.25" x14ac:dyDescent="0.2"/>
  <cols>
    <col min="1" max="1" width="13.25" style="1" customWidth="1"/>
    <col min="2" max="2" width="52" style="1" customWidth="1"/>
    <col min="3" max="3" width="25.75" style="47" customWidth="1"/>
    <col min="4" max="4" width="7.125" style="1" customWidth="1"/>
    <col min="5" max="5" width="6.875" style="1" customWidth="1"/>
    <col min="6" max="6" width="7" style="1" customWidth="1"/>
    <col min="7" max="8" width="6.875" style="1" customWidth="1"/>
    <col min="9" max="9" width="7.75" style="1" customWidth="1"/>
    <col min="10" max="10" width="7.625" style="1" customWidth="1"/>
    <col min="11" max="11" width="6.875" style="1" customWidth="1"/>
    <col min="12" max="12" width="9.5" style="1" bestFit="1" customWidth="1"/>
    <col min="13" max="13" width="9.875" style="1" customWidth="1"/>
    <col min="14" max="15" width="9.375" style="1" customWidth="1"/>
    <col min="16" max="16" width="9.625" style="1" customWidth="1"/>
    <col min="17" max="17" width="10.875" style="1" customWidth="1"/>
    <col min="18" max="18" width="9.75" style="143" customWidth="1"/>
    <col min="19" max="19" width="8.375" style="143" customWidth="1"/>
    <col min="20" max="20" width="5.5" style="47" customWidth="1"/>
    <col min="21" max="21" width="11.25" style="653"/>
    <col min="22" max="26" width="11.25" style="572"/>
    <col min="27" max="16384" width="11.25" style="1"/>
  </cols>
  <sheetData>
    <row r="1" spans="1:22" ht="15" x14ac:dyDescent="0.25">
      <c r="A1" s="54" t="s">
        <v>140</v>
      </c>
      <c r="B1" s="54"/>
    </row>
    <row r="2" spans="1:22" ht="12" x14ac:dyDescent="0.2">
      <c r="A2" s="55" t="s">
        <v>141</v>
      </c>
      <c r="B2" s="55"/>
      <c r="C2" s="52"/>
      <c r="M2" s="148"/>
      <c r="T2" s="294"/>
    </row>
    <row r="3" spans="1:22" ht="12.75" thickBot="1" x14ac:dyDescent="0.25">
      <c r="A3" s="311" t="s">
        <v>971</v>
      </c>
      <c r="B3" s="55"/>
      <c r="C3" s="52"/>
      <c r="M3" s="148"/>
      <c r="T3" s="294" t="s">
        <v>966</v>
      </c>
    </row>
    <row r="4" spans="1:22" ht="16.5" thickTop="1" x14ac:dyDescent="0.25">
      <c r="A4" s="2" t="s">
        <v>0</v>
      </c>
      <c r="B4" s="42"/>
      <c r="C4" s="53" t="s">
        <v>173</v>
      </c>
      <c r="D4" s="3" t="s">
        <v>1</v>
      </c>
      <c r="E4" s="670" t="s">
        <v>2</v>
      </c>
      <c r="F4" s="671"/>
      <c r="G4" s="671"/>
      <c r="H4" s="671"/>
      <c r="I4" s="671"/>
      <c r="J4" s="672"/>
      <c r="K4" s="3" t="s">
        <v>964</v>
      </c>
      <c r="L4" s="670" t="s">
        <v>3</v>
      </c>
      <c r="M4" s="673"/>
      <c r="N4" s="673"/>
      <c r="O4" s="673"/>
      <c r="P4" s="673"/>
      <c r="Q4" s="674"/>
      <c r="R4" s="184" t="s">
        <v>4</v>
      </c>
      <c r="S4" s="185" t="s">
        <v>5</v>
      </c>
      <c r="T4" s="53" t="s">
        <v>139</v>
      </c>
    </row>
    <row r="5" spans="1:22" x14ac:dyDescent="0.2">
      <c r="A5" s="4" t="s">
        <v>7</v>
      </c>
      <c r="B5" s="43"/>
      <c r="C5" s="5"/>
      <c r="D5" s="5"/>
      <c r="E5" s="6">
        <v>2016</v>
      </c>
      <c r="F5" s="7">
        <f>E5+1</f>
        <v>2017</v>
      </c>
      <c r="G5" s="7">
        <f>F5+1</f>
        <v>2018</v>
      </c>
      <c r="H5" s="7">
        <f>G5+1</f>
        <v>2019</v>
      </c>
      <c r="I5" s="7">
        <f>H5+1</f>
        <v>2020</v>
      </c>
      <c r="J5" s="8" t="s">
        <v>8</v>
      </c>
      <c r="K5" s="293" t="s">
        <v>965</v>
      </c>
      <c r="L5" s="23">
        <f>+E5</f>
        <v>2016</v>
      </c>
      <c r="M5" s="9">
        <f>L5+1</f>
        <v>2017</v>
      </c>
      <c r="N5" s="9">
        <f>M5+1</f>
        <v>2018</v>
      </c>
      <c r="O5" s="9">
        <f>N5+1</f>
        <v>2019</v>
      </c>
      <c r="P5" s="265">
        <f>O5+1</f>
        <v>2020</v>
      </c>
      <c r="Q5" s="276" t="s">
        <v>8</v>
      </c>
      <c r="R5" s="186"/>
      <c r="S5" s="187" t="s">
        <v>10</v>
      </c>
      <c r="T5" s="5"/>
    </row>
    <row r="6" spans="1:22" x14ac:dyDescent="0.2">
      <c r="A6" s="11" t="s">
        <v>1012</v>
      </c>
      <c r="B6" s="13"/>
      <c r="C6" s="113"/>
      <c r="D6" s="12"/>
      <c r="E6" s="28"/>
      <c r="F6" s="29"/>
      <c r="G6" s="29"/>
      <c r="H6" s="29"/>
      <c r="I6" s="29"/>
      <c r="J6" s="24">
        <f t="shared" ref="J6:J37" si="0">SUM(E6:I6)</f>
        <v>0</v>
      </c>
      <c r="K6" s="144"/>
      <c r="L6" s="30">
        <f t="shared" ref="L6:P8" si="1">ROUND(+$K6*E6,0)</f>
        <v>0</v>
      </c>
      <c r="M6" s="29">
        <f t="shared" si="1"/>
        <v>0</v>
      </c>
      <c r="N6" s="29">
        <f t="shared" si="1"/>
        <v>0</v>
      </c>
      <c r="O6" s="29">
        <f t="shared" si="1"/>
        <v>0</v>
      </c>
      <c r="P6" s="266">
        <f t="shared" si="1"/>
        <v>0</v>
      </c>
      <c r="Q6" s="277">
        <f>SUM(L6:P6)</f>
        <v>0</v>
      </c>
      <c r="R6" s="176"/>
      <c r="S6" s="177"/>
      <c r="T6" s="48"/>
    </row>
    <row r="7" spans="1:22" x14ac:dyDescent="0.2">
      <c r="A7" s="14" t="s">
        <v>1034</v>
      </c>
      <c r="B7" s="44"/>
      <c r="C7" s="112"/>
      <c r="D7" s="15"/>
      <c r="E7" s="31"/>
      <c r="F7" s="32"/>
      <c r="G7" s="32"/>
      <c r="H7" s="32"/>
      <c r="I7" s="32"/>
      <c r="J7" s="25">
        <f t="shared" si="0"/>
        <v>0</v>
      </c>
      <c r="K7" s="145"/>
      <c r="L7" s="33">
        <f t="shared" si="1"/>
        <v>0</v>
      </c>
      <c r="M7" s="32">
        <f t="shared" si="1"/>
        <v>0</v>
      </c>
      <c r="N7" s="32">
        <f t="shared" si="1"/>
        <v>0</v>
      </c>
      <c r="O7" s="32">
        <f t="shared" si="1"/>
        <v>0</v>
      </c>
      <c r="P7" s="267">
        <f t="shared" si="1"/>
        <v>0</v>
      </c>
      <c r="Q7" s="278">
        <f>SUM(L7:P7)</f>
        <v>0</v>
      </c>
      <c r="R7" s="178"/>
      <c r="S7" s="179"/>
      <c r="T7" s="49">
        <v>1</v>
      </c>
    </row>
    <row r="8" spans="1:22" x14ac:dyDescent="0.2">
      <c r="A8" s="17" t="s">
        <v>1035</v>
      </c>
      <c r="B8" s="45"/>
      <c r="C8" s="51" t="s">
        <v>172</v>
      </c>
      <c r="D8" s="18"/>
      <c r="E8" s="97"/>
      <c r="F8" s="98"/>
      <c r="G8" s="98"/>
      <c r="H8" s="98"/>
      <c r="I8" s="98"/>
      <c r="J8" s="99">
        <f t="shared" si="0"/>
        <v>0</v>
      </c>
      <c r="K8" s="116"/>
      <c r="L8" s="37">
        <f t="shared" si="1"/>
        <v>0</v>
      </c>
      <c r="M8" s="36">
        <f t="shared" si="1"/>
        <v>0</v>
      </c>
      <c r="N8" s="36">
        <f t="shared" si="1"/>
        <v>0</v>
      </c>
      <c r="O8" s="36">
        <f t="shared" si="1"/>
        <v>0</v>
      </c>
      <c r="P8" s="268">
        <f t="shared" si="1"/>
        <v>0</v>
      </c>
      <c r="Q8" s="279">
        <f>SUM(L8:P8)</f>
        <v>0</v>
      </c>
      <c r="R8" s="180"/>
      <c r="S8" s="181"/>
      <c r="T8" s="50"/>
    </row>
    <row r="9" spans="1:22" x14ac:dyDescent="0.2">
      <c r="A9" s="20" t="s">
        <v>658</v>
      </c>
      <c r="B9" s="46"/>
      <c r="C9" s="51"/>
      <c r="D9" s="21"/>
      <c r="E9" s="96"/>
      <c r="F9" s="100"/>
      <c r="G9" s="100"/>
      <c r="H9" s="100"/>
      <c r="I9" s="100"/>
      <c r="J9" s="101">
        <f t="shared" si="0"/>
        <v>0</v>
      </c>
      <c r="K9" s="115"/>
      <c r="L9" s="35">
        <f t="shared" ref="L9:Q9" si="2">SUM(L10:L11)</f>
        <v>20500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269">
        <f t="shared" si="2"/>
        <v>0</v>
      </c>
      <c r="Q9" s="280">
        <f t="shared" si="2"/>
        <v>20500</v>
      </c>
      <c r="R9" s="182" t="s">
        <v>755</v>
      </c>
      <c r="S9" s="183" t="s">
        <v>663</v>
      </c>
      <c r="T9" s="51"/>
      <c r="V9" s="608">
        <f t="shared" ref="V9:V40" si="3">SUM(L9:P9)-Q9</f>
        <v>0</v>
      </c>
    </row>
    <row r="10" spans="1:22" x14ac:dyDescent="0.2">
      <c r="A10" s="95">
        <v>2</v>
      </c>
      <c r="B10" s="108" t="str">
        <f>IF(A10&lt;&gt;0,INDEX(Coûts,'PA-Détails'!A10, 2),)</f>
        <v>Assistance technique nationale (consultants)</v>
      </c>
      <c r="C10" s="51"/>
      <c r="D10" s="94" t="str">
        <f>IF(A10&lt;&gt;0,INDEX(Coûts, 'PA-Détails'!A10, 5),)</f>
        <v>Pers / j</v>
      </c>
      <c r="E10" s="96">
        <f>3*20</f>
        <v>60</v>
      </c>
      <c r="F10" s="100"/>
      <c r="G10" s="100"/>
      <c r="H10" s="100"/>
      <c r="I10" s="100"/>
      <c r="J10" s="101">
        <f t="shared" si="0"/>
        <v>60</v>
      </c>
      <c r="K10" s="115">
        <f>IF(A10&lt;&gt;0,INDEX(Coûts, 'PA-Détails'!A10, 3),)</f>
        <v>300</v>
      </c>
      <c r="L10" s="37">
        <f t="shared" ref="L10:P11" si="4">ROUND(+$K10*E10,0)</f>
        <v>18000</v>
      </c>
      <c r="M10" s="36">
        <f t="shared" si="4"/>
        <v>0</v>
      </c>
      <c r="N10" s="36">
        <f t="shared" si="4"/>
        <v>0</v>
      </c>
      <c r="O10" s="36">
        <f t="shared" si="4"/>
        <v>0</v>
      </c>
      <c r="P10" s="268">
        <f t="shared" si="4"/>
        <v>0</v>
      </c>
      <c r="Q10" s="281">
        <f>SUM(L10:P10)</f>
        <v>18000</v>
      </c>
      <c r="R10" s="182"/>
      <c r="S10" s="183"/>
      <c r="T10" s="51"/>
      <c r="V10" s="608">
        <f t="shared" si="3"/>
        <v>0</v>
      </c>
    </row>
    <row r="11" spans="1:22" x14ac:dyDescent="0.2">
      <c r="A11" s="95">
        <v>5</v>
      </c>
      <c r="B11" s="108" t="str">
        <f>IF(A11&lt;&gt;0,INDEX(Coûts,'PA-Détails'!A11, 2),)</f>
        <v>Atelier de validation</v>
      </c>
      <c r="C11" s="51"/>
      <c r="D11" s="94" t="str">
        <f>IF(A11&lt;&gt;0,INDEX(Coûts, 'PA-Détails'!A11, 5),)</f>
        <v>Pers / j</v>
      </c>
      <c r="E11" s="96">
        <f>1*50</f>
        <v>50</v>
      </c>
      <c r="F11" s="100"/>
      <c r="G11" s="100"/>
      <c r="H11" s="100"/>
      <c r="I11" s="100"/>
      <c r="J11" s="101">
        <f t="shared" si="0"/>
        <v>50</v>
      </c>
      <c r="K11" s="115">
        <f>IF(A11&lt;&gt;0,INDEX(Coûts, 'PA-Détails'!A11, 3),)</f>
        <v>50</v>
      </c>
      <c r="L11" s="37">
        <f t="shared" si="4"/>
        <v>2500</v>
      </c>
      <c r="M11" s="36">
        <f t="shared" si="4"/>
        <v>0</v>
      </c>
      <c r="N11" s="36">
        <f t="shared" si="4"/>
        <v>0</v>
      </c>
      <c r="O11" s="36">
        <f t="shared" si="4"/>
        <v>0</v>
      </c>
      <c r="P11" s="268">
        <f t="shared" si="4"/>
        <v>0</v>
      </c>
      <c r="Q11" s="281">
        <f>SUM(L11:P11)</f>
        <v>2500</v>
      </c>
      <c r="R11" s="182"/>
      <c r="S11" s="183"/>
      <c r="T11" s="51"/>
      <c r="V11" s="608">
        <f t="shared" si="3"/>
        <v>0</v>
      </c>
    </row>
    <row r="12" spans="1:22" x14ac:dyDescent="0.2">
      <c r="A12" s="20" t="s">
        <v>659</v>
      </c>
      <c r="B12" s="46"/>
      <c r="C12" s="51"/>
      <c r="D12" s="21"/>
      <c r="E12" s="96"/>
      <c r="F12" s="100"/>
      <c r="G12" s="100"/>
      <c r="H12" s="100"/>
      <c r="I12" s="100"/>
      <c r="J12" s="101">
        <f t="shared" si="0"/>
        <v>0</v>
      </c>
      <c r="K12" s="115"/>
      <c r="L12" s="35">
        <f t="shared" ref="L12:Q12" si="5">SUM(L13:L14)</f>
        <v>6700</v>
      </c>
      <c r="M12" s="34">
        <f t="shared" si="5"/>
        <v>0</v>
      </c>
      <c r="N12" s="34">
        <f t="shared" si="5"/>
        <v>0</v>
      </c>
      <c r="O12" s="34">
        <f t="shared" si="5"/>
        <v>0</v>
      </c>
      <c r="P12" s="269">
        <f t="shared" si="5"/>
        <v>0</v>
      </c>
      <c r="Q12" s="280">
        <f t="shared" si="5"/>
        <v>6700</v>
      </c>
      <c r="R12" s="182" t="s">
        <v>755</v>
      </c>
      <c r="S12" s="183" t="s">
        <v>663</v>
      </c>
      <c r="T12" s="51"/>
      <c r="V12" s="608">
        <f t="shared" si="3"/>
        <v>0</v>
      </c>
    </row>
    <row r="13" spans="1:22" x14ac:dyDescent="0.2">
      <c r="A13" s="95">
        <v>11</v>
      </c>
      <c r="B13" s="108" t="str">
        <f>IF(A13&lt;&gt;0,INDEX(Coûts,'PA-Détails'!A13, 2),)</f>
        <v>Atelier technique</v>
      </c>
      <c r="C13" s="51"/>
      <c r="D13" s="94" t="str">
        <f>IF(A13&lt;&gt;0,INDEX(Coûts, 'PA-Détails'!A13, 5),)</f>
        <v>Pers / j</v>
      </c>
      <c r="E13" s="96">
        <f>3*20</f>
        <v>60</v>
      </c>
      <c r="F13" s="100"/>
      <c r="G13" s="100"/>
      <c r="H13" s="100"/>
      <c r="I13" s="100"/>
      <c r="J13" s="101">
        <f t="shared" si="0"/>
        <v>60</v>
      </c>
      <c r="K13" s="115">
        <f>IF(A13&lt;&gt;0,INDEX(Coûts, 'PA-Détails'!A13, 3),)</f>
        <v>70</v>
      </c>
      <c r="L13" s="37">
        <f t="shared" ref="L13:P14" si="6">ROUND(+$K13*E13,0)</f>
        <v>4200</v>
      </c>
      <c r="M13" s="36">
        <f t="shared" si="6"/>
        <v>0</v>
      </c>
      <c r="N13" s="36">
        <f t="shared" si="6"/>
        <v>0</v>
      </c>
      <c r="O13" s="36">
        <f t="shared" si="6"/>
        <v>0</v>
      </c>
      <c r="P13" s="268">
        <f t="shared" si="6"/>
        <v>0</v>
      </c>
      <c r="Q13" s="281">
        <f>SUM(L13:P13)</f>
        <v>4200</v>
      </c>
      <c r="R13" s="182"/>
      <c r="S13" s="183"/>
      <c r="T13" s="51"/>
      <c r="V13" s="608">
        <f t="shared" si="3"/>
        <v>0</v>
      </c>
    </row>
    <row r="14" spans="1:22" x14ac:dyDescent="0.2">
      <c r="A14" s="95">
        <v>5</v>
      </c>
      <c r="B14" s="108" t="str">
        <f>IF(A14&lt;&gt;0,INDEX(Coûts,'PA-Détails'!A14, 2),)</f>
        <v>Atelier de validation</v>
      </c>
      <c r="C14" s="51"/>
      <c r="D14" s="94" t="str">
        <f>IF(A14&lt;&gt;0,INDEX(Coûts, 'PA-Détails'!A14, 5),)</f>
        <v>Pers / j</v>
      </c>
      <c r="E14" s="96">
        <f>1*50</f>
        <v>50</v>
      </c>
      <c r="F14" s="100"/>
      <c r="G14" s="100"/>
      <c r="H14" s="100"/>
      <c r="I14" s="100"/>
      <c r="J14" s="101">
        <f t="shared" si="0"/>
        <v>50</v>
      </c>
      <c r="K14" s="115">
        <f>IF(A14&lt;&gt;0,INDEX(Coûts, 'PA-Détails'!A14, 3),)</f>
        <v>50</v>
      </c>
      <c r="L14" s="37">
        <f t="shared" si="6"/>
        <v>2500</v>
      </c>
      <c r="M14" s="36">
        <f t="shared" si="6"/>
        <v>0</v>
      </c>
      <c r="N14" s="36">
        <f t="shared" si="6"/>
        <v>0</v>
      </c>
      <c r="O14" s="36">
        <f t="shared" si="6"/>
        <v>0</v>
      </c>
      <c r="P14" s="268">
        <f t="shared" si="6"/>
        <v>0</v>
      </c>
      <c r="Q14" s="281">
        <f>SUM(L14:P14)</f>
        <v>2500</v>
      </c>
      <c r="R14" s="182"/>
      <c r="S14" s="183"/>
      <c r="T14" s="51"/>
      <c r="V14" s="608">
        <f t="shared" si="3"/>
        <v>0</v>
      </c>
    </row>
    <row r="15" spans="1:22" x14ac:dyDescent="0.2">
      <c r="A15" s="20" t="s">
        <v>660</v>
      </c>
      <c r="B15" s="109"/>
      <c r="C15" s="51"/>
      <c r="D15" s="21"/>
      <c r="E15" s="96"/>
      <c r="F15" s="100"/>
      <c r="G15" s="100"/>
      <c r="H15" s="100"/>
      <c r="I15" s="100"/>
      <c r="J15" s="101">
        <f t="shared" si="0"/>
        <v>0</v>
      </c>
      <c r="K15" s="115"/>
      <c r="L15" s="35">
        <f t="shared" ref="L15:Q15" si="7">SUM(L16:L18)</f>
        <v>38300</v>
      </c>
      <c r="M15" s="34">
        <f t="shared" si="7"/>
        <v>38300</v>
      </c>
      <c r="N15" s="34">
        <f t="shared" si="7"/>
        <v>17300</v>
      </c>
      <c r="O15" s="34">
        <f t="shared" si="7"/>
        <v>12500</v>
      </c>
      <c r="P15" s="269">
        <f t="shared" si="7"/>
        <v>12500</v>
      </c>
      <c r="Q15" s="280">
        <f t="shared" si="7"/>
        <v>118900</v>
      </c>
      <c r="R15" s="182" t="s">
        <v>755</v>
      </c>
      <c r="S15" s="183" t="s">
        <v>663</v>
      </c>
      <c r="T15" s="51"/>
      <c r="V15" s="608">
        <f t="shared" si="3"/>
        <v>0</v>
      </c>
    </row>
    <row r="16" spans="1:22" x14ac:dyDescent="0.2">
      <c r="A16" s="95">
        <v>81</v>
      </c>
      <c r="B16" s="108" t="str">
        <f>IF(A16&lt;&gt;0,INDEX(Coûts,'PA-Détails'!A16, 2),)</f>
        <v>Production et diffusion de spots / sketchs audios</v>
      </c>
      <c r="C16" s="51"/>
      <c r="D16" s="94" t="str">
        <f>IF(A16&lt;&gt;0,INDEX(Coûts, 'PA-Détails'!A16, 5),)</f>
        <v>Unité</v>
      </c>
      <c r="E16" s="96">
        <f>30*2</f>
        <v>60</v>
      </c>
      <c r="F16" s="100">
        <f>E16</f>
        <v>60</v>
      </c>
      <c r="G16" s="100"/>
      <c r="H16" s="100"/>
      <c r="I16" s="100"/>
      <c r="J16" s="101">
        <f t="shared" si="0"/>
        <v>120</v>
      </c>
      <c r="K16" s="115">
        <f>IF(A16&lt;&gt;0,INDEX(Coûts, 'PA-Détails'!A16, 3),)</f>
        <v>350</v>
      </c>
      <c r="L16" s="37">
        <f t="shared" ref="L16:P18" si="8">ROUND(+$K16*E16,0)</f>
        <v>21000</v>
      </c>
      <c r="M16" s="36">
        <f t="shared" si="8"/>
        <v>21000</v>
      </c>
      <c r="N16" s="36">
        <f t="shared" si="8"/>
        <v>0</v>
      </c>
      <c r="O16" s="36">
        <f t="shared" si="8"/>
        <v>0</v>
      </c>
      <c r="P16" s="268">
        <f t="shared" si="8"/>
        <v>0</v>
      </c>
      <c r="Q16" s="281">
        <f>SUM(L16:P16)</f>
        <v>42000</v>
      </c>
      <c r="R16" s="182"/>
      <c r="S16" s="183"/>
      <c r="T16" s="51"/>
      <c r="V16" s="608">
        <f t="shared" si="3"/>
        <v>0</v>
      </c>
    </row>
    <row r="17" spans="1:22" x14ac:dyDescent="0.2">
      <c r="A17" s="95">
        <v>82</v>
      </c>
      <c r="B17" s="108" t="str">
        <f>IF(A17&lt;&gt;0,INDEX(Coûts,'PA-Détails'!A17, 2),)</f>
        <v>Support publicitaire : panneaux</v>
      </c>
      <c r="C17" s="51"/>
      <c r="D17" s="94" t="str">
        <f>IF(A17&lt;&gt;0,INDEX(Coûts, 'PA-Détails'!A17, 5),)</f>
        <v>Unité/mois</v>
      </c>
      <c r="E17" s="96">
        <v>2</v>
      </c>
      <c r="F17" s="100">
        <v>2</v>
      </c>
      <c r="G17" s="100">
        <v>2</v>
      </c>
      <c r="H17" s="100"/>
      <c r="I17" s="100"/>
      <c r="J17" s="101">
        <f t="shared" si="0"/>
        <v>6</v>
      </c>
      <c r="K17" s="115">
        <f>IF(A17&lt;&gt;0,INDEX(Coûts, 'PA-Détails'!A17, 3),)</f>
        <v>2400</v>
      </c>
      <c r="L17" s="37">
        <f t="shared" si="8"/>
        <v>4800</v>
      </c>
      <c r="M17" s="36">
        <f t="shared" si="8"/>
        <v>4800</v>
      </c>
      <c r="N17" s="36">
        <f t="shared" si="8"/>
        <v>4800</v>
      </c>
      <c r="O17" s="36">
        <f t="shared" si="8"/>
        <v>0</v>
      </c>
      <c r="P17" s="268">
        <f t="shared" si="8"/>
        <v>0</v>
      </c>
      <c r="Q17" s="281">
        <f>SUM(L17:P17)</f>
        <v>14400</v>
      </c>
      <c r="R17" s="182"/>
      <c r="S17" s="183"/>
      <c r="T17" s="51"/>
      <c r="V17" s="608">
        <f t="shared" si="3"/>
        <v>0</v>
      </c>
    </row>
    <row r="18" spans="1:22" x14ac:dyDescent="0.2">
      <c r="A18" s="95">
        <v>83</v>
      </c>
      <c r="B18" s="108" t="str">
        <f>IF(A18&lt;&gt;0,INDEX(Coûts,'PA-Détails'!A18, 2),)</f>
        <v>Support publicitaire : affiches</v>
      </c>
      <c r="C18" s="51"/>
      <c r="D18" s="94" t="str">
        <f>IF(A18&lt;&gt;0,INDEX(Coûts, 'PA-Détails'!A18, 5),)</f>
        <v>Unité</v>
      </c>
      <c r="E18" s="96">
        <v>500</v>
      </c>
      <c r="F18" s="100">
        <f>E18</f>
        <v>500</v>
      </c>
      <c r="G18" s="100">
        <f>F18</f>
        <v>500</v>
      </c>
      <c r="H18" s="100">
        <f>G18</f>
        <v>500</v>
      </c>
      <c r="I18" s="100">
        <f>H18</f>
        <v>500</v>
      </c>
      <c r="J18" s="101">
        <f t="shared" si="0"/>
        <v>2500</v>
      </c>
      <c r="K18" s="115">
        <f>IF(A18&lt;&gt;0,INDEX(Coûts, 'PA-Détails'!A18, 3),)</f>
        <v>25</v>
      </c>
      <c r="L18" s="37">
        <f t="shared" si="8"/>
        <v>12500</v>
      </c>
      <c r="M18" s="36">
        <f t="shared" si="8"/>
        <v>12500</v>
      </c>
      <c r="N18" s="36">
        <f t="shared" si="8"/>
        <v>12500</v>
      </c>
      <c r="O18" s="36">
        <f t="shared" si="8"/>
        <v>12500</v>
      </c>
      <c r="P18" s="268">
        <f t="shared" si="8"/>
        <v>12500</v>
      </c>
      <c r="Q18" s="281">
        <f>SUM(L18:P18)</f>
        <v>62500</v>
      </c>
      <c r="R18" s="182"/>
      <c r="S18" s="183"/>
      <c r="T18" s="51"/>
      <c r="V18" s="608">
        <f t="shared" si="3"/>
        <v>0</v>
      </c>
    </row>
    <row r="19" spans="1:22" x14ac:dyDescent="0.2">
      <c r="A19" s="20" t="s">
        <v>661</v>
      </c>
      <c r="B19" s="109"/>
      <c r="C19" s="51"/>
      <c r="D19" s="21"/>
      <c r="E19" s="96"/>
      <c r="F19" s="100"/>
      <c r="G19" s="100"/>
      <c r="H19" s="100"/>
      <c r="I19" s="100"/>
      <c r="J19" s="101">
        <f t="shared" si="0"/>
        <v>0</v>
      </c>
      <c r="K19" s="115"/>
      <c r="L19" s="35">
        <f t="shared" ref="L19:Q19" si="9">SUM(L20:L21)</f>
        <v>300000</v>
      </c>
      <c r="M19" s="34">
        <f t="shared" si="9"/>
        <v>210000</v>
      </c>
      <c r="N19" s="34">
        <f t="shared" si="9"/>
        <v>105000</v>
      </c>
      <c r="O19" s="34">
        <f t="shared" si="9"/>
        <v>157500</v>
      </c>
      <c r="P19" s="269">
        <f t="shared" si="9"/>
        <v>52500</v>
      </c>
      <c r="Q19" s="280">
        <f t="shared" si="9"/>
        <v>825000</v>
      </c>
      <c r="R19" s="182" t="s">
        <v>755</v>
      </c>
      <c r="S19" s="183" t="s">
        <v>663</v>
      </c>
      <c r="T19" s="51"/>
      <c r="V19" s="608">
        <f t="shared" si="3"/>
        <v>0</v>
      </c>
    </row>
    <row r="20" spans="1:22" x14ac:dyDescent="0.2">
      <c r="A20" s="95">
        <v>12</v>
      </c>
      <c r="B20" s="108" t="str">
        <f>IF(A20&lt;&gt;0,INDEX(Coûts,'PA-Détails'!A20, 2),)</f>
        <v>Formation - Action et Formation de formateurs</v>
      </c>
      <c r="C20" s="51"/>
      <c r="D20" s="94" t="str">
        <f>IF(A20&lt;&gt;0,INDEX(Coûts, 'PA-Détails'!A20, 5),)</f>
        <v>Pers / j</v>
      </c>
      <c r="E20" s="96">
        <f>50*5</f>
        <v>250</v>
      </c>
      <c r="F20" s="100"/>
      <c r="G20" s="100"/>
      <c r="H20" s="100"/>
      <c r="I20" s="100"/>
      <c r="J20" s="101">
        <f t="shared" si="0"/>
        <v>250</v>
      </c>
      <c r="K20" s="115">
        <f>IF(A20&lt;&gt;0,INDEX(Coûts, 'PA-Détails'!A20, 3),)</f>
        <v>150</v>
      </c>
      <c r="L20" s="37">
        <f t="shared" ref="L20:P22" si="10">ROUND(+$K20*E20,0)</f>
        <v>37500</v>
      </c>
      <c r="M20" s="36">
        <f t="shared" si="10"/>
        <v>0</v>
      </c>
      <c r="N20" s="36">
        <f t="shared" si="10"/>
        <v>0</v>
      </c>
      <c r="O20" s="36">
        <f t="shared" si="10"/>
        <v>0</v>
      </c>
      <c r="P20" s="268">
        <f t="shared" si="10"/>
        <v>0</v>
      </c>
      <c r="Q20" s="281">
        <f>SUM(L20:P20)</f>
        <v>37500</v>
      </c>
      <c r="R20" s="182"/>
      <c r="S20" s="183"/>
      <c r="T20" s="51"/>
      <c r="V20" s="608">
        <f t="shared" si="3"/>
        <v>0</v>
      </c>
    </row>
    <row r="21" spans="1:22" x14ac:dyDescent="0.2">
      <c r="A21" s="95">
        <v>84</v>
      </c>
      <c r="B21" s="108" t="str">
        <f>IF(A21&lt;&gt;0,INDEX(Coûts,'PA-Détails'!A21, 2),)</f>
        <v>Campagne de sensibilisation</v>
      </c>
      <c r="C21" s="51"/>
      <c r="D21" s="94" t="s">
        <v>159</v>
      </c>
      <c r="E21" s="96">
        <f>30*5</f>
        <v>150</v>
      </c>
      <c r="F21" s="100">
        <f>30*4</f>
        <v>120</v>
      </c>
      <c r="G21" s="100">
        <f>30*2</f>
        <v>60</v>
      </c>
      <c r="H21" s="100">
        <f>30*3</f>
        <v>90</v>
      </c>
      <c r="I21" s="100">
        <f>30*1</f>
        <v>30</v>
      </c>
      <c r="J21" s="101">
        <f t="shared" si="0"/>
        <v>450</v>
      </c>
      <c r="K21" s="115">
        <f>IF(A21&lt;&gt;0,INDEX(Coûts, 'PA-Détails'!A21, 3),)</f>
        <v>1750</v>
      </c>
      <c r="L21" s="37">
        <f t="shared" si="10"/>
        <v>262500</v>
      </c>
      <c r="M21" s="36">
        <f t="shared" si="10"/>
        <v>210000</v>
      </c>
      <c r="N21" s="36">
        <f t="shared" si="10"/>
        <v>105000</v>
      </c>
      <c r="O21" s="36">
        <f t="shared" si="10"/>
        <v>157500</v>
      </c>
      <c r="P21" s="268">
        <f t="shared" si="10"/>
        <v>52500</v>
      </c>
      <c r="Q21" s="281">
        <f>SUM(L21:P21)</f>
        <v>787500</v>
      </c>
      <c r="R21" s="182"/>
      <c r="S21" s="183"/>
      <c r="T21" s="51"/>
      <c r="V21" s="608">
        <f t="shared" si="3"/>
        <v>0</v>
      </c>
    </row>
    <row r="22" spans="1:22" x14ac:dyDescent="0.2">
      <c r="A22" s="14" t="s">
        <v>188</v>
      </c>
      <c r="B22" s="110"/>
      <c r="C22" s="112"/>
      <c r="D22" s="15"/>
      <c r="E22" s="102"/>
      <c r="F22" s="103"/>
      <c r="G22" s="103"/>
      <c r="H22" s="103"/>
      <c r="I22" s="103"/>
      <c r="J22" s="104">
        <f t="shared" si="0"/>
        <v>0</v>
      </c>
      <c r="K22" s="145"/>
      <c r="L22" s="33">
        <f t="shared" si="10"/>
        <v>0</v>
      </c>
      <c r="M22" s="32">
        <f t="shared" si="10"/>
        <v>0</v>
      </c>
      <c r="N22" s="32">
        <f t="shared" si="10"/>
        <v>0</v>
      </c>
      <c r="O22" s="32">
        <f t="shared" si="10"/>
        <v>0</v>
      </c>
      <c r="P22" s="267">
        <f t="shared" si="10"/>
        <v>0</v>
      </c>
      <c r="Q22" s="278">
        <f>SUM(L22:P22)</f>
        <v>0</v>
      </c>
      <c r="R22" s="178"/>
      <c r="S22" s="179"/>
      <c r="T22" s="49">
        <v>1</v>
      </c>
      <c r="V22" s="608">
        <f t="shared" si="3"/>
        <v>0</v>
      </c>
    </row>
    <row r="23" spans="1:22" x14ac:dyDescent="0.2">
      <c r="A23" s="17" t="s">
        <v>1019</v>
      </c>
      <c r="B23" s="111"/>
      <c r="C23" s="51" t="s">
        <v>195</v>
      </c>
      <c r="D23" s="18"/>
      <c r="E23" s="97"/>
      <c r="F23" s="98"/>
      <c r="G23" s="98"/>
      <c r="H23" s="98"/>
      <c r="I23" s="98"/>
      <c r="J23" s="99">
        <f t="shared" si="0"/>
        <v>0</v>
      </c>
      <c r="K23" s="116"/>
      <c r="L23" s="35"/>
      <c r="M23" s="34"/>
      <c r="N23" s="34"/>
      <c r="O23" s="34"/>
      <c r="P23" s="269"/>
      <c r="Q23" s="279"/>
      <c r="R23" s="180"/>
      <c r="S23" s="181"/>
      <c r="T23" s="50"/>
      <c r="V23" s="608">
        <f t="shared" si="3"/>
        <v>0</v>
      </c>
    </row>
    <row r="24" spans="1:22" x14ac:dyDescent="0.2">
      <c r="A24" s="20" t="s">
        <v>654</v>
      </c>
      <c r="B24" s="109"/>
      <c r="C24" s="51" t="s">
        <v>655</v>
      </c>
      <c r="D24" s="21"/>
      <c r="E24" s="96"/>
      <c r="F24" s="100"/>
      <c r="G24" s="100"/>
      <c r="H24" s="100"/>
      <c r="I24" s="100"/>
      <c r="J24" s="101">
        <f t="shared" si="0"/>
        <v>0</v>
      </c>
      <c r="K24" s="115"/>
      <c r="L24" s="35">
        <f t="shared" ref="L24:P25" si="11">ROUND(+$K24*E24,0)</f>
        <v>0</v>
      </c>
      <c r="M24" s="34">
        <f t="shared" si="11"/>
        <v>0</v>
      </c>
      <c r="N24" s="34">
        <f t="shared" si="11"/>
        <v>0</v>
      </c>
      <c r="O24" s="34">
        <f t="shared" si="11"/>
        <v>0</v>
      </c>
      <c r="P24" s="269">
        <f t="shared" si="11"/>
        <v>0</v>
      </c>
      <c r="Q24" s="279">
        <f>SUM(L24:P24)</f>
        <v>0</v>
      </c>
      <c r="R24" s="182"/>
      <c r="S24" s="183"/>
      <c r="T24" s="51"/>
      <c r="V24" s="608">
        <f t="shared" si="3"/>
        <v>0</v>
      </c>
    </row>
    <row r="25" spans="1:22" x14ac:dyDescent="0.2">
      <c r="A25" s="17" t="s">
        <v>189</v>
      </c>
      <c r="B25" s="111"/>
      <c r="C25" s="51" t="s">
        <v>196</v>
      </c>
      <c r="D25" s="18"/>
      <c r="E25" s="97"/>
      <c r="F25" s="98"/>
      <c r="G25" s="98"/>
      <c r="H25" s="98"/>
      <c r="I25" s="98"/>
      <c r="J25" s="99">
        <f t="shared" si="0"/>
        <v>0</v>
      </c>
      <c r="K25" s="116"/>
      <c r="L25" s="35">
        <f t="shared" si="11"/>
        <v>0</v>
      </c>
      <c r="M25" s="34">
        <f t="shared" si="11"/>
        <v>0</v>
      </c>
      <c r="N25" s="34">
        <f t="shared" si="11"/>
        <v>0</v>
      </c>
      <c r="O25" s="34">
        <f t="shared" si="11"/>
        <v>0</v>
      </c>
      <c r="P25" s="269">
        <f t="shared" si="11"/>
        <v>0</v>
      </c>
      <c r="Q25" s="279">
        <f>SUM(L25:P25)</f>
        <v>0</v>
      </c>
      <c r="R25" s="180"/>
      <c r="S25" s="181"/>
      <c r="T25" s="50"/>
      <c r="V25" s="608">
        <f t="shared" si="3"/>
        <v>0</v>
      </c>
    </row>
    <row r="26" spans="1:22" x14ac:dyDescent="0.2">
      <c r="A26" s="20" t="s">
        <v>666</v>
      </c>
      <c r="B26" s="109"/>
      <c r="C26" s="51"/>
      <c r="D26" s="21"/>
      <c r="E26" s="96"/>
      <c r="F26" s="100"/>
      <c r="G26" s="100"/>
      <c r="H26" s="100"/>
      <c r="I26" s="100"/>
      <c r="J26" s="101">
        <f t="shared" si="0"/>
        <v>0</v>
      </c>
      <c r="K26" s="115"/>
      <c r="L26" s="35">
        <f t="shared" ref="L26:Q26" si="12">SUM(L27:L27)</f>
        <v>200000</v>
      </c>
      <c r="M26" s="34">
        <f t="shared" si="12"/>
        <v>0</v>
      </c>
      <c r="N26" s="34">
        <f t="shared" si="12"/>
        <v>0</v>
      </c>
      <c r="O26" s="34">
        <f t="shared" si="12"/>
        <v>0</v>
      </c>
      <c r="P26" s="269">
        <f t="shared" si="12"/>
        <v>0</v>
      </c>
      <c r="Q26" s="280">
        <f t="shared" si="12"/>
        <v>200000</v>
      </c>
      <c r="R26" s="182" t="s">
        <v>752</v>
      </c>
      <c r="S26" s="183" t="s">
        <v>278</v>
      </c>
      <c r="T26" s="51"/>
      <c r="V26" s="608">
        <f t="shared" si="3"/>
        <v>0</v>
      </c>
    </row>
    <row r="27" spans="1:22" x14ac:dyDescent="0.2">
      <c r="A27" s="95">
        <v>91</v>
      </c>
      <c r="B27" s="108" t="str">
        <f>IF(A27&lt;&gt;0,INDEX(Coûts,'PA-Détails'!A27, 2),)</f>
        <v>Fonctionnement d'une classe prépatoire (phase pilote)</v>
      </c>
      <c r="C27" s="51"/>
      <c r="D27" s="94" t="str">
        <f>IF(A27&lt;&gt;0,INDEX(Coûts, 'PA-Détails'!A27, 5),)</f>
        <v>Forfait</v>
      </c>
      <c r="E27" s="96">
        <v>100</v>
      </c>
      <c r="F27" s="100"/>
      <c r="G27" s="100"/>
      <c r="H27" s="100"/>
      <c r="I27" s="100"/>
      <c r="J27" s="101">
        <f t="shared" si="0"/>
        <v>100</v>
      </c>
      <c r="K27" s="115">
        <f>IF(A27&lt;&gt;0,INDEX(Coûts, 'PA-Détails'!A27, 3),)</f>
        <v>2000</v>
      </c>
      <c r="L27" s="37">
        <f>ROUND(+$K27*E27,0)</f>
        <v>200000</v>
      </c>
      <c r="M27" s="36">
        <f>ROUND(+$K27*F27,0)</f>
        <v>0</v>
      </c>
      <c r="N27" s="36">
        <f>ROUND(+$K27*G27,0)</f>
        <v>0</v>
      </c>
      <c r="O27" s="36">
        <f>ROUND(+$K27*H27,0)</f>
        <v>0</v>
      </c>
      <c r="P27" s="268">
        <f>ROUND(+$K27*I27,0)</f>
        <v>0</v>
      </c>
      <c r="Q27" s="281">
        <f>SUM(L27:P27)</f>
        <v>200000</v>
      </c>
      <c r="R27" s="182"/>
      <c r="T27" s="51"/>
      <c r="V27" s="608">
        <f t="shared" si="3"/>
        <v>0</v>
      </c>
    </row>
    <row r="28" spans="1:22" x14ac:dyDescent="0.2">
      <c r="A28" s="20" t="s">
        <v>190</v>
      </c>
      <c r="B28" s="109"/>
      <c r="C28" s="51"/>
      <c r="D28" s="21"/>
      <c r="E28" s="96"/>
      <c r="F28" s="100"/>
      <c r="G28" s="100"/>
      <c r="H28" s="100"/>
      <c r="I28" s="100"/>
      <c r="J28" s="101">
        <f t="shared" si="0"/>
        <v>0</v>
      </c>
      <c r="K28" s="115"/>
      <c r="L28" s="35">
        <f t="shared" ref="L28:Q28" si="13">SUM(L29:L31)</f>
        <v>20000</v>
      </c>
      <c r="M28" s="34">
        <f t="shared" si="13"/>
        <v>0</v>
      </c>
      <c r="N28" s="34">
        <f t="shared" si="13"/>
        <v>0</v>
      </c>
      <c r="O28" s="34">
        <f t="shared" si="13"/>
        <v>0</v>
      </c>
      <c r="P28" s="269">
        <f t="shared" si="13"/>
        <v>0</v>
      </c>
      <c r="Q28" s="280">
        <f t="shared" si="13"/>
        <v>20000</v>
      </c>
      <c r="R28" s="182" t="s">
        <v>752</v>
      </c>
      <c r="S28" s="183" t="s">
        <v>278</v>
      </c>
      <c r="T28" s="51"/>
      <c r="V28" s="608">
        <f t="shared" si="3"/>
        <v>0</v>
      </c>
    </row>
    <row r="29" spans="1:22" x14ac:dyDescent="0.2">
      <c r="A29" s="95">
        <v>1</v>
      </c>
      <c r="B29" s="108" t="str">
        <f>IF(A29&lt;&gt;0,INDEX(Coûts,'PA-Détails'!A29, 2),)</f>
        <v>Assistance technique internationale (consultants)</v>
      </c>
      <c r="C29" s="51"/>
      <c r="D29" s="94" t="str">
        <f>IF(A29&lt;&gt;0,INDEX(Coûts, 'PA-Détails'!A29, 5),)</f>
        <v>Pers / j</v>
      </c>
      <c r="E29" s="96">
        <v>10</v>
      </c>
      <c r="F29" s="100"/>
      <c r="G29" s="100"/>
      <c r="H29" s="100"/>
      <c r="I29" s="100"/>
      <c r="J29" s="101">
        <f t="shared" si="0"/>
        <v>10</v>
      </c>
      <c r="K29" s="115">
        <f>IF(A29&lt;&gt;0,INDEX(Coûts, 'PA-Détails'!A29, 3),)</f>
        <v>1150</v>
      </c>
      <c r="L29" s="37">
        <f t="shared" ref="L29:P32" si="14">ROUND(+$K29*E29,0)</f>
        <v>11500</v>
      </c>
      <c r="M29" s="36">
        <f t="shared" si="14"/>
        <v>0</v>
      </c>
      <c r="N29" s="36">
        <f t="shared" si="14"/>
        <v>0</v>
      </c>
      <c r="O29" s="36">
        <f t="shared" si="14"/>
        <v>0</v>
      </c>
      <c r="P29" s="268">
        <f t="shared" si="14"/>
        <v>0</v>
      </c>
      <c r="Q29" s="281">
        <f>SUM(L29:P29)</f>
        <v>11500</v>
      </c>
      <c r="R29" s="182"/>
      <c r="T29" s="51"/>
      <c r="V29" s="608">
        <f t="shared" si="3"/>
        <v>0</v>
      </c>
    </row>
    <row r="30" spans="1:22" x14ac:dyDescent="0.2">
      <c r="A30" s="95">
        <v>2</v>
      </c>
      <c r="B30" s="108" t="str">
        <f>IF(A30&lt;&gt;0,INDEX(Coûts,'PA-Détails'!A30, 2),)</f>
        <v>Assistance technique nationale (consultants)</v>
      </c>
      <c r="C30" s="51"/>
      <c r="D30" s="94" t="str">
        <f>IF(A30&lt;&gt;0,INDEX(Coûts, 'PA-Détails'!A30, 5),)</f>
        <v>Pers / j</v>
      </c>
      <c r="E30" s="96">
        <v>20</v>
      </c>
      <c r="F30" s="100"/>
      <c r="G30" s="100"/>
      <c r="H30" s="100"/>
      <c r="I30" s="100"/>
      <c r="J30" s="101">
        <f t="shared" si="0"/>
        <v>20</v>
      </c>
      <c r="K30" s="115">
        <f>IF(A30&lt;&gt;0,INDEX(Coûts, 'PA-Détails'!A30, 3),)</f>
        <v>300</v>
      </c>
      <c r="L30" s="37">
        <f t="shared" si="14"/>
        <v>6000</v>
      </c>
      <c r="M30" s="36">
        <f t="shared" si="14"/>
        <v>0</v>
      </c>
      <c r="N30" s="36">
        <f t="shared" si="14"/>
        <v>0</v>
      </c>
      <c r="O30" s="36">
        <f t="shared" si="14"/>
        <v>0</v>
      </c>
      <c r="P30" s="268">
        <f t="shared" si="14"/>
        <v>0</v>
      </c>
      <c r="Q30" s="281">
        <f>SUM(L30:P30)</f>
        <v>6000</v>
      </c>
      <c r="R30" s="182"/>
      <c r="S30" s="183"/>
      <c r="T30" s="51"/>
      <c r="V30" s="608">
        <f t="shared" si="3"/>
        <v>0</v>
      </c>
    </row>
    <row r="31" spans="1:22" x14ac:dyDescent="0.2">
      <c r="A31" s="95">
        <v>5</v>
      </c>
      <c r="B31" s="108" t="str">
        <f>IF(A31&lt;&gt;0,INDEX(Coûts,'PA-Détails'!A31, 2),)</f>
        <v>Atelier de validation</v>
      </c>
      <c r="C31" s="51"/>
      <c r="D31" s="94" t="str">
        <f>IF(A31&lt;&gt;0,INDEX(Coûts, 'PA-Détails'!A31, 5),)</f>
        <v>Pers / j</v>
      </c>
      <c r="E31" s="96">
        <v>50</v>
      </c>
      <c r="F31" s="100"/>
      <c r="G31" s="100"/>
      <c r="H31" s="100"/>
      <c r="I31" s="100"/>
      <c r="J31" s="101">
        <f t="shared" si="0"/>
        <v>50</v>
      </c>
      <c r="K31" s="115">
        <f>IF(A31&lt;&gt;0,INDEX(Coûts, 'PA-Détails'!A31, 3),)</f>
        <v>50</v>
      </c>
      <c r="L31" s="37">
        <f t="shared" si="14"/>
        <v>2500</v>
      </c>
      <c r="M31" s="36">
        <f t="shared" si="14"/>
        <v>0</v>
      </c>
      <c r="N31" s="36">
        <f t="shared" si="14"/>
        <v>0</v>
      </c>
      <c r="O31" s="36">
        <f t="shared" si="14"/>
        <v>0</v>
      </c>
      <c r="P31" s="268">
        <f t="shared" si="14"/>
        <v>0</v>
      </c>
      <c r="Q31" s="281">
        <f>SUM(L31:P31)</f>
        <v>2500</v>
      </c>
      <c r="R31" s="182"/>
      <c r="S31" s="183"/>
      <c r="T31" s="51"/>
      <c r="V31" s="608">
        <f t="shared" si="3"/>
        <v>0</v>
      </c>
    </row>
    <row r="32" spans="1:22" x14ac:dyDescent="0.2">
      <c r="A32" s="17" t="s">
        <v>656</v>
      </c>
      <c r="B32" s="111"/>
      <c r="C32" s="51" t="s">
        <v>1014</v>
      </c>
      <c r="D32" s="18"/>
      <c r="E32" s="97"/>
      <c r="F32" s="98"/>
      <c r="G32" s="98"/>
      <c r="H32" s="98"/>
      <c r="I32" s="98"/>
      <c r="J32" s="99">
        <f t="shared" si="0"/>
        <v>0</v>
      </c>
      <c r="K32" s="116"/>
      <c r="L32" s="35">
        <f t="shared" si="14"/>
        <v>0</v>
      </c>
      <c r="M32" s="34">
        <f t="shared" si="14"/>
        <v>0</v>
      </c>
      <c r="N32" s="34">
        <f t="shared" si="14"/>
        <v>0</v>
      </c>
      <c r="O32" s="34">
        <f t="shared" si="14"/>
        <v>0</v>
      </c>
      <c r="P32" s="269">
        <f t="shared" si="14"/>
        <v>0</v>
      </c>
      <c r="Q32" s="279">
        <f>SUM(L32:P32)</f>
        <v>0</v>
      </c>
      <c r="S32" s="181"/>
      <c r="T32" s="50"/>
      <c r="V32" s="608">
        <f t="shared" si="3"/>
        <v>0</v>
      </c>
    </row>
    <row r="33" spans="1:22" x14ac:dyDescent="0.2">
      <c r="A33" s="20" t="s">
        <v>657</v>
      </c>
      <c r="B33" s="109"/>
      <c r="C33" s="51"/>
      <c r="D33" s="21"/>
      <c r="E33" s="96"/>
      <c r="F33" s="100"/>
      <c r="G33" s="100"/>
      <c r="H33" s="100"/>
      <c r="I33" s="100"/>
      <c r="J33" s="101">
        <f t="shared" si="0"/>
        <v>0</v>
      </c>
      <c r="K33" s="115"/>
      <c r="L33" s="35">
        <f t="shared" ref="L33:Q33" si="15">SUM(L34:L36)</f>
        <v>38600</v>
      </c>
      <c r="M33" s="34">
        <f t="shared" si="15"/>
        <v>55000</v>
      </c>
      <c r="N33" s="34">
        <f t="shared" si="15"/>
        <v>110000</v>
      </c>
      <c r="O33" s="34">
        <f t="shared" si="15"/>
        <v>110000</v>
      </c>
      <c r="P33" s="269">
        <f t="shared" si="15"/>
        <v>110000</v>
      </c>
      <c r="Q33" s="280">
        <f t="shared" si="15"/>
        <v>423600</v>
      </c>
      <c r="R33" s="182" t="s">
        <v>771</v>
      </c>
      <c r="S33" s="183" t="s">
        <v>278</v>
      </c>
      <c r="T33" s="51"/>
      <c r="V33" s="608">
        <f t="shared" si="3"/>
        <v>0</v>
      </c>
    </row>
    <row r="34" spans="1:22" x14ac:dyDescent="0.2">
      <c r="A34" s="95">
        <v>2</v>
      </c>
      <c r="B34" s="108" t="str">
        <f>IF(A34&lt;&gt;0,INDEX(Coûts,'PA-Détails'!A34, 2),)</f>
        <v>Assistance technique nationale (consultants)</v>
      </c>
      <c r="C34" s="51"/>
      <c r="D34" s="94" t="str">
        <f>IF(A34&lt;&gt;0,INDEX(Coûts, 'PA-Détails'!A34, 5),)</f>
        <v>Pers / j</v>
      </c>
      <c r="E34" s="96">
        <v>30</v>
      </c>
      <c r="F34" s="100"/>
      <c r="G34" s="100"/>
      <c r="H34" s="100"/>
      <c r="I34" s="100"/>
      <c r="J34" s="101">
        <f t="shared" si="0"/>
        <v>30</v>
      </c>
      <c r="K34" s="115">
        <f>IF(A34&lt;&gt;0,INDEX(Coûts, 'PA-Détails'!A34, 3),)</f>
        <v>300</v>
      </c>
      <c r="L34" s="37">
        <f t="shared" ref="L34:P36" si="16">ROUND(+$K34*E34,0)</f>
        <v>9000</v>
      </c>
      <c r="M34" s="36">
        <f t="shared" si="16"/>
        <v>0</v>
      </c>
      <c r="N34" s="36">
        <f t="shared" si="16"/>
        <v>0</v>
      </c>
      <c r="O34" s="36">
        <f t="shared" si="16"/>
        <v>0</v>
      </c>
      <c r="P34" s="268">
        <f t="shared" si="16"/>
        <v>0</v>
      </c>
      <c r="Q34" s="281">
        <f>SUM(L34:P34)</f>
        <v>9000</v>
      </c>
      <c r="R34" s="182"/>
      <c r="T34" s="51"/>
      <c r="V34" s="608">
        <f t="shared" si="3"/>
        <v>0</v>
      </c>
    </row>
    <row r="35" spans="1:22" x14ac:dyDescent="0.2">
      <c r="A35" s="95">
        <v>11</v>
      </c>
      <c r="B35" s="108" t="str">
        <f>IF(A35&lt;&gt;0,INDEX(Coûts,'PA-Détails'!A35, 2),)</f>
        <v>Atelier technique</v>
      </c>
      <c r="C35" s="51"/>
      <c r="D35" s="94" t="str">
        <f>IF(A35&lt;&gt;0,INDEX(Coûts, 'PA-Détails'!A35, 5),)</f>
        <v>Pers / j</v>
      </c>
      <c r="E35" s="96">
        <v>30</v>
      </c>
      <c r="F35" s="100"/>
      <c r="G35" s="100"/>
      <c r="H35" s="100"/>
      <c r="I35" s="100"/>
      <c r="J35" s="101">
        <f t="shared" si="0"/>
        <v>30</v>
      </c>
      <c r="K35" s="115">
        <f>IF(A35&lt;&gt;0,INDEX(Coûts, 'PA-Détails'!A35, 3),)</f>
        <v>70</v>
      </c>
      <c r="L35" s="37">
        <f t="shared" si="16"/>
        <v>2100</v>
      </c>
      <c r="M35" s="36">
        <f t="shared" si="16"/>
        <v>0</v>
      </c>
      <c r="N35" s="36">
        <f t="shared" si="16"/>
        <v>0</v>
      </c>
      <c r="O35" s="36">
        <f t="shared" si="16"/>
        <v>0</v>
      </c>
      <c r="P35" s="268">
        <f t="shared" si="16"/>
        <v>0</v>
      </c>
      <c r="Q35" s="281">
        <f>SUM(L35:P35)</f>
        <v>2100</v>
      </c>
      <c r="R35" s="182"/>
      <c r="S35" s="183"/>
      <c r="T35" s="51"/>
      <c r="V35" s="608">
        <f t="shared" si="3"/>
        <v>0</v>
      </c>
    </row>
    <row r="36" spans="1:22" x14ac:dyDescent="0.2">
      <c r="A36" s="95">
        <v>8</v>
      </c>
      <c r="B36" s="108" t="str">
        <f>IF(A36&lt;&gt;0,INDEX(Coûts,'PA-Détails'!A36, 2),)</f>
        <v>Formation</v>
      </c>
      <c r="C36" s="51"/>
      <c r="D36" s="94" t="str">
        <f>IF(A36&lt;&gt;0,INDEX(Coûts, 'PA-Détails'!A36, 5),)</f>
        <v>Pers / j</v>
      </c>
      <c r="E36" s="96">
        <f>50*5</f>
        <v>250</v>
      </c>
      <c r="F36" s="100">
        <f>(F39/20)*10</f>
        <v>500</v>
      </c>
      <c r="G36" s="100">
        <f>(G38/20)*10</f>
        <v>1000</v>
      </c>
      <c r="H36" s="100">
        <f>(H38/20)*10</f>
        <v>1000</v>
      </c>
      <c r="I36" s="100">
        <f>(I38/20)*10</f>
        <v>1000</v>
      </c>
      <c r="J36" s="101">
        <f t="shared" si="0"/>
        <v>3750</v>
      </c>
      <c r="K36" s="115">
        <f>IF(A36&lt;&gt;0,INDEX(Coûts, 'PA-Détails'!A36, 3),)</f>
        <v>110</v>
      </c>
      <c r="L36" s="37">
        <f t="shared" si="16"/>
        <v>27500</v>
      </c>
      <c r="M36" s="36">
        <f t="shared" si="16"/>
        <v>55000</v>
      </c>
      <c r="N36" s="36">
        <f t="shared" si="16"/>
        <v>110000</v>
      </c>
      <c r="O36" s="36">
        <f t="shared" si="16"/>
        <v>110000</v>
      </c>
      <c r="P36" s="268">
        <f t="shared" si="16"/>
        <v>110000</v>
      </c>
      <c r="Q36" s="281">
        <f>SUM(L36:P36)</f>
        <v>412500</v>
      </c>
      <c r="R36" s="182"/>
      <c r="S36" s="183"/>
      <c r="T36" s="51"/>
      <c r="V36" s="608">
        <f t="shared" si="3"/>
        <v>0</v>
      </c>
    </row>
    <row r="37" spans="1:22" x14ac:dyDescent="0.2">
      <c r="A37" s="20" t="s">
        <v>667</v>
      </c>
      <c r="B37" s="109"/>
      <c r="C37" s="51"/>
      <c r="D37" s="21"/>
      <c r="E37" s="96"/>
      <c r="F37" s="100"/>
      <c r="G37" s="100"/>
      <c r="H37" s="100"/>
      <c r="I37" s="100"/>
      <c r="J37" s="101">
        <f t="shared" si="0"/>
        <v>0</v>
      </c>
      <c r="K37" s="115"/>
      <c r="L37" s="35">
        <f t="shared" ref="L37:Q37" si="17">SUM(L38:L39)</f>
        <v>0</v>
      </c>
      <c r="M37" s="34">
        <f t="shared" si="17"/>
        <v>1000000</v>
      </c>
      <c r="N37" s="34">
        <f t="shared" si="17"/>
        <v>13000000</v>
      </c>
      <c r="O37" s="34">
        <f t="shared" si="17"/>
        <v>15000000</v>
      </c>
      <c r="P37" s="269">
        <f t="shared" si="17"/>
        <v>17000000</v>
      </c>
      <c r="Q37" s="280">
        <f t="shared" si="17"/>
        <v>46000000</v>
      </c>
      <c r="R37" s="182" t="s">
        <v>771</v>
      </c>
      <c r="S37" s="183"/>
      <c r="T37" s="51"/>
      <c r="V37" s="608">
        <f t="shared" si="3"/>
        <v>0</v>
      </c>
    </row>
    <row r="38" spans="1:22" x14ac:dyDescent="0.2">
      <c r="A38" s="95">
        <v>90</v>
      </c>
      <c r="B38" s="108" t="str">
        <f>IF(A38&lt;&gt;0,INDEX(Coûts,'PA-Détails'!A38, 2),)</f>
        <v>Réhabilitation/Construction de salles de classe préparatoire</v>
      </c>
      <c r="C38" s="51"/>
      <c r="D38" s="94" t="str">
        <f>IF(A38&lt;&gt;0,INDEX(Coûts, 'PA-Détails'!A38, 5),)</f>
        <v>Forfait</v>
      </c>
      <c r="E38" s="96"/>
      <c r="F38" s="100">
        <f>F39-1000</f>
        <v>0</v>
      </c>
      <c r="G38" s="100">
        <f>3000-F39</f>
        <v>2000</v>
      </c>
      <c r="H38" s="100">
        <f>H39-G39</f>
        <v>2000</v>
      </c>
      <c r="I38" s="100">
        <f>I39-H39</f>
        <v>2000</v>
      </c>
      <c r="J38" s="101">
        <f t="shared" ref="J38:J69" si="18">SUM(E38:I38)</f>
        <v>6000</v>
      </c>
      <c r="K38" s="115">
        <f>IF(A38&lt;&gt;0,INDEX(Coûts, 'PA-Détails'!A38, 3),)</f>
        <v>5000</v>
      </c>
      <c r="L38" s="37">
        <f t="shared" ref="L38:P41" si="19">ROUND(+$K38*E38,0)</f>
        <v>0</v>
      </c>
      <c r="M38" s="36">
        <f t="shared" si="19"/>
        <v>0</v>
      </c>
      <c r="N38" s="36">
        <f t="shared" si="19"/>
        <v>10000000</v>
      </c>
      <c r="O38" s="36">
        <f t="shared" si="19"/>
        <v>10000000</v>
      </c>
      <c r="P38" s="268">
        <f t="shared" si="19"/>
        <v>10000000</v>
      </c>
      <c r="Q38" s="281">
        <f>SUM(L38:P38)</f>
        <v>30000000</v>
      </c>
      <c r="R38" s="182"/>
      <c r="S38" s="183"/>
      <c r="T38" s="51"/>
      <c r="V38" s="608">
        <f t="shared" si="3"/>
        <v>0</v>
      </c>
    </row>
    <row r="39" spans="1:22" x14ac:dyDescent="0.2">
      <c r="A39" s="95">
        <v>92</v>
      </c>
      <c r="B39" s="108" t="str">
        <f>IF(A39&lt;&gt;0,INDEX(Coûts,'PA-Détails'!A39, 2),)</f>
        <v>Fonctionnement d'une classe prépatoire (phase de généralisation)</v>
      </c>
      <c r="C39" s="51"/>
      <c r="D39" s="94" t="str">
        <f>IF(A39&lt;&gt;0,INDEX(Coûts, 'PA-Détails'!A39, 5),)</f>
        <v>Forfait</v>
      </c>
      <c r="E39" s="96"/>
      <c r="F39" s="100">
        <v>1000</v>
      </c>
      <c r="G39" s="100">
        <v>3000</v>
      </c>
      <c r="H39" s="100">
        <v>5000</v>
      </c>
      <c r="I39" s="100">
        <v>7000</v>
      </c>
      <c r="J39" s="101">
        <f t="shared" si="18"/>
        <v>16000</v>
      </c>
      <c r="K39" s="115">
        <f>IF(A39&lt;&gt;0,INDEX(Coûts, 'PA-Détails'!A39, 3),)</f>
        <v>1000</v>
      </c>
      <c r="L39" s="37">
        <f t="shared" si="19"/>
        <v>0</v>
      </c>
      <c r="M39" s="36">
        <f t="shared" si="19"/>
        <v>1000000</v>
      </c>
      <c r="N39" s="36">
        <f t="shared" si="19"/>
        <v>3000000</v>
      </c>
      <c r="O39" s="36">
        <f t="shared" si="19"/>
        <v>5000000</v>
      </c>
      <c r="P39" s="268">
        <f t="shared" si="19"/>
        <v>7000000</v>
      </c>
      <c r="Q39" s="281">
        <f>SUM(L39:P39)</f>
        <v>16000000</v>
      </c>
      <c r="R39" s="182"/>
      <c r="S39" s="183"/>
      <c r="T39" s="51"/>
      <c r="V39" s="608">
        <f t="shared" si="3"/>
        <v>0</v>
      </c>
    </row>
    <row r="40" spans="1:22" x14ac:dyDescent="0.2">
      <c r="A40" s="14" t="s">
        <v>174</v>
      </c>
      <c r="B40" s="44"/>
      <c r="C40" s="112"/>
      <c r="D40" s="15"/>
      <c r="E40" s="102"/>
      <c r="F40" s="103"/>
      <c r="G40" s="103"/>
      <c r="H40" s="103"/>
      <c r="I40" s="103"/>
      <c r="J40" s="104">
        <f t="shared" si="18"/>
        <v>0</v>
      </c>
      <c r="K40" s="145"/>
      <c r="L40" s="33">
        <f t="shared" si="19"/>
        <v>0</v>
      </c>
      <c r="M40" s="32">
        <f t="shared" si="19"/>
        <v>0</v>
      </c>
      <c r="N40" s="32">
        <f t="shared" si="19"/>
        <v>0</v>
      </c>
      <c r="O40" s="32">
        <f t="shared" si="19"/>
        <v>0</v>
      </c>
      <c r="P40" s="267">
        <f t="shared" si="19"/>
        <v>0</v>
      </c>
      <c r="Q40" s="278">
        <f>SUM(L40:P40)</f>
        <v>0</v>
      </c>
      <c r="R40" s="178"/>
      <c r="S40" s="179"/>
      <c r="T40" s="49">
        <v>1</v>
      </c>
      <c r="V40" s="608">
        <f t="shared" si="3"/>
        <v>0</v>
      </c>
    </row>
    <row r="41" spans="1:22" x14ac:dyDescent="0.2">
      <c r="A41" s="17" t="s">
        <v>1020</v>
      </c>
      <c r="B41" s="45"/>
      <c r="C41" s="51" t="s">
        <v>191</v>
      </c>
      <c r="D41" s="18"/>
      <c r="E41" s="97"/>
      <c r="F41" s="98"/>
      <c r="G41" s="98"/>
      <c r="H41" s="98"/>
      <c r="I41" s="98"/>
      <c r="J41" s="99">
        <f t="shared" si="18"/>
        <v>0</v>
      </c>
      <c r="K41" s="116"/>
      <c r="L41" s="35">
        <f t="shared" si="19"/>
        <v>0</v>
      </c>
      <c r="M41" s="34">
        <f t="shared" si="19"/>
        <v>0</v>
      </c>
      <c r="N41" s="34">
        <f t="shared" si="19"/>
        <v>0</v>
      </c>
      <c r="O41" s="34">
        <f t="shared" si="19"/>
        <v>0</v>
      </c>
      <c r="P41" s="269">
        <f t="shared" si="19"/>
        <v>0</v>
      </c>
      <c r="Q41" s="279">
        <f>SUM(L41:P41)</f>
        <v>0</v>
      </c>
      <c r="R41" s="180"/>
      <c r="S41" s="181"/>
      <c r="T41" s="50"/>
      <c r="V41" s="608">
        <f t="shared" ref="V41:V72" si="20">SUM(L41:P41)-Q41</f>
        <v>0</v>
      </c>
    </row>
    <row r="42" spans="1:22" x14ac:dyDescent="0.2">
      <c r="A42" s="20" t="s">
        <v>197</v>
      </c>
      <c r="B42" s="46"/>
      <c r="C42" s="51"/>
      <c r="D42" s="21"/>
      <c r="E42" s="96"/>
      <c r="F42" s="100"/>
      <c r="G42" s="100"/>
      <c r="H42" s="100"/>
      <c r="I42" s="100"/>
      <c r="J42" s="101">
        <f t="shared" si="18"/>
        <v>0</v>
      </c>
      <c r="K42" s="115"/>
      <c r="L42" s="35">
        <f t="shared" ref="L42:Q42" si="21">SUM(L43:L44)</f>
        <v>18900</v>
      </c>
      <c r="M42" s="34">
        <f t="shared" si="21"/>
        <v>37800</v>
      </c>
      <c r="N42" s="34">
        <f t="shared" si="21"/>
        <v>56700</v>
      </c>
      <c r="O42" s="34">
        <f t="shared" si="21"/>
        <v>56700</v>
      </c>
      <c r="P42" s="269">
        <f t="shared" si="21"/>
        <v>56700</v>
      </c>
      <c r="Q42" s="280">
        <f t="shared" si="21"/>
        <v>226800</v>
      </c>
      <c r="R42" s="182" t="s">
        <v>772</v>
      </c>
      <c r="S42" s="183" t="s">
        <v>663</v>
      </c>
      <c r="T42" s="51"/>
      <c r="V42" s="608">
        <f t="shared" si="20"/>
        <v>0</v>
      </c>
    </row>
    <row r="43" spans="1:22" x14ac:dyDescent="0.2">
      <c r="A43" s="95">
        <v>221</v>
      </c>
      <c r="B43" s="108" t="str">
        <f>IF(A43&lt;&gt;0,INDEX(Coûts,'PA-Détails'!A43, 2),)</f>
        <v>Mission en province des services centraux</v>
      </c>
      <c r="C43" s="51"/>
      <c r="D43" s="94" t="str">
        <f>IF(A43&lt;&gt;0,INDEX(Coûts, 'PA-Détails'!A43, 5),)</f>
        <v>P/j</v>
      </c>
      <c r="E43" s="96">
        <f>30*2</f>
        <v>60</v>
      </c>
      <c r="F43" s="100">
        <f>30*2*2</f>
        <v>120</v>
      </c>
      <c r="G43" s="100">
        <f>30*2*3</f>
        <v>180</v>
      </c>
      <c r="H43" s="100">
        <f>30*2*3</f>
        <v>180</v>
      </c>
      <c r="I43" s="100">
        <f>30*2*3</f>
        <v>180</v>
      </c>
      <c r="J43" s="101">
        <f t="shared" si="18"/>
        <v>720</v>
      </c>
      <c r="K43" s="115">
        <f>IF(A43&lt;&gt;0,INDEX(Coûts, 'PA-Détails'!A43, 3),)</f>
        <v>240</v>
      </c>
      <c r="L43" s="37">
        <f t="shared" ref="L43:P44" si="22">ROUND(+$K43*E43,0)</f>
        <v>14400</v>
      </c>
      <c r="M43" s="36">
        <f t="shared" si="22"/>
        <v>28800</v>
      </c>
      <c r="N43" s="36">
        <f t="shared" si="22"/>
        <v>43200</v>
      </c>
      <c r="O43" s="36">
        <f t="shared" si="22"/>
        <v>43200</v>
      </c>
      <c r="P43" s="268">
        <f t="shared" si="22"/>
        <v>43200</v>
      </c>
      <c r="Q43" s="281">
        <f>SUM(L43:P43)</f>
        <v>172800</v>
      </c>
      <c r="R43" s="182"/>
      <c r="S43" s="183"/>
      <c r="T43" s="51"/>
      <c r="V43" s="608">
        <f t="shared" si="20"/>
        <v>0</v>
      </c>
    </row>
    <row r="44" spans="1:22" x14ac:dyDescent="0.2">
      <c r="A44" s="95">
        <v>222</v>
      </c>
      <c r="B44" s="108" t="str">
        <f>IF(A44&lt;&gt;0,INDEX(Coûts,'PA-Détails'!A44, 2),)</f>
        <v>Mission en province des services déconcentrés</v>
      </c>
      <c r="C44" s="51"/>
      <c r="D44" s="94" t="str">
        <f>IF(A44&lt;&gt;0,INDEX(Coûts, 'PA-Détails'!A44, 5),)</f>
        <v>P/j</v>
      </c>
      <c r="E44" s="96">
        <f>30*3</f>
        <v>90</v>
      </c>
      <c r="F44" s="100">
        <f>30*3*2</f>
        <v>180</v>
      </c>
      <c r="G44" s="100">
        <f>30*3*3</f>
        <v>270</v>
      </c>
      <c r="H44" s="100">
        <f>30*3*3</f>
        <v>270</v>
      </c>
      <c r="I44" s="100">
        <f>30*3*3</f>
        <v>270</v>
      </c>
      <c r="J44" s="101">
        <f t="shared" si="18"/>
        <v>1080</v>
      </c>
      <c r="K44" s="115">
        <f>IF(A44&lt;&gt;0,INDEX(Coûts, 'PA-Détails'!A44, 3),)</f>
        <v>50</v>
      </c>
      <c r="L44" s="37">
        <f t="shared" si="22"/>
        <v>4500</v>
      </c>
      <c r="M44" s="36">
        <f t="shared" si="22"/>
        <v>9000</v>
      </c>
      <c r="N44" s="36">
        <f t="shared" si="22"/>
        <v>13500</v>
      </c>
      <c r="O44" s="36">
        <f t="shared" si="22"/>
        <v>13500</v>
      </c>
      <c r="P44" s="268">
        <f t="shared" si="22"/>
        <v>13500</v>
      </c>
      <c r="Q44" s="281">
        <f>SUM(L44:P44)</f>
        <v>54000</v>
      </c>
      <c r="R44" s="182"/>
      <c r="S44" s="183"/>
      <c r="T44" s="51"/>
      <c r="V44" s="608">
        <f t="shared" si="20"/>
        <v>0</v>
      </c>
    </row>
    <row r="45" spans="1:22" x14ac:dyDescent="0.2">
      <c r="A45" s="20" t="s">
        <v>989</v>
      </c>
      <c r="B45" s="46"/>
      <c r="C45" s="51"/>
      <c r="D45" s="21"/>
      <c r="E45" s="96"/>
      <c r="F45" s="100"/>
      <c r="G45" s="100"/>
      <c r="H45" s="100"/>
      <c r="I45" s="100"/>
      <c r="J45" s="101">
        <f t="shared" si="18"/>
        <v>0</v>
      </c>
      <c r="K45" s="115"/>
      <c r="L45" s="35">
        <f t="shared" ref="L45:Q45" si="23">SUM(L46:L47)</f>
        <v>9223200</v>
      </c>
      <c r="M45" s="34">
        <f t="shared" si="23"/>
        <v>10108800</v>
      </c>
      <c r="N45" s="34">
        <f t="shared" si="23"/>
        <v>13554000</v>
      </c>
      <c r="O45" s="34">
        <f t="shared" si="23"/>
        <v>16048800</v>
      </c>
      <c r="P45" s="269">
        <f t="shared" si="23"/>
        <v>18630000</v>
      </c>
      <c r="Q45" s="280">
        <f t="shared" si="23"/>
        <v>67564800</v>
      </c>
      <c r="R45" s="182" t="s">
        <v>772</v>
      </c>
      <c r="S45" s="183" t="s">
        <v>663</v>
      </c>
      <c r="T45" s="51"/>
      <c r="V45" s="608">
        <f t="shared" si="20"/>
        <v>0</v>
      </c>
    </row>
    <row r="46" spans="1:22" x14ac:dyDescent="0.2">
      <c r="A46" s="95">
        <v>201</v>
      </c>
      <c r="B46" s="108" t="str">
        <f>IF(A46&lt;&gt;0,INDEX(Coûts,'PA-Détails'!A46, 2),)</f>
        <v>Paiement d'un enseignant préscolaire</v>
      </c>
      <c r="C46" s="51"/>
      <c r="D46" s="94" t="str">
        <f>IF(A46&lt;&gt;0,INDEX(Coûts, 'PA-Détails'!A46, 5),)</f>
        <v>Salaire/an/p</v>
      </c>
      <c r="E46" s="96">
        <f>ROUND([5]HZZ!I$180/40,-1)</f>
        <v>8440</v>
      </c>
      <c r="F46" s="100">
        <f>ROUND([5]HZZ!J$180/40,-1)</f>
        <v>8840</v>
      </c>
      <c r="G46" s="100">
        <f>ROUND([5]HZZ!K$180/40,-1)</f>
        <v>10010</v>
      </c>
      <c r="H46" s="100">
        <f>ROUND([5]HZZ!L$180/40,-1)</f>
        <v>11220</v>
      </c>
      <c r="I46" s="100">
        <f>ROUND([5]HZZ!M$180/40,-1)</f>
        <v>12460</v>
      </c>
      <c r="J46" s="101">
        <f t="shared" si="18"/>
        <v>50970</v>
      </c>
      <c r="K46" s="115">
        <f>IF(A46&lt;&gt;0,INDEX(Coûts, 'PA-Détails'!A46, 3),)</f>
        <v>1080</v>
      </c>
      <c r="L46" s="37">
        <f t="shared" ref="L46:P48" si="24">ROUND(+$K46*E46,0)</f>
        <v>9115200</v>
      </c>
      <c r="M46" s="36">
        <f t="shared" si="24"/>
        <v>9547200</v>
      </c>
      <c r="N46" s="36">
        <f t="shared" si="24"/>
        <v>10810800</v>
      </c>
      <c r="O46" s="36">
        <f t="shared" si="24"/>
        <v>12117600</v>
      </c>
      <c r="P46" s="268">
        <f t="shared" si="24"/>
        <v>13456800</v>
      </c>
      <c r="Q46" s="281">
        <f>SUM(L46:P46)</f>
        <v>55047600</v>
      </c>
      <c r="R46" s="182"/>
      <c r="S46" s="183"/>
      <c r="T46" s="51"/>
      <c r="V46" s="608">
        <f t="shared" si="20"/>
        <v>0</v>
      </c>
    </row>
    <row r="47" spans="1:22" x14ac:dyDescent="0.2">
      <c r="A47" s="95">
        <v>201</v>
      </c>
      <c r="B47" s="108" t="str">
        <f>IF(A47&lt;&gt;0,INDEX(Coûts,'PA-Détails'!A47, 2),)</f>
        <v>Paiement d'un enseignant préscolaire</v>
      </c>
      <c r="C47" s="51"/>
      <c r="D47" s="94" t="str">
        <f>IF(A47&lt;&gt;0,INDEX(Coûts, 'PA-Détails'!A47, 5),)</f>
        <v>Salaire/an/p</v>
      </c>
      <c r="E47" s="96">
        <f>ROUND([5]HZZ!I$182/50,-1)</f>
        <v>100</v>
      </c>
      <c r="F47" s="100">
        <f>ROUND([5]HZZ!J$182/50,-1)</f>
        <v>520</v>
      </c>
      <c r="G47" s="100">
        <f>ROUND([5]HZZ!K$182/50,-1)</f>
        <v>2540</v>
      </c>
      <c r="H47" s="100">
        <f>ROUND([5]HZZ!L$182/50,-1)</f>
        <v>3640</v>
      </c>
      <c r="I47" s="100">
        <f>ROUND([5]HZZ!M$182/50,-1)</f>
        <v>4790</v>
      </c>
      <c r="J47" s="101">
        <f t="shared" si="18"/>
        <v>11590</v>
      </c>
      <c r="K47" s="115">
        <f>IF(A47&lt;&gt;0,INDEX(Coûts, 'PA-Détails'!A47, 3),)</f>
        <v>1080</v>
      </c>
      <c r="L47" s="37">
        <f t="shared" si="24"/>
        <v>108000</v>
      </c>
      <c r="M47" s="36">
        <f t="shared" si="24"/>
        <v>561600</v>
      </c>
      <c r="N47" s="36">
        <f t="shared" si="24"/>
        <v>2743200</v>
      </c>
      <c r="O47" s="36">
        <f t="shared" si="24"/>
        <v>3931200</v>
      </c>
      <c r="P47" s="268">
        <f t="shared" si="24"/>
        <v>5173200</v>
      </c>
      <c r="Q47" s="281">
        <f>SUM(L47:P47)</f>
        <v>12517200</v>
      </c>
      <c r="R47" s="182"/>
      <c r="S47" s="183"/>
      <c r="T47" s="51"/>
      <c r="V47" s="608">
        <f t="shared" si="20"/>
        <v>0</v>
      </c>
    </row>
    <row r="48" spans="1:22" x14ac:dyDescent="0.2">
      <c r="A48" s="17" t="s">
        <v>12</v>
      </c>
      <c r="B48" s="45"/>
      <c r="C48" s="51" t="s">
        <v>181</v>
      </c>
      <c r="D48" s="18"/>
      <c r="E48" s="97"/>
      <c r="F48" s="98"/>
      <c r="G48" s="98"/>
      <c r="H48" s="98"/>
      <c r="I48" s="98"/>
      <c r="J48" s="99">
        <f t="shared" si="18"/>
        <v>0</v>
      </c>
      <c r="K48" s="116"/>
      <c r="L48" s="35">
        <f t="shared" si="24"/>
        <v>0</v>
      </c>
      <c r="M48" s="34">
        <f t="shared" si="24"/>
        <v>0</v>
      </c>
      <c r="N48" s="34">
        <f t="shared" si="24"/>
        <v>0</v>
      </c>
      <c r="O48" s="34">
        <f t="shared" si="24"/>
        <v>0</v>
      </c>
      <c r="P48" s="269">
        <f t="shared" si="24"/>
        <v>0</v>
      </c>
      <c r="Q48" s="279">
        <f>SUM(L48:P48)</f>
        <v>0</v>
      </c>
      <c r="R48" s="180"/>
      <c r="S48" s="181"/>
      <c r="T48" s="50"/>
      <c r="V48" s="608">
        <f t="shared" si="20"/>
        <v>0</v>
      </c>
    </row>
    <row r="49" spans="1:22" x14ac:dyDescent="0.2">
      <c r="A49" s="20" t="s">
        <v>192</v>
      </c>
      <c r="B49" s="46"/>
      <c r="C49" s="51"/>
      <c r="D49" s="21"/>
      <c r="E49" s="96"/>
      <c r="F49" s="100"/>
      <c r="G49" s="100"/>
      <c r="H49" s="100"/>
      <c r="I49" s="100"/>
      <c r="J49" s="101">
        <f t="shared" si="18"/>
        <v>0</v>
      </c>
      <c r="K49" s="115"/>
      <c r="L49" s="35">
        <f t="shared" ref="L49:Q49" si="25">SUM(L50:L50)</f>
        <v>0</v>
      </c>
      <c r="M49" s="34">
        <f t="shared" si="25"/>
        <v>1600000</v>
      </c>
      <c r="N49" s="34">
        <f t="shared" si="25"/>
        <v>3200000</v>
      </c>
      <c r="O49" s="34">
        <f t="shared" si="25"/>
        <v>3200000</v>
      </c>
      <c r="P49" s="269">
        <f t="shared" si="25"/>
        <v>3200000</v>
      </c>
      <c r="Q49" s="280">
        <f t="shared" si="25"/>
        <v>11200000</v>
      </c>
      <c r="R49" s="182" t="s">
        <v>753</v>
      </c>
      <c r="S49" s="183" t="s">
        <v>663</v>
      </c>
      <c r="T49" s="51"/>
      <c r="V49" s="608">
        <f t="shared" si="20"/>
        <v>0</v>
      </c>
    </row>
    <row r="50" spans="1:22" x14ac:dyDescent="0.2">
      <c r="A50" s="95">
        <v>20</v>
      </c>
      <c r="B50" s="108" t="str">
        <f>IF(A50&lt;&gt;0,INDEX(Coûts,'PA-Détails'!A50, 2),)</f>
        <v>Construction et équipement de salle de classe au préprimaire</v>
      </c>
      <c r="C50" s="51"/>
      <c r="D50" s="94" t="str">
        <f>IF(A50&lt;&gt;0,INDEX(Coûts, 'PA-Détails'!A50, 5),)</f>
        <v>Unité</v>
      </c>
      <c r="E50" s="96"/>
      <c r="F50" s="100">
        <v>100</v>
      </c>
      <c r="G50" s="100">
        <f>10%*(G39-F39)</f>
        <v>200</v>
      </c>
      <c r="H50" s="100">
        <f>10%*(H39-G39)</f>
        <v>200</v>
      </c>
      <c r="I50" s="100">
        <f>10%*(I39-H39)</f>
        <v>200</v>
      </c>
      <c r="J50" s="101">
        <f t="shared" si="18"/>
        <v>700</v>
      </c>
      <c r="K50" s="115">
        <f>IF(A50&lt;&gt;0,INDEX(Coûts, 'PA-Détails'!A50, 3),)</f>
        <v>16000</v>
      </c>
      <c r="L50" s="37">
        <f t="shared" ref="L50:P52" si="26">ROUND(+$K50*E50,0)</f>
        <v>0</v>
      </c>
      <c r="M50" s="36">
        <f t="shared" si="26"/>
        <v>1600000</v>
      </c>
      <c r="N50" s="36">
        <f t="shared" si="26"/>
        <v>3200000</v>
      </c>
      <c r="O50" s="36">
        <f t="shared" si="26"/>
        <v>3200000</v>
      </c>
      <c r="P50" s="268">
        <f t="shared" si="26"/>
        <v>3200000</v>
      </c>
      <c r="Q50" s="281">
        <f>SUM(L50:P50)</f>
        <v>11200000</v>
      </c>
      <c r="R50" s="182"/>
      <c r="S50" s="183"/>
      <c r="T50" s="51"/>
      <c r="V50" s="608">
        <f t="shared" si="20"/>
        <v>0</v>
      </c>
    </row>
    <row r="51" spans="1:22" x14ac:dyDescent="0.2">
      <c r="A51" s="14" t="s">
        <v>175</v>
      </c>
      <c r="B51" s="44"/>
      <c r="C51" s="112"/>
      <c r="D51" s="15"/>
      <c r="E51" s="102"/>
      <c r="F51" s="103"/>
      <c r="G51" s="103"/>
      <c r="H51" s="103"/>
      <c r="I51" s="103"/>
      <c r="J51" s="104">
        <f t="shared" si="18"/>
        <v>0</v>
      </c>
      <c r="K51" s="145"/>
      <c r="L51" s="33">
        <f t="shared" si="26"/>
        <v>0</v>
      </c>
      <c r="M51" s="32">
        <f t="shared" si="26"/>
        <v>0</v>
      </c>
      <c r="N51" s="32">
        <f t="shared" si="26"/>
        <v>0</v>
      </c>
      <c r="O51" s="32">
        <f t="shared" si="26"/>
        <v>0</v>
      </c>
      <c r="P51" s="267">
        <f t="shared" si="26"/>
        <v>0</v>
      </c>
      <c r="Q51" s="278">
        <f>SUM(L51:P51)</f>
        <v>0</v>
      </c>
      <c r="R51" s="178"/>
      <c r="S51" s="179"/>
      <c r="T51" s="112">
        <v>2</v>
      </c>
      <c r="V51" s="608">
        <f t="shared" si="20"/>
        <v>0</v>
      </c>
    </row>
    <row r="52" spans="1:22" x14ac:dyDescent="0.2">
      <c r="A52" s="122" t="s">
        <v>13</v>
      </c>
      <c r="B52" s="45"/>
      <c r="C52" s="51" t="s">
        <v>180</v>
      </c>
      <c r="D52" s="18"/>
      <c r="E52" s="97"/>
      <c r="F52" s="98"/>
      <c r="G52" s="98"/>
      <c r="H52" s="98"/>
      <c r="I52" s="98"/>
      <c r="J52" s="99">
        <f t="shared" si="18"/>
        <v>0</v>
      </c>
      <c r="K52" s="116"/>
      <c r="L52" s="35">
        <f t="shared" si="26"/>
        <v>0</v>
      </c>
      <c r="M52" s="34">
        <f t="shared" si="26"/>
        <v>0</v>
      </c>
      <c r="N52" s="34">
        <f t="shared" si="26"/>
        <v>0</v>
      </c>
      <c r="O52" s="34">
        <f t="shared" si="26"/>
        <v>0</v>
      </c>
      <c r="P52" s="269">
        <f t="shared" si="26"/>
        <v>0</v>
      </c>
      <c r="Q52" s="279">
        <f>SUM(L52:P52)</f>
        <v>0</v>
      </c>
      <c r="R52" s="180"/>
      <c r="S52" s="181"/>
      <c r="T52" s="51"/>
      <c r="V52" s="608">
        <f t="shared" si="20"/>
        <v>0</v>
      </c>
    </row>
    <row r="53" spans="1:22" x14ac:dyDescent="0.2">
      <c r="A53" s="123" t="s">
        <v>360</v>
      </c>
      <c r="B53" s="46"/>
      <c r="C53" s="51"/>
      <c r="D53" s="21"/>
      <c r="E53" s="96"/>
      <c r="F53" s="100"/>
      <c r="G53" s="100"/>
      <c r="H53" s="100"/>
      <c r="I53" s="100"/>
      <c r="J53" s="101">
        <f t="shared" si="18"/>
        <v>0</v>
      </c>
      <c r="K53" s="115"/>
      <c r="L53" s="35">
        <f t="shared" ref="L53:Q53" si="27">SUM(L54:L54)</f>
        <v>324000</v>
      </c>
      <c r="M53" s="34">
        <f t="shared" si="27"/>
        <v>324000</v>
      </c>
      <c r="N53" s="34">
        <f t="shared" si="27"/>
        <v>324000</v>
      </c>
      <c r="O53" s="34">
        <f t="shared" si="27"/>
        <v>324000</v>
      </c>
      <c r="P53" s="269">
        <f t="shared" si="27"/>
        <v>324000</v>
      </c>
      <c r="Q53" s="280">
        <f t="shared" si="27"/>
        <v>1620000</v>
      </c>
      <c r="R53" s="182" t="s">
        <v>758</v>
      </c>
      <c r="S53" s="183" t="s">
        <v>278</v>
      </c>
      <c r="T53" s="51"/>
      <c r="V53" s="608">
        <f t="shared" si="20"/>
        <v>0</v>
      </c>
    </row>
    <row r="54" spans="1:22" x14ac:dyDescent="0.2">
      <c r="A54" s="95">
        <v>133</v>
      </c>
      <c r="B54" s="108" t="str">
        <f>IF(A54&lt;&gt;0,INDEX(Coûts,'PA-Détails'!A54, 2),)</f>
        <v xml:space="preserve">Kit en matériels d'éveil pour une classe </v>
      </c>
      <c r="C54" s="51"/>
      <c r="D54" s="94" t="str">
        <f>IF(A54&lt;&gt;0,INDEX(Coûts, 'PA-Détails'!A54, 5),)</f>
        <v>Forfait</v>
      </c>
      <c r="E54" s="96">
        <f>H!E12</f>
        <v>1080</v>
      </c>
      <c r="F54" s="100">
        <f>H!F12</f>
        <v>1080</v>
      </c>
      <c r="G54" s="100">
        <f>H!G12</f>
        <v>1080</v>
      </c>
      <c r="H54" s="100">
        <f>H!H12</f>
        <v>1080</v>
      </c>
      <c r="I54" s="100">
        <f>H!I12</f>
        <v>1080</v>
      </c>
      <c r="J54" s="101">
        <f t="shared" si="18"/>
        <v>5400</v>
      </c>
      <c r="K54" s="115">
        <f>IF(A54&lt;&gt;0,INDEX(Coûts, 'PA-Détails'!A54, 3),)</f>
        <v>300</v>
      </c>
      <c r="L54" s="37">
        <f t="shared" ref="L54:P55" si="28">ROUND(+$K54*E54,0)</f>
        <v>324000</v>
      </c>
      <c r="M54" s="36">
        <f t="shared" si="28"/>
        <v>324000</v>
      </c>
      <c r="N54" s="36">
        <f t="shared" si="28"/>
        <v>324000</v>
      </c>
      <c r="O54" s="36">
        <f t="shared" si="28"/>
        <v>324000</v>
      </c>
      <c r="P54" s="268">
        <f t="shared" si="28"/>
        <v>324000</v>
      </c>
      <c r="Q54" s="281">
        <f>SUM(L54:P54)</f>
        <v>1620000</v>
      </c>
      <c r="R54" s="182"/>
      <c r="S54" s="183"/>
      <c r="T54" s="51"/>
      <c r="V54" s="608">
        <f t="shared" si="20"/>
        <v>0</v>
      </c>
    </row>
    <row r="55" spans="1:22" x14ac:dyDescent="0.2">
      <c r="A55" s="17" t="s">
        <v>14</v>
      </c>
      <c r="B55" s="45"/>
      <c r="C55" s="51" t="s">
        <v>179</v>
      </c>
      <c r="D55" s="18"/>
      <c r="E55" s="97"/>
      <c r="F55" s="98"/>
      <c r="G55" s="98"/>
      <c r="H55" s="98"/>
      <c r="I55" s="98"/>
      <c r="J55" s="99">
        <f t="shared" si="18"/>
        <v>0</v>
      </c>
      <c r="K55" s="116"/>
      <c r="L55" s="35">
        <f t="shared" si="28"/>
        <v>0</v>
      </c>
      <c r="M55" s="34">
        <f t="shared" si="28"/>
        <v>0</v>
      </c>
      <c r="N55" s="34">
        <f t="shared" si="28"/>
        <v>0</v>
      </c>
      <c r="O55" s="34">
        <f t="shared" si="28"/>
        <v>0</v>
      </c>
      <c r="P55" s="269">
        <f t="shared" si="28"/>
        <v>0</v>
      </c>
      <c r="Q55" s="279">
        <f>SUM(L55:P55)</f>
        <v>0</v>
      </c>
      <c r="R55" s="180"/>
      <c r="S55" s="181"/>
      <c r="T55" s="51"/>
      <c r="V55" s="608">
        <f t="shared" si="20"/>
        <v>0</v>
      </c>
    </row>
    <row r="56" spans="1:22" x14ac:dyDescent="0.2">
      <c r="A56" s="20" t="s">
        <v>1036</v>
      </c>
      <c r="B56" s="46"/>
      <c r="C56" s="51"/>
      <c r="D56" s="21"/>
      <c r="E56" s="96"/>
      <c r="F56" s="100"/>
      <c r="G56" s="100"/>
      <c r="H56" s="100"/>
      <c r="I56" s="100"/>
      <c r="J56" s="101">
        <f t="shared" si="18"/>
        <v>0</v>
      </c>
      <c r="K56" s="115"/>
      <c r="L56" s="35">
        <f t="shared" ref="L56:Q56" si="29">SUM(L57:L59)</f>
        <v>39750</v>
      </c>
      <c r="M56" s="34">
        <f t="shared" si="29"/>
        <v>0</v>
      </c>
      <c r="N56" s="34">
        <f t="shared" si="29"/>
        <v>0</v>
      </c>
      <c r="O56" s="34">
        <f t="shared" si="29"/>
        <v>0</v>
      </c>
      <c r="P56" s="269">
        <f t="shared" si="29"/>
        <v>0</v>
      </c>
      <c r="Q56" s="280">
        <f t="shared" si="29"/>
        <v>39750</v>
      </c>
      <c r="R56" s="182" t="s">
        <v>758</v>
      </c>
      <c r="S56" s="183" t="s">
        <v>278</v>
      </c>
      <c r="T56" s="51"/>
      <c r="V56" s="608">
        <f t="shared" si="20"/>
        <v>0</v>
      </c>
    </row>
    <row r="57" spans="1:22" x14ac:dyDescent="0.2">
      <c r="A57" s="95">
        <v>1</v>
      </c>
      <c r="B57" s="108" t="str">
        <f>IF(A57&lt;&gt;0,INDEX(Coûts,'PA-Détails'!A57, 2),)</f>
        <v>Assistance technique internationale (consultants)</v>
      </c>
      <c r="C57" s="51"/>
      <c r="D57" s="94" t="str">
        <f>IF(A57&lt;&gt;0,INDEX(Coûts, 'PA-Détails'!A57, 5),)</f>
        <v>Pers / j</v>
      </c>
      <c r="E57" s="96">
        <v>15</v>
      </c>
      <c r="F57" s="100"/>
      <c r="G57" s="100"/>
      <c r="H57" s="100"/>
      <c r="I57" s="100"/>
      <c r="J57" s="101">
        <f t="shared" si="18"/>
        <v>15</v>
      </c>
      <c r="K57" s="115">
        <f>IF(A57&lt;&gt;0,INDEX(Coûts, 'PA-Détails'!A57, 3),)</f>
        <v>1150</v>
      </c>
      <c r="L57" s="37">
        <f t="shared" ref="L57:P59" si="30">ROUND(+$K57*E57,0)</f>
        <v>17250</v>
      </c>
      <c r="M57" s="36">
        <f t="shared" si="30"/>
        <v>0</v>
      </c>
      <c r="N57" s="36">
        <f t="shared" si="30"/>
        <v>0</v>
      </c>
      <c r="O57" s="36">
        <f t="shared" si="30"/>
        <v>0</v>
      </c>
      <c r="P57" s="268">
        <f t="shared" si="30"/>
        <v>0</v>
      </c>
      <c r="Q57" s="281">
        <f>SUM(L57:P57)</f>
        <v>17250</v>
      </c>
      <c r="R57" s="182"/>
      <c r="S57" s="183"/>
      <c r="T57" s="51"/>
      <c r="V57" s="608">
        <f t="shared" si="20"/>
        <v>0</v>
      </c>
    </row>
    <row r="58" spans="1:22" x14ac:dyDescent="0.2">
      <c r="A58" s="95">
        <v>11</v>
      </c>
      <c r="B58" s="108" t="str">
        <f>IF(A58&lt;&gt;0,INDEX(Coûts,'PA-Détails'!A58, 2),)</f>
        <v>Atelier technique</v>
      </c>
      <c r="C58" s="51"/>
      <c r="D58" s="94" t="str">
        <f>IF(A58&lt;&gt;0,INDEX(Coûts, 'PA-Détails'!A58, 5),)</f>
        <v>Pers / j</v>
      </c>
      <c r="E58" s="96">
        <f>50*5</f>
        <v>250</v>
      </c>
      <c r="F58" s="100"/>
      <c r="G58" s="100"/>
      <c r="H58" s="100"/>
      <c r="I58" s="100"/>
      <c r="J58" s="101">
        <f t="shared" si="18"/>
        <v>250</v>
      </c>
      <c r="K58" s="115">
        <f>IF(A58&lt;&gt;0,INDEX(Coûts, 'PA-Détails'!A58, 3),)</f>
        <v>70</v>
      </c>
      <c r="L58" s="37">
        <f t="shared" si="30"/>
        <v>17500</v>
      </c>
      <c r="M58" s="36">
        <f t="shared" si="30"/>
        <v>0</v>
      </c>
      <c r="N58" s="36">
        <f t="shared" si="30"/>
        <v>0</v>
      </c>
      <c r="O58" s="36">
        <f t="shared" si="30"/>
        <v>0</v>
      </c>
      <c r="P58" s="268">
        <f t="shared" si="30"/>
        <v>0</v>
      </c>
      <c r="Q58" s="281">
        <f>SUM(L58:P58)</f>
        <v>17500</v>
      </c>
      <c r="R58" s="182"/>
      <c r="S58" s="183"/>
      <c r="T58" s="51"/>
      <c r="V58" s="608">
        <f t="shared" si="20"/>
        <v>0</v>
      </c>
    </row>
    <row r="59" spans="1:22" x14ac:dyDescent="0.2">
      <c r="A59" s="95">
        <v>5</v>
      </c>
      <c r="B59" s="108" t="str">
        <f>IF(A59&lt;&gt;0,INDEX(Coûts,'PA-Détails'!A59, 2),)</f>
        <v>Atelier de validation</v>
      </c>
      <c r="C59" s="51"/>
      <c r="D59" s="94" t="str">
        <f>IF(A59&lt;&gt;0,INDEX(Coûts, 'PA-Détails'!A59, 5),)</f>
        <v>Pers / j</v>
      </c>
      <c r="E59" s="96">
        <v>100</v>
      </c>
      <c r="F59" s="100"/>
      <c r="G59" s="100"/>
      <c r="H59" s="100"/>
      <c r="I59" s="100"/>
      <c r="J59" s="101">
        <f t="shared" si="18"/>
        <v>100</v>
      </c>
      <c r="K59" s="115">
        <f>IF(A59&lt;&gt;0,INDEX(Coûts, 'PA-Détails'!A59, 3),)</f>
        <v>50</v>
      </c>
      <c r="L59" s="37">
        <f t="shared" si="30"/>
        <v>5000</v>
      </c>
      <c r="M59" s="36">
        <f t="shared" si="30"/>
        <v>0</v>
      </c>
      <c r="N59" s="36">
        <f t="shared" si="30"/>
        <v>0</v>
      </c>
      <c r="O59" s="36">
        <f t="shared" si="30"/>
        <v>0</v>
      </c>
      <c r="P59" s="268">
        <f t="shared" si="30"/>
        <v>0</v>
      </c>
      <c r="Q59" s="281">
        <f>SUM(L59:P59)</f>
        <v>5000</v>
      </c>
      <c r="R59" s="182"/>
      <c r="S59" s="183"/>
      <c r="T59" s="51"/>
      <c r="V59" s="608">
        <f t="shared" si="20"/>
        <v>0</v>
      </c>
    </row>
    <row r="60" spans="1:22" x14ac:dyDescent="0.2">
      <c r="A60" s="20" t="s">
        <v>361</v>
      </c>
      <c r="B60" s="46"/>
      <c r="C60" s="51"/>
      <c r="D60" s="21"/>
      <c r="E60" s="96"/>
      <c r="F60" s="100"/>
      <c r="G60" s="100"/>
      <c r="H60" s="100"/>
      <c r="I60" s="100"/>
      <c r="J60" s="101">
        <f t="shared" si="18"/>
        <v>0</v>
      </c>
      <c r="K60" s="115"/>
      <c r="L60" s="35">
        <f t="shared" ref="L60:Q60" si="31">SUM(L61:L61)</f>
        <v>0</v>
      </c>
      <c r="M60" s="34">
        <f t="shared" si="31"/>
        <v>20000</v>
      </c>
      <c r="N60" s="34">
        <f t="shared" si="31"/>
        <v>0</v>
      </c>
      <c r="O60" s="34">
        <f t="shared" si="31"/>
        <v>0</v>
      </c>
      <c r="P60" s="269">
        <f t="shared" si="31"/>
        <v>0</v>
      </c>
      <c r="Q60" s="280">
        <f t="shared" si="31"/>
        <v>20000</v>
      </c>
      <c r="R60" s="182" t="s">
        <v>758</v>
      </c>
      <c r="S60" s="183" t="s">
        <v>278</v>
      </c>
      <c r="T60" s="51"/>
      <c r="V60" s="608">
        <f t="shared" si="20"/>
        <v>0</v>
      </c>
    </row>
    <row r="61" spans="1:22" x14ac:dyDescent="0.2">
      <c r="A61" s="95">
        <v>6</v>
      </c>
      <c r="B61" s="108" t="str">
        <f>IF(A61&lt;&gt;0,INDEX(Coûts,'PA-Détails'!A61, 2),)</f>
        <v>Édition Rapports</v>
      </c>
      <c r="C61" s="51"/>
      <c r="D61" s="94" t="str">
        <f>IF(A61&lt;&gt;0,INDEX(Coûts, 'PA-Détails'!A61, 5),)</f>
        <v>Forfait</v>
      </c>
      <c r="E61" s="96"/>
      <c r="F61" s="100">
        <v>2000</v>
      </c>
      <c r="G61" s="100"/>
      <c r="H61" s="100"/>
      <c r="I61" s="100"/>
      <c r="J61" s="101">
        <f t="shared" si="18"/>
        <v>2000</v>
      </c>
      <c r="K61" s="115">
        <f>IF(A61&lt;&gt;0,INDEX(Coûts, 'PA-Détails'!A61, 3),)</f>
        <v>10</v>
      </c>
      <c r="L61" s="37">
        <f t="shared" ref="L61:P63" si="32">ROUND(+$K61*E61,0)</f>
        <v>0</v>
      </c>
      <c r="M61" s="36">
        <f t="shared" si="32"/>
        <v>20000</v>
      </c>
      <c r="N61" s="36">
        <f t="shared" si="32"/>
        <v>0</v>
      </c>
      <c r="O61" s="36">
        <f t="shared" si="32"/>
        <v>0</v>
      </c>
      <c r="P61" s="268">
        <f t="shared" si="32"/>
        <v>0</v>
      </c>
      <c r="Q61" s="281">
        <f>SUM(L61:P61)</f>
        <v>20000</v>
      </c>
      <c r="R61" s="182"/>
      <c r="S61" s="183"/>
      <c r="T61" s="51"/>
      <c r="V61" s="608">
        <f t="shared" si="20"/>
        <v>0</v>
      </c>
    </row>
    <row r="62" spans="1:22" x14ac:dyDescent="0.2">
      <c r="A62" s="14" t="s">
        <v>176</v>
      </c>
      <c r="B62" s="44"/>
      <c r="C62" s="112"/>
      <c r="D62" s="15"/>
      <c r="E62" s="102"/>
      <c r="F62" s="103"/>
      <c r="G62" s="103"/>
      <c r="H62" s="103"/>
      <c r="I62" s="103"/>
      <c r="J62" s="104">
        <f t="shared" si="18"/>
        <v>0</v>
      </c>
      <c r="K62" s="145"/>
      <c r="L62" s="33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267">
        <f t="shared" si="32"/>
        <v>0</v>
      </c>
      <c r="Q62" s="278">
        <f>SUM(L62:P62)</f>
        <v>0</v>
      </c>
      <c r="R62" s="178"/>
      <c r="S62" s="179"/>
      <c r="T62" s="112">
        <v>2</v>
      </c>
      <c r="V62" s="608">
        <f t="shared" si="20"/>
        <v>0</v>
      </c>
    </row>
    <row r="63" spans="1:22" x14ac:dyDescent="0.2">
      <c r="A63" s="17" t="s">
        <v>15</v>
      </c>
      <c r="B63" s="45"/>
      <c r="C63" s="51" t="s">
        <v>193</v>
      </c>
      <c r="D63" s="18"/>
      <c r="E63" s="97"/>
      <c r="F63" s="98"/>
      <c r="G63" s="98"/>
      <c r="H63" s="98"/>
      <c r="I63" s="98"/>
      <c r="J63" s="99">
        <f t="shared" si="18"/>
        <v>0</v>
      </c>
      <c r="K63" s="116"/>
      <c r="L63" s="35">
        <f t="shared" si="32"/>
        <v>0</v>
      </c>
      <c r="M63" s="34">
        <f t="shared" si="32"/>
        <v>0</v>
      </c>
      <c r="N63" s="34">
        <f t="shared" si="32"/>
        <v>0</v>
      </c>
      <c r="O63" s="34">
        <f t="shared" si="32"/>
        <v>0</v>
      </c>
      <c r="P63" s="269">
        <f t="shared" si="32"/>
        <v>0</v>
      </c>
      <c r="Q63" s="279">
        <f>SUM(L63:P63)</f>
        <v>0</v>
      </c>
      <c r="R63" s="180"/>
      <c r="S63" s="181"/>
      <c r="T63" s="51"/>
      <c r="V63" s="608">
        <f t="shared" si="20"/>
        <v>0</v>
      </c>
    </row>
    <row r="64" spans="1:22" x14ac:dyDescent="0.2">
      <c r="A64" s="20" t="s">
        <v>1037</v>
      </c>
      <c r="B64" s="46"/>
      <c r="C64" s="51"/>
      <c r="D64" s="21"/>
      <c r="E64" s="96"/>
      <c r="F64" s="100"/>
      <c r="G64" s="100"/>
      <c r="H64" s="100"/>
      <c r="I64" s="100"/>
      <c r="J64" s="101">
        <f t="shared" si="18"/>
        <v>0</v>
      </c>
      <c r="K64" s="115"/>
      <c r="L64" s="35">
        <f t="shared" ref="L64:Q64" si="33">SUM(L65:L67)</f>
        <v>39750</v>
      </c>
      <c r="M64" s="34">
        <f t="shared" si="33"/>
        <v>0</v>
      </c>
      <c r="N64" s="34">
        <f t="shared" si="33"/>
        <v>0</v>
      </c>
      <c r="O64" s="34">
        <f t="shared" si="33"/>
        <v>0</v>
      </c>
      <c r="P64" s="269">
        <f t="shared" si="33"/>
        <v>0</v>
      </c>
      <c r="Q64" s="280">
        <f t="shared" si="33"/>
        <v>39750</v>
      </c>
      <c r="R64" s="182" t="s">
        <v>763</v>
      </c>
      <c r="S64" s="183"/>
      <c r="T64" s="51"/>
      <c r="V64" s="608">
        <f t="shared" si="20"/>
        <v>0</v>
      </c>
    </row>
    <row r="65" spans="1:22" x14ac:dyDescent="0.2">
      <c r="A65" s="95">
        <v>1</v>
      </c>
      <c r="B65" s="108" t="str">
        <f>IF(A65&lt;&gt;0,INDEX(Coûts,'PA-Détails'!A65, 2),)</f>
        <v>Assistance technique internationale (consultants)</v>
      </c>
      <c r="C65" s="51"/>
      <c r="D65" s="94" t="str">
        <f>IF(A65&lt;&gt;0,INDEX(Coûts, 'PA-Détails'!A65, 5),)</f>
        <v>Pers / j</v>
      </c>
      <c r="E65" s="96">
        <v>15</v>
      </c>
      <c r="F65" s="100"/>
      <c r="G65" s="100"/>
      <c r="H65" s="100"/>
      <c r="I65" s="100"/>
      <c r="J65" s="101">
        <f t="shared" si="18"/>
        <v>15</v>
      </c>
      <c r="K65" s="115">
        <f>IF(A65&lt;&gt;0,INDEX(Coûts, 'PA-Détails'!A65, 3),)</f>
        <v>1150</v>
      </c>
      <c r="L65" s="37">
        <f t="shared" ref="L65:P67" si="34">ROUND(+$K65*E65,0)</f>
        <v>17250</v>
      </c>
      <c r="M65" s="36">
        <f t="shared" si="34"/>
        <v>0</v>
      </c>
      <c r="N65" s="36">
        <f t="shared" si="34"/>
        <v>0</v>
      </c>
      <c r="O65" s="36">
        <f t="shared" si="34"/>
        <v>0</v>
      </c>
      <c r="P65" s="268">
        <f t="shared" si="34"/>
        <v>0</v>
      </c>
      <c r="Q65" s="281">
        <f>SUM(L65:P65)</f>
        <v>17250</v>
      </c>
      <c r="R65" s="182"/>
      <c r="S65" s="183"/>
      <c r="T65" s="51"/>
      <c r="V65" s="608">
        <f t="shared" si="20"/>
        <v>0</v>
      </c>
    </row>
    <row r="66" spans="1:22" x14ac:dyDescent="0.2">
      <c r="A66" s="95">
        <v>11</v>
      </c>
      <c r="B66" s="108" t="str">
        <f>IF(A66&lt;&gt;0,INDEX(Coûts,'PA-Détails'!A66, 2),)</f>
        <v>Atelier technique</v>
      </c>
      <c r="C66" s="51"/>
      <c r="D66" s="94" t="str">
        <f>IF(A66&lt;&gt;0,INDEX(Coûts, 'PA-Détails'!A66, 5),)</f>
        <v>Pers / j</v>
      </c>
      <c r="E66" s="96">
        <f>50*5</f>
        <v>250</v>
      </c>
      <c r="F66" s="100"/>
      <c r="G66" s="100"/>
      <c r="H66" s="100"/>
      <c r="I66" s="100"/>
      <c r="J66" s="101">
        <f t="shared" si="18"/>
        <v>250</v>
      </c>
      <c r="K66" s="115">
        <f>IF(A66&lt;&gt;0,INDEX(Coûts, 'PA-Détails'!A66, 3),)</f>
        <v>70</v>
      </c>
      <c r="L66" s="37">
        <f t="shared" si="34"/>
        <v>17500</v>
      </c>
      <c r="M66" s="36">
        <f t="shared" si="34"/>
        <v>0</v>
      </c>
      <c r="N66" s="36">
        <f t="shared" si="34"/>
        <v>0</v>
      </c>
      <c r="O66" s="36">
        <f t="shared" si="34"/>
        <v>0</v>
      </c>
      <c r="P66" s="268">
        <f t="shared" si="34"/>
        <v>0</v>
      </c>
      <c r="Q66" s="281">
        <f>SUM(L66:P66)</f>
        <v>17500</v>
      </c>
      <c r="R66" s="182"/>
      <c r="S66" s="183"/>
      <c r="T66" s="51"/>
      <c r="V66" s="608">
        <f t="shared" si="20"/>
        <v>0</v>
      </c>
    </row>
    <row r="67" spans="1:22" x14ac:dyDescent="0.2">
      <c r="A67" s="95">
        <v>5</v>
      </c>
      <c r="B67" s="108" t="str">
        <f>IF(A67&lt;&gt;0,INDEX(Coûts,'PA-Détails'!A67, 2),)</f>
        <v>Atelier de validation</v>
      </c>
      <c r="C67" s="51"/>
      <c r="D67" s="94" t="str">
        <f>IF(A67&lt;&gt;0,INDEX(Coûts, 'PA-Détails'!A67, 5),)</f>
        <v>Pers / j</v>
      </c>
      <c r="E67" s="96">
        <v>100</v>
      </c>
      <c r="F67" s="100"/>
      <c r="G67" s="100"/>
      <c r="H67" s="100"/>
      <c r="I67" s="100"/>
      <c r="J67" s="101">
        <f t="shared" si="18"/>
        <v>100</v>
      </c>
      <c r="K67" s="115">
        <f>IF(A67&lt;&gt;0,INDEX(Coûts, 'PA-Détails'!A67, 3),)</f>
        <v>50</v>
      </c>
      <c r="L67" s="37">
        <f t="shared" si="34"/>
        <v>5000</v>
      </c>
      <c r="M67" s="36">
        <f t="shared" si="34"/>
        <v>0</v>
      </c>
      <c r="N67" s="36">
        <f t="shared" si="34"/>
        <v>0</v>
      </c>
      <c r="O67" s="36">
        <f t="shared" si="34"/>
        <v>0</v>
      </c>
      <c r="P67" s="268">
        <f t="shared" si="34"/>
        <v>0</v>
      </c>
      <c r="Q67" s="281">
        <f>SUM(L67:P67)</f>
        <v>5000</v>
      </c>
      <c r="R67" s="182"/>
      <c r="S67" s="183"/>
      <c r="T67" s="51"/>
      <c r="V67" s="608">
        <f t="shared" si="20"/>
        <v>0</v>
      </c>
    </row>
    <row r="68" spans="1:22" x14ac:dyDescent="0.2">
      <c r="A68" s="20" t="s">
        <v>1018</v>
      </c>
      <c r="B68" s="46"/>
      <c r="C68" s="51"/>
      <c r="D68" s="21"/>
      <c r="E68" s="96"/>
      <c r="F68" s="100"/>
      <c r="G68" s="100"/>
      <c r="H68" s="100"/>
      <c r="I68" s="100"/>
      <c r="J68" s="101">
        <f t="shared" si="18"/>
        <v>0</v>
      </c>
      <c r="K68" s="115"/>
      <c r="L68" s="35">
        <f t="shared" ref="L68:Q68" si="35">SUM(L69:L69)</f>
        <v>594000</v>
      </c>
      <c r="M68" s="34">
        <f t="shared" si="35"/>
        <v>594000</v>
      </c>
      <c r="N68" s="34">
        <f t="shared" si="35"/>
        <v>594000</v>
      </c>
      <c r="O68" s="34">
        <f t="shared" si="35"/>
        <v>594000</v>
      </c>
      <c r="P68" s="269">
        <f t="shared" si="35"/>
        <v>594000</v>
      </c>
      <c r="Q68" s="280">
        <f t="shared" si="35"/>
        <v>2970000</v>
      </c>
      <c r="R68" s="182" t="s">
        <v>763</v>
      </c>
      <c r="S68" s="183"/>
      <c r="T68" s="51"/>
      <c r="V68" s="608">
        <f t="shared" si="20"/>
        <v>0</v>
      </c>
    </row>
    <row r="69" spans="1:22" x14ac:dyDescent="0.2">
      <c r="A69" s="95">
        <v>8</v>
      </c>
      <c r="B69" s="108" t="str">
        <f>IF(A69&lt;&gt;0,INDEX(Coûts,'PA-Détails'!A69, 2),)</f>
        <v>Formation</v>
      </c>
      <c r="C69" s="51"/>
      <c r="D69" s="94" t="str">
        <f>IF(A69&lt;&gt;0,INDEX(Coûts, 'PA-Détails'!A69, 5),)</f>
        <v>Pers / j</v>
      </c>
      <c r="E69" s="96">
        <f>H!E12*5</f>
        <v>5400</v>
      </c>
      <c r="F69" s="100">
        <f>H!F12*5</f>
        <v>5400</v>
      </c>
      <c r="G69" s="100">
        <f>H!G12*5</f>
        <v>5400</v>
      </c>
      <c r="H69" s="100">
        <f>H!H12*5</f>
        <v>5400</v>
      </c>
      <c r="I69" s="100">
        <f>H!I12*5</f>
        <v>5400</v>
      </c>
      <c r="J69" s="101">
        <f t="shared" si="18"/>
        <v>27000</v>
      </c>
      <c r="K69" s="115">
        <f>IF(A69&lt;&gt;0,INDEX(Coûts, 'PA-Détails'!A69, 3),)</f>
        <v>110</v>
      </c>
      <c r="L69" s="37">
        <f t="shared" ref="L69:P70" si="36">ROUND(+$K69*E69,0)</f>
        <v>594000</v>
      </c>
      <c r="M69" s="36">
        <f t="shared" si="36"/>
        <v>594000</v>
      </c>
      <c r="N69" s="36">
        <f t="shared" si="36"/>
        <v>594000</v>
      </c>
      <c r="O69" s="36">
        <f t="shared" si="36"/>
        <v>594000</v>
      </c>
      <c r="P69" s="268">
        <f t="shared" si="36"/>
        <v>594000</v>
      </c>
      <c r="Q69" s="281">
        <f>SUM(L69:P69)</f>
        <v>2970000</v>
      </c>
      <c r="R69" s="182"/>
      <c r="S69" s="183"/>
      <c r="T69" s="51"/>
      <c r="V69" s="608">
        <f t="shared" si="20"/>
        <v>0</v>
      </c>
    </row>
    <row r="70" spans="1:22" x14ac:dyDescent="0.2">
      <c r="A70" s="17" t="s">
        <v>16</v>
      </c>
      <c r="B70" s="45"/>
      <c r="C70" s="51" t="s">
        <v>194</v>
      </c>
      <c r="D70" s="18"/>
      <c r="E70" s="97"/>
      <c r="F70" s="98"/>
      <c r="G70" s="98"/>
      <c r="H70" s="98"/>
      <c r="I70" s="98"/>
      <c r="J70" s="99">
        <f t="shared" ref="J70:J101" si="37">SUM(E70:I70)</f>
        <v>0</v>
      </c>
      <c r="K70" s="116"/>
      <c r="L70" s="35">
        <f t="shared" si="36"/>
        <v>0</v>
      </c>
      <c r="M70" s="34">
        <f t="shared" si="36"/>
        <v>0</v>
      </c>
      <c r="N70" s="34">
        <f t="shared" si="36"/>
        <v>0</v>
      </c>
      <c r="O70" s="34">
        <f t="shared" si="36"/>
        <v>0</v>
      </c>
      <c r="P70" s="269">
        <f t="shared" si="36"/>
        <v>0</v>
      </c>
      <c r="Q70" s="279">
        <f>SUM(L70:P70)</f>
        <v>0</v>
      </c>
      <c r="R70" s="180"/>
      <c r="S70" s="181"/>
      <c r="T70" s="51"/>
      <c r="V70" s="608">
        <f t="shared" si="20"/>
        <v>0</v>
      </c>
    </row>
    <row r="71" spans="1:22" x14ac:dyDescent="0.2">
      <c r="A71" s="20" t="s">
        <v>362</v>
      </c>
      <c r="B71" s="46"/>
      <c r="C71" s="51"/>
      <c r="D71" s="21"/>
      <c r="E71" s="96"/>
      <c r="F71" s="100"/>
      <c r="G71" s="100"/>
      <c r="H71" s="100"/>
      <c r="I71" s="100"/>
      <c r="J71" s="101">
        <f t="shared" si="37"/>
        <v>0</v>
      </c>
      <c r="K71" s="115"/>
      <c r="L71" s="35">
        <f t="shared" ref="L71:Q71" si="38">SUM(L72:L74)</f>
        <v>39750</v>
      </c>
      <c r="M71" s="34">
        <f t="shared" si="38"/>
        <v>0</v>
      </c>
      <c r="N71" s="34">
        <f t="shared" si="38"/>
        <v>0</v>
      </c>
      <c r="O71" s="34">
        <f t="shared" si="38"/>
        <v>0</v>
      </c>
      <c r="P71" s="269">
        <f t="shared" si="38"/>
        <v>0</v>
      </c>
      <c r="Q71" s="280">
        <f t="shared" si="38"/>
        <v>39750</v>
      </c>
      <c r="R71" s="182" t="s">
        <v>763</v>
      </c>
      <c r="S71" s="183"/>
      <c r="T71" s="51"/>
      <c r="V71" s="608">
        <f t="shared" si="20"/>
        <v>0</v>
      </c>
    </row>
    <row r="72" spans="1:22" x14ac:dyDescent="0.2">
      <c r="A72" s="95">
        <v>1</v>
      </c>
      <c r="B72" s="108" t="str">
        <f>IF(A72&lt;&gt;0,INDEX(Coûts,'PA-Détails'!A72, 2),)</f>
        <v>Assistance technique internationale (consultants)</v>
      </c>
      <c r="C72" s="51"/>
      <c r="D72" s="94" t="str">
        <f>IF(A72&lt;&gt;0,INDEX(Coûts, 'PA-Détails'!A72, 5),)</f>
        <v>Pers / j</v>
      </c>
      <c r="E72" s="96">
        <v>15</v>
      </c>
      <c r="F72" s="100"/>
      <c r="G72" s="100"/>
      <c r="H72" s="100"/>
      <c r="I72" s="100"/>
      <c r="J72" s="101">
        <f t="shared" si="37"/>
        <v>15</v>
      </c>
      <c r="K72" s="115">
        <f>IF(A72&lt;&gt;0,INDEX(Coûts, 'PA-Détails'!A72, 3),)</f>
        <v>1150</v>
      </c>
      <c r="L72" s="37">
        <f t="shared" ref="L72:P74" si="39">ROUND(+$K72*E72,0)</f>
        <v>17250</v>
      </c>
      <c r="M72" s="36">
        <f t="shared" si="39"/>
        <v>0</v>
      </c>
      <c r="N72" s="36">
        <f t="shared" si="39"/>
        <v>0</v>
      </c>
      <c r="O72" s="36">
        <f t="shared" si="39"/>
        <v>0</v>
      </c>
      <c r="P72" s="268">
        <f t="shared" si="39"/>
        <v>0</v>
      </c>
      <c r="Q72" s="281">
        <f>SUM(L72:P72)</f>
        <v>17250</v>
      </c>
      <c r="R72" s="182"/>
      <c r="S72" s="183"/>
      <c r="T72" s="51"/>
      <c r="V72" s="608">
        <f t="shared" si="20"/>
        <v>0</v>
      </c>
    </row>
    <row r="73" spans="1:22" x14ac:dyDescent="0.2">
      <c r="A73" s="95">
        <v>11</v>
      </c>
      <c r="B73" s="108" t="str">
        <f>IF(A73&lt;&gt;0,INDEX(Coûts,'PA-Détails'!A73, 2),)</f>
        <v>Atelier technique</v>
      </c>
      <c r="C73" s="51"/>
      <c r="D73" s="94" t="str">
        <f>IF(A73&lt;&gt;0,INDEX(Coûts, 'PA-Détails'!A73, 5),)</f>
        <v>Pers / j</v>
      </c>
      <c r="E73" s="96">
        <f>50*5</f>
        <v>250</v>
      </c>
      <c r="F73" s="100"/>
      <c r="G73" s="100"/>
      <c r="H73" s="100"/>
      <c r="I73" s="100"/>
      <c r="J73" s="101">
        <f t="shared" si="37"/>
        <v>250</v>
      </c>
      <c r="K73" s="115">
        <f>IF(A73&lt;&gt;0,INDEX(Coûts, 'PA-Détails'!A73, 3),)</f>
        <v>70</v>
      </c>
      <c r="L73" s="37">
        <f t="shared" si="39"/>
        <v>17500</v>
      </c>
      <c r="M73" s="36">
        <f t="shared" si="39"/>
        <v>0</v>
      </c>
      <c r="N73" s="36">
        <f t="shared" si="39"/>
        <v>0</v>
      </c>
      <c r="O73" s="36">
        <f t="shared" si="39"/>
        <v>0</v>
      </c>
      <c r="P73" s="268">
        <f t="shared" si="39"/>
        <v>0</v>
      </c>
      <c r="Q73" s="281">
        <f>SUM(L73:P73)</f>
        <v>17500</v>
      </c>
      <c r="R73" s="182"/>
      <c r="S73" s="183"/>
      <c r="T73" s="51"/>
      <c r="V73" s="608">
        <f t="shared" ref="V73:V104" si="40">SUM(L73:P73)-Q73</f>
        <v>0</v>
      </c>
    </row>
    <row r="74" spans="1:22" x14ac:dyDescent="0.2">
      <c r="A74" s="95">
        <v>5</v>
      </c>
      <c r="B74" s="108" t="str">
        <f>IF(A74&lt;&gt;0,INDEX(Coûts,'PA-Détails'!A74, 2),)</f>
        <v>Atelier de validation</v>
      </c>
      <c r="C74" s="51"/>
      <c r="D74" s="94" t="str">
        <f>IF(A74&lt;&gt;0,INDEX(Coûts, 'PA-Détails'!A74, 5),)</f>
        <v>Pers / j</v>
      </c>
      <c r="E74" s="96">
        <v>100</v>
      </c>
      <c r="F74" s="100"/>
      <c r="G74" s="100"/>
      <c r="H74" s="100"/>
      <c r="I74" s="100"/>
      <c r="J74" s="101">
        <f t="shared" si="37"/>
        <v>100</v>
      </c>
      <c r="K74" s="115">
        <f>IF(A74&lt;&gt;0,INDEX(Coûts, 'PA-Détails'!A74, 3),)</f>
        <v>50</v>
      </c>
      <c r="L74" s="37">
        <f t="shared" si="39"/>
        <v>5000</v>
      </c>
      <c r="M74" s="36">
        <f t="shared" si="39"/>
        <v>0</v>
      </c>
      <c r="N74" s="36">
        <f t="shared" si="39"/>
        <v>0</v>
      </c>
      <c r="O74" s="36">
        <f t="shared" si="39"/>
        <v>0</v>
      </c>
      <c r="P74" s="268">
        <f t="shared" si="39"/>
        <v>0</v>
      </c>
      <c r="Q74" s="281">
        <f>SUM(L74:P74)</f>
        <v>5000</v>
      </c>
      <c r="R74" s="182"/>
      <c r="S74" s="183"/>
      <c r="T74" s="51"/>
      <c r="V74" s="608">
        <f t="shared" si="40"/>
        <v>0</v>
      </c>
    </row>
    <row r="75" spans="1:22" x14ac:dyDescent="0.2">
      <c r="A75" s="20" t="s">
        <v>1038</v>
      </c>
      <c r="B75" s="46"/>
      <c r="C75" s="51"/>
      <c r="D75" s="21"/>
      <c r="E75" s="96"/>
      <c r="F75" s="100"/>
      <c r="G75" s="100"/>
      <c r="H75" s="100"/>
      <c r="I75" s="100"/>
      <c r="J75" s="101">
        <f t="shared" si="37"/>
        <v>0</v>
      </c>
      <c r="K75" s="115"/>
      <c r="L75" s="35">
        <f t="shared" ref="L75:Q75" si="41">SUM(L76:L76)</f>
        <v>0</v>
      </c>
      <c r="M75" s="34">
        <f t="shared" si="41"/>
        <v>973500</v>
      </c>
      <c r="N75" s="34">
        <f t="shared" si="41"/>
        <v>1160500</v>
      </c>
      <c r="O75" s="34">
        <f t="shared" si="41"/>
        <v>1358500</v>
      </c>
      <c r="P75" s="269">
        <f t="shared" si="41"/>
        <v>1556500</v>
      </c>
      <c r="Q75" s="280">
        <f t="shared" si="41"/>
        <v>5049000</v>
      </c>
      <c r="R75" s="182" t="s">
        <v>763</v>
      </c>
      <c r="S75" s="183"/>
      <c r="T75" s="51"/>
      <c r="V75" s="608">
        <f t="shared" si="40"/>
        <v>0</v>
      </c>
    </row>
    <row r="76" spans="1:22" x14ac:dyDescent="0.2">
      <c r="A76" s="95">
        <v>8</v>
      </c>
      <c r="B76" s="108" t="str">
        <f>IF(A76&lt;&gt;0,INDEX(Coûts,'PA-Détails'!A76, 2),)</f>
        <v>Formation</v>
      </c>
      <c r="C76" s="51"/>
      <c r="D76" s="94" t="str">
        <f>IF(A76&lt;&gt;0,INDEX(Coûts, 'PA-Détails'!A76, 5),)</f>
        <v>Pers / j</v>
      </c>
      <c r="E76" s="96"/>
      <c r="F76" s="100">
        <f>ROUND([5]Préscolaire!K$472/2,-1)*5</f>
        <v>8850</v>
      </c>
      <c r="G76" s="100">
        <f>ROUND([5]Préscolaire!L$472/2,-1)*5</f>
        <v>10550</v>
      </c>
      <c r="H76" s="100">
        <f>ROUND([5]Préscolaire!M$472/2,-1)*5</f>
        <v>12350</v>
      </c>
      <c r="I76" s="100">
        <f>ROUND([5]Préscolaire!N$472/2,-1)*5</f>
        <v>14150</v>
      </c>
      <c r="J76" s="101">
        <f t="shared" si="37"/>
        <v>45900</v>
      </c>
      <c r="K76" s="115">
        <f>IF(A76&lt;&gt;0,INDEX(Coûts, 'PA-Détails'!A76, 3),)</f>
        <v>110</v>
      </c>
      <c r="L76" s="37">
        <f t="shared" ref="L76:P78" si="42">ROUND(+$K76*E76,0)</f>
        <v>0</v>
      </c>
      <c r="M76" s="36">
        <f t="shared" si="42"/>
        <v>973500</v>
      </c>
      <c r="N76" s="36">
        <f t="shared" si="42"/>
        <v>1160500</v>
      </c>
      <c r="O76" s="36">
        <f t="shared" si="42"/>
        <v>1358500</v>
      </c>
      <c r="P76" s="268">
        <f t="shared" si="42"/>
        <v>1556500</v>
      </c>
      <c r="Q76" s="281">
        <f>SUM(L76:P76)</f>
        <v>5049000</v>
      </c>
      <c r="R76" s="182"/>
      <c r="S76" s="183"/>
      <c r="T76" s="51"/>
      <c r="V76" s="608">
        <f t="shared" si="40"/>
        <v>0</v>
      </c>
    </row>
    <row r="77" spans="1:22" x14ac:dyDescent="0.2">
      <c r="A77" s="14" t="s">
        <v>177</v>
      </c>
      <c r="B77" s="44"/>
      <c r="C77" s="112"/>
      <c r="D77" s="15"/>
      <c r="E77" s="102"/>
      <c r="F77" s="103"/>
      <c r="G77" s="103"/>
      <c r="H77" s="103"/>
      <c r="I77" s="103"/>
      <c r="J77" s="104">
        <f t="shared" si="37"/>
        <v>0</v>
      </c>
      <c r="K77" s="145"/>
      <c r="L77" s="33">
        <f t="shared" si="42"/>
        <v>0</v>
      </c>
      <c r="M77" s="32">
        <f t="shared" si="42"/>
        <v>0</v>
      </c>
      <c r="N77" s="32">
        <f t="shared" si="42"/>
        <v>0</v>
      </c>
      <c r="O77" s="32">
        <f t="shared" si="42"/>
        <v>0</v>
      </c>
      <c r="P77" s="267">
        <f t="shared" si="42"/>
        <v>0</v>
      </c>
      <c r="Q77" s="278">
        <f>SUM(L77:P77)</f>
        <v>0</v>
      </c>
      <c r="R77" s="178"/>
      <c r="S77" s="179"/>
      <c r="T77" s="49">
        <v>3</v>
      </c>
      <c r="V77" s="608">
        <f t="shared" si="40"/>
        <v>0</v>
      </c>
    </row>
    <row r="78" spans="1:22" x14ac:dyDescent="0.2">
      <c r="A78" s="17" t="s">
        <v>17</v>
      </c>
      <c r="B78" s="45"/>
      <c r="C78" s="51" t="s">
        <v>178</v>
      </c>
      <c r="D78" s="18"/>
      <c r="E78" s="97"/>
      <c r="F78" s="98"/>
      <c r="G78" s="98"/>
      <c r="H78" s="98"/>
      <c r="I78" s="98"/>
      <c r="J78" s="99">
        <f t="shared" si="37"/>
        <v>0</v>
      </c>
      <c r="K78" s="116"/>
      <c r="L78" s="35">
        <f t="shared" si="42"/>
        <v>0</v>
      </c>
      <c r="M78" s="34">
        <f t="shared" si="42"/>
        <v>0</v>
      </c>
      <c r="N78" s="34">
        <f t="shared" si="42"/>
        <v>0</v>
      </c>
      <c r="O78" s="34">
        <f t="shared" si="42"/>
        <v>0</v>
      </c>
      <c r="P78" s="269">
        <f t="shared" si="42"/>
        <v>0</v>
      </c>
      <c r="Q78" s="279">
        <f>SUM(L78:P78)</f>
        <v>0</v>
      </c>
      <c r="R78" s="180"/>
      <c r="S78" s="181"/>
      <c r="T78" s="50"/>
      <c r="V78" s="608">
        <f t="shared" si="40"/>
        <v>0</v>
      </c>
    </row>
    <row r="79" spans="1:22" x14ac:dyDescent="0.2">
      <c r="A79" s="20" t="s">
        <v>1039</v>
      </c>
      <c r="B79" s="46"/>
      <c r="C79" s="51"/>
      <c r="D79" s="21"/>
      <c r="E79" s="96"/>
      <c r="F79" s="100"/>
      <c r="G79" s="100"/>
      <c r="H79" s="100"/>
      <c r="I79" s="100"/>
      <c r="J79" s="101">
        <f t="shared" si="37"/>
        <v>0</v>
      </c>
      <c r="K79" s="115"/>
      <c r="L79" s="35">
        <f t="shared" ref="L79:Q79" si="43">L80</f>
        <v>150000</v>
      </c>
      <c r="M79" s="34">
        <f t="shared" si="43"/>
        <v>150000</v>
      </c>
      <c r="N79" s="34">
        <f t="shared" si="43"/>
        <v>150000</v>
      </c>
      <c r="O79" s="34">
        <f t="shared" si="43"/>
        <v>0</v>
      </c>
      <c r="P79" s="269">
        <f t="shared" si="43"/>
        <v>0</v>
      </c>
      <c r="Q79" s="280">
        <f t="shared" si="43"/>
        <v>450000</v>
      </c>
      <c r="R79" s="182" t="s">
        <v>754</v>
      </c>
      <c r="S79" s="183"/>
      <c r="T79" s="51"/>
      <c r="V79" s="608">
        <f t="shared" si="40"/>
        <v>0</v>
      </c>
    </row>
    <row r="80" spans="1:22" x14ac:dyDescent="0.2">
      <c r="A80" s="95">
        <v>41</v>
      </c>
      <c r="B80" s="108" t="str">
        <f>IF(A80&lt;&gt;0,INDEX(Coûts,'PA-Détails'!A80, 2),)</f>
        <v>Achat de Moto</v>
      </c>
      <c r="C80" s="51"/>
      <c r="D80" s="94" t="str">
        <f>IF(A80&lt;&gt;0,INDEX(Coûts, 'PA-Détails'!A80, 5),)</f>
        <v>Unité</v>
      </c>
      <c r="E80" s="96">
        <v>50</v>
      </c>
      <c r="F80" s="100">
        <v>50</v>
      </c>
      <c r="G80" s="100">
        <v>50</v>
      </c>
      <c r="H80" s="100"/>
      <c r="I80" s="100"/>
      <c r="J80" s="101">
        <f t="shared" si="37"/>
        <v>150</v>
      </c>
      <c r="K80" s="115">
        <f>IF(A80&lt;&gt;0,INDEX(Coûts, 'PA-Détails'!A80, 3),)</f>
        <v>3000</v>
      </c>
      <c r="L80" s="37">
        <f t="shared" ref="L80:P81" si="44">ROUND(+$K80*E80,0)</f>
        <v>150000</v>
      </c>
      <c r="M80" s="36">
        <f t="shared" si="44"/>
        <v>150000</v>
      </c>
      <c r="N80" s="36">
        <f t="shared" si="44"/>
        <v>150000</v>
      </c>
      <c r="O80" s="36">
        <f t="shared" si="44"/>
        <v>0</v>
      </c>
      <c r="P80" s="268">
        <f t="shared" si="44"/>
        <v>0</v>
      </c>
      <c r="Q80" s="281">
        <f>SUM(L80:P80)</f>
        <v>450000</v>
      </c>
      <c r="R80" s="182"/>
      <c r="S80" s="183"/>
      <c r="T80" s="51"/>
      <c r="V80" s="608">
        <f t="shared" si="40"/>
        <v>0</v>
      </c>
    </row>
    <row r="81" spans="1:22" x14ac:dyDescent="0.2">
      <c r="A81" s="17" t="s">
        <v>1016</v>
      </c>
      <c r="B81" s="45"/>
      <c r="C81" s="51" t="s">
        <v>1040</v>
      </c>
      <c r="D81" s="18"/>
      <c r="E81" s="97"/>
      <c r="F81" s="98"/>
      <c r="G81" s="98"/>
      <c r="H81" s="98"/>
      <c r="I81" s="98"/>
      <c r="J81" s="99">
        <f t="shared" si="37"/>
        <v>0</v>
      </c>
      <c r="K81" s="116"/>
      <c r="L81" s="35">
        <f t="shared" si="44"/>
        <v>0</v>
      </c>
      <c r="M81" s="34">
        <f t="shared" si="44"/>
        <v>0</v>
      </c>
      <c r="N81" s="34">
        <f t="shared" si="44"/>
        <v>0</v>
      </c>
      <c r="O81" s="34">
        <f t="shared" si="44"/>
        <v>0</v>
      </c>
      <c r="P81" s="269">
        <f t="shared" si="44"/>
        <v>0</v>
      </c>
      <c r="Q81" s="279">
        <f>SUM(L81:P81)</f>
        <v>0</v>
      </c>
      <c r="R81" s="180"/>
      <c r="S81" s="181"/>
      <c r="T81" s="50"/>
      <c r="V81" s="608">
        <f t="shared" si="40"/>
        <v>0</v>
      </c>
    </row>
    <row r="82" spans="1:22" x14ac:dyDescent="0.2">
      <c r="A82" s="20" t="s">
        <v>1041</v>
      </c>
      <c r="B82" s="46"/>
      <c r="C82" s="51"/>
      <c r="D82" s="21"/>
      <c r="E82" s="96"/>
      <c r="F82" s="100"/>
      <c r="G82" s="100"/>
      <c r="H82" s="100"/>
      <c r="I82" s="100"/>
      <c r="J82" s="101">
        <f t="shared" si="37"/>
        <v>0</v>
      </c>
      <c r="K82" s="115"/>
      <c r="L82" s="35">
        <f t="shared" ref="L82:Q82" si="45">L83</f>
        <v>60000</v>
      </c>
      <c r="M82" s="34">
        <f t="shared" si="45"/>
        <v>120000</v>
      </c>
      <c r="N82" s="34">
        <f t="shared" si="45"/>
        <v>180000</v>
      </c>
      <c r="O82" s="34">
        <f t="shared" si="45"/>
        <v>180000</v>
      </c>
      <c r="P82" s="269">
        <f t="shared" si="45"/>
        <v>180000</v>
      </c>
      <c r="Q82" s="280">
        <f t="shared" si="45"/>
        <v>720000</v>
      </c>
      <c r="R82" s="182" t="s">
        <v>754</v>
      </c>
      <c r="S82" s="183"/>
      <c r="T82" s="51"/>
      <c r="V82" s="608">
        <f t="shared" si="40"/>
        <v>0</v>
      </c>
    </row>
    <row r="83" spans="1:22" x14ac:dyDescent="0.2">
      <c r="A83" s="95">
        <v>217</v>
      </c>
      <c r="B83" s="108" t="str">
        <f>IF(A83&lt;&gt;0,INDEX(Coûts,'PA-Détails'!A83, 2),)</f>
        <v>Primes d'itinérance (Inspecteurs itinérants)</v>
      </c>
      <c r="C83" s="51"/>
      <c r="D83" s="94" t="str">
        <f>IF(A83&lt;&gt;0,INDEX(Coûts, 'PA-Détails'!A83, 5),)</f>
        <v>Prime/an</v>
      </c>
      <c r="E83" s="96">
        <v>50</v>
      </c>
      <c r="F83" s="100">
        <f>E83+F80</f>
        <v>100</v>
      </c>
      <c r="G83" s="100">
        <f>F83+G80</f>
        <v>150</v>
      </c>
      <c r="H83" s="100">
        <f>G83+H80</f>
        <v>150</v>
      </c>
      <c r="I83" s="100">
        <f>H83+I80</f>
        <v>150</v>
      </c>
      <c r="J83" s="101">
        <f t="shared" si="37"/>
        <v>600</v>
      </c>
      <c r="K83" s="115">
        <f>IF(A83&lt;&gt;0,INDEX(Coûts, 'PA-Détails'!A83, 3),)</f>
        <v>1200</v>
      </c>
      <c r="L83" s="37">
        <f t="shared" ref="L83:P86" si="46">ROUND(+$K83*E83,0)</f>
        <v>60000</v>
      </c>
      <c r="M83" s="36">
        <f t="shared" si="46"/>
        <v>120000</v>
      </c>
      <c r="N83" s="36">
        <f t="shared" si="46"/>
        <v>180000</v>
      </c>
      <c r="O83" s="36">
        <f t="shared" si="46"/>
        <v>180000</v>
      </c>
      <c r="P83" s="268">
        <f t="shared" si="46"/>
        <v>180000</v>
      </c>
      <c r="Q83" s="281">
        <f>SUM(L83:P83)</f>
        <v>720000</v>
      </c>
      <c r="R83" s="182"/>
      <c r="S83" s="183"/>
      <c r="T83" s="51"/>
      <c r="V83" s="608">
        <f t="shared" si="40"/>
        <v>0</v>
      </c>
    </row>
    <row r="84" spans="1:22" x14ac:dyDescent="0.2">
      <c r="A84" s="11" t="s">
        <v>18</v>
      </c>
      <c r="B84" s="13"/>
      <c r="C84" s="113"/>
      <c r="D84" s="12"/>
      <c r="E84" s="105"/>
      <c r="F84" s="106"/>
      <c r="G84" s="106"/>
      <c r="H84" s="106"/>
      <c r="I84" s="106"/>
      <c r="J84" s="107">
        <f t="shared" si="37"/>
        <v>0</v>
      </c>
      <c r="K84" s="144"/>
      <c r="L84" s="30">
        <f t="shared" si="46"/>
        <v>0</v>
      </c>
      <c r="M84" s="29">
        <f t="shared" si="46"/>
        <v>0</v>
      </c>
      <c r="N84" s="29">
        <f t="shared" si="46"/>
        <v>0</v>
      </c>
      <c r="O84" s="29">
        <f t="shared" si="46"/>
        <v>0</v>
      </c>
      <c r="P84" s="266">
        <f t="shared" si="46"/>
        <v>0</v>
      </c>
      <c r="Q84" s="277">
        <f>SUM(L84:P84)</f>
        <v>0</v>
      </c>
      <c r="R84" s="176"/>
      <c r="S84" s="177"/>
      <c r="T84" s="48"/>
      <c r="U84" s="653">
        <f>+SUM(Q6:Q83)/2</f>
        <v>137554550</v>
      </c>
      <c r="V84" s="608">
        <f t="shared" si="40"/>
        <v>0</v>
      </c>
    </row>
    <row r="85" spans="1:22" x14ac:dyDescent="0.2">
      <c r="A85" s="14" t="s">
        <v>19</v>
      </c>
      <c r="B85" s="44"/>
      <c r="C85" s="112"/>
      <c r="D85" s="15"/>
      <c r="E85" s="102"/>
      <c r="F85" s="103"/>
      <c r="G85" s="103"/>
      <c r="H85" s="103"/>
      <c r="I85" s="103"/>
      <c r="J85" s="104">
        <f t="shared" si="37"/>
        <v>0</v>
      </c>
      <c r="K85" s="145"/>
      <c r="L85" s="33">
        <f t="shared" si="46"/>
        <v>0</v>
      </c>
      <c r="M85" s="32">
        <f t="shared" si="46"/>
        <v>0</v>
      </c>
      <c r="N85" s="32">
        <f t="shared" si="46"/>
        <v>0</v>
      </c>
      <c r="O85" s="32">
        <f t="shared" si="46"/>
        <v>0</v>
      </c>
      <c r="P85" s="267">
        <f t="shared" si="46"/>
        <v>0</v>
      </c>
      <c r="Q85" s="278">
        <f>SUM(L85:P85)</f>
        <v>0</v>
      </c>
      <c r="R85" s="178"/>
      <c r="S85" s="179"/>
      <c r="T85" s="49">
        <v>1</v>
      </c>
      <c r="V85" s="608">
        <f t="shared" si="40"/>
        <v>0</v>
      </c>
    </row>
    <row r="86" spans="1:22" x14ac:dyDescent="0.2">
      <c r="A86" s="17" t="s">
        <v>20</v>
      </c>
      <c r="B86" s="45"/>
      <c r="C86" s="51" t="s">
        <v>202</v>
      </c>
      <c r="D86" s="18"/>
      <c r="E86" s="97"/>
      <c r="F86" s="98"/>
      <c r="G86" s="98"/>
      <c r="H86" s="98"/>
      <c r="I86" s="98"/>
      <c r="J86" s="99">
        <f t="shared" si="37"/>
        <v>0</v>
      </c>
      <c r="K86" s="116"/>
      <c r="L86" s="35">
        <f t="shared" si="46"/>
        <v>0</v>
      </c>
      <c r="M86" s="34">
        <f t="shared" si="46"/>
        <v>0</v>
      </c>
      <c r="N86" s="34">
        <f t="shared" si="46"/>
        <v>0</v>
      </c>
      <c r="O86" s="34">
        <f t="shared" si="46"/>
        <v>0</v>
      </c>
      <c r="P86" s="269">
        <f t="shared" si="46"/>
        <v>0</v>
      </c>
      <c r="Q86" s="279">
        <f>SUM(L86:P86)</f>
        <v>0</v>
      </c>
      <c r="R86" s="180"/>
      <c r="S86" s="181"/>
      <c r="T86" s="50"/>
      <c r="V86" s="608">
        <f t="shared" si="40"/>
        <v>0</v>
      </c>
    </row>
    <row r="87" spans="1:22" x14ac:dyDescent="0.2">
      <c r="A87" s="20" t="s">
        <v>201</v>
      </c>
      <c r="B87" s="46"/>
      <c r="C87" s="51"/>
      <c r="D87" s="21"/>
      <c r="E87" s="96"/>
      <c r="F87" s="100"/>
      <c r="G87" s="100"/>
      <c r="H87" s="100"/>
      <c r="I87" s="100"/>
      <c r="J87" s="101">
        <f t="shared" si="37"/>
        <v>0</v>
      </c>
      <c r="K87" s="115"/>
      <c r="L87" s="35">
        <f t="shared" ref="L87:Q87" si="47">SUM(L88:L88)</f>
        <v>44800000</v>
      </c>
      <c r="M87" s="34">
        <f t="shared" si="47"/>
        <v>44800000</v>
      </c>
      <c r="N87" s="34">
        <f t="shared" si="47"/>
        <v>44800000</v>
      </c>
      <c r="O87" s="34">
        <f t="shared" si="47"/>
        <v>44800000</v>
      </c>
      <c r="P87" s="269">
        <f t="shared" si="47"/>
        <v>44800000</v>
      </c>
      <c r="Q87" s="280">
        <f t="shared" si="47"/>
        <v>224000000</v>
      </c>
      <c r="R87" s="182" t="s">
        <v>753</v>
      </c>
      <c r="S87" s="183" t="s">
        <v>665</v>
      </c>
      <c r="T87" s="51"/>
      <c r="V87" s="608">
        <f t="shared" si="40"/>
        <v>0</v>
      </c>
    </row>
    <row r="88" spans="1:22" x14ac:dyDescent="0.2">
      <c r="A88" s="95">
        <v>21</v>
      </c>
      <c r="B88" s="108" t="str">
        <f>IF(A88&lt;&gt;0,INDEX(Coûts,'PA-Détails'!A88, 2),)</f>
        <v>Construction et équipement de salle de classe au primaire</v>
      </c>
      <c r="C88" s="51"/>
      <c r="D88" s="94" t="str">
        <f>IF(A88&lt;&gt;0,INDEX(Coûts, 'PA-Détails'!A88, 5),)</f>
        <v>Unité</v>
      </c>
      <c r="E88" s="96">
        <v>2800</v>
      </c>
      <c r="F88" s="100">
        <v>2800</v>
      </c>
      <c r="G88" s="100">
        <v>2800</v>
      </c>
      <c r="H88" s="100">
        <v>2800</v>
      </c>
      <c r="I88" s="100">
        <v>2800</v>
      </c>
      <c r="J88" s="101">
        <f t="shared" si="37"/>
        <v>14000</v>
      </c>
      <c r="K88" s="115">
        <f>IF(A88&lt;&gt;0,INDEX(Coûts, 'PA-Détails'!A88, 3),)</f>
        <v>16000</v>
      </c>
      <c r="L88" s="37">
        <f t="shared" ref="L88:P89" si="48">ROUND(+$K88*E88,0)</f>
        <v>44800000</v>
      </c>
      <c r="M88" s="36">
        <f t="shared" si="48"/>
        <v>44800000</v>
      </c>
      <c r="N88" s="36">
        <f t="shared" si="48"/>
        <v>44800000</v>
      </c>
      <c r="O88" s="36">
        <f t="shared" si="48"/>
        <v>44800000</v>
      </c>
      <c r="P88" s="268">
        <f t="shared" si="48"/>
        <v>44800000</v>
      </c>
      <c r="Q88" s="281">
        <f>SUM(L88:P88)</f>
        <v>224000000</v>
      </c>
      <c r="S88" s="183"/>
      <c r="T88" s="51"/>
      <c r="V88" s="608">
        <f t="shared" si="40"/>
        <v>0</v>
      </c>
    </row>
    <row r="89" spans="1:22" x14ac:dyDescent="0.2">
      <c r="A89" s="17" t="s">
        <v>21</v>
      </c>
      <c r="B89" s="45"/>
      <c r="C89" s="51" t="s">
        <v>203</v>
      </c>
      <c r="D89" s="18"/>
      <c r="E89" s="97"/>
      <c r="F89" s="98"/>
      <c r="G89" s="98"/>
      <c r="H89" s="98"/>
      <c r="I89" s="98"/>
      <c r="J89" s="99">
        <f t="shared" si="37"/>
        <v>0</v>
      </c>
      <c r="K89" s="116"/>
      <c r="L89" s="35">
        <f t="shared" si="48"/>
        <v>0</v>
      </c>
      <c r="M89" s="34">
        <f t="shared" si="48"/>
        <v>0</v>
      </c>
      <c r="N89" s="34">
        <f t="shared" si="48"/>
        <v>0</v>
      </c>
      <c r="O89" s="34">
        <f t="shared" si="48"/>
        <v>0</v>
      </c>
      <c r="P89" s="269">
        <f t="shared" si="48"/>
        <v>0</v>
      </c>
      <c r="Q89" s="279">
        <f>SUM(L89:P89)</f>
        <v>0</v>
      </c>
      <c r="R89" s="180"/>
      <c r="S89" s="181"/>
      <c r="T89" s="50"/>
      <c r="V89" s="608">
        <f t="shared" si="40"/>
        <v>0</v>
      </c>
    </row>
    <row r="90" spans="1:22" x14ac:dyDescent="0.2">
      <c r="A90" s="20" t="s">
        <v>204</v>
      </c>
      <c r="B90" s="46"/>
      <c r="C90" s="51"/>
      <c r="D90" s="21"/>
      <c r="E90" s="96"/>
      <c r="F90" s="100"/>
      <c r="G90" s="100"/>
      <c r="H90" s="100"/>
      <c r="I90" s="100"/>
      <c r="J90" s="101">
        <f t="shared" si="37"/>
        <v>0</v>
      </c>
      <c r="K90" s="115"/>
      <c r="L90" s="35">
        <f t="shared" ref="L90:Q90" si="49">SUM(L91:L91)</f>
        <v>48960000</v>
      </c>
      <c r="M90" s="34">
        <f t="shared" si="49"/>
        <v>48000000</v>
      </c>
      <c r="N90" s="34">
        <f t="shared" si="49"/>
        <v>48000000</v>
      </c>
      <c r="O90" s="34">
        <f t="shared" si="49"/>
        <v>48000000</v>
      </c>
      <c r="P90" s="269">
        <f t="shared" si="49"/>
        <v>48000000</v>
      </c>
      <c r="Q90" s="280">
        <f t="shared" si="49"/>
        <v>240960000</v>
      </c>
      <c r="R90" s="182" t="s">
        <v>753</v>
      </c>
      <c r="S90" s="183" t="s">
        <v>665</v>
      </c>
      <c r="T90" s="51"/>
      <c r="V90" s="608">
        <f t="shared" si="40"/>
        <v>0</v>
      </c>
    </row>
    <row r="91" spans="1:22" x14ac:dyDescent="0.2">
      <c r="A91" s="95">
        <v>25</v>
      </c>
      <c r="B91" s="108" t="str">
        <f>IF(A91&lt;&gt;0,INDEX(Coûts,'PA-Détails'!A91, 2),)</f>
        <v>Réhabilitation de salle de classe au primaire</v>
      </c>
      <c r="C91" s="51"/>
      <c r="D91" s="94" t="str">
        <f>IF(A91&lt;&gt;0,INDEX(Coûts, 'PA-Détails'!A91, 5),)</f>
        <v>Unité</v>
      </c>
      <c r="E91" s="96">
        <v>5100</v>
      </c>
      <c r="F91" s="100">
        <v>5000</v>
      </c>
      <c r="G91" s="100">
        <v>5000</v>
      </c>
      <c r="H91" s="100">
        <v>5000</v>
      </c>
      <c r="I91" s="100">
        <v>5000</v>
      </c>
      <c r="J91" s="101">
        <f t="shared" si="37"/>
        <v>25100</v>
      </c>
      <c r="K91" s="115">
        <f>IF(A91&lt;&gt;0,INDEX(Coûts, 'PA-Détails'!A91, 3),)</f>
        <v>9600</v>
      </c>
      <c r="L91" s="37">
        <f t="shared" ref="L91:P93" si="50">ROUND(+$K91*E91,0)</f>
        <v>48960000</v>
      </c>
      <c r="M91" s="36">
        <f t="shared" si="50"/>
        <v>48000000</v>
      </c>
      <c r="N91" s="36">
        <f t="shared" si="50"/>
        <v>48000000</v>
      </c>
      <c r="O91" s="36">
        <f t="shared" si="50"/>
        <v>48000000</v>
      </c>
      <c r="P91" s="268">
        <f t="shared" si="50"/>
        <v>48000000</v>
      </c>
      <c r="Q91" s="281">
        <f>SUM(L91:P91)</f>
        <v>240960000</v>
      </c>
      <c r="S91" s="183"/>
      <c r="T91" s="51"/>
      <c r="V91" s="608">
        <f t="shared" si="40"/>
        <v>0</v>
      </c>
    </row>
    <row r="92" spans="1:22" x14ac:dyDescent="0.2">
      <c r="A92" s="14" t="s">
        <v>22</v>
      </c>
      <c r="B92" s="44"/>
      <c r="C92" s="112"/>
      <c r="D92" s="15"/>
      <c r="E92" s="102"/>
      <c r="F92" s="103"/>
      <c r="G92" s="103"/>
      <c r="H92" s="103"/>
      <c r="I92" s="103"/>
      <c r="J92" s="104">
        <f t="shared" si="37"/>
        <v>0</v>
      </c>
      <c r="K92" s="145"/>
      <c r="L92" s="33">
        <f t="shared" si="50"/>
        <v>0</v>
      </c>
      <c r="M92" s="32">
        <f t="shared" si="50"/>
        <v>0</v>
      </c>
      <c r="N92" s="32">
        <f t="shared" si="50"/>
        <v>0</v>
      </c>
      <c r="O92" s="32">
        <f t="shared" si="50"/>
        <v>0</v>
      </c>
      <c r="P92" s="267">
        <f t="shared" si="50"/>
        <v>0</v>
      </c>
      <c r="Q92" s="278">
        <f>SUM(L92:P92)</f>
        <v>0</v>
      </c>
      <c r="R92" s="178"/>
      <c r="S92" s="179"/>
      <c r="T92" s="49">
        <v>1</v>
      </c>
      <c r="V92" s="608">
        <f t="shared" si="40"/>
        <v>0</v>
      </c>
    </row>
    <row r="93" spans="1:22" x14ac:dyDescent="0.2">
      <c r="A93" s="17" t="s">
        <v>23</v>
      </c>
      <c r="B93" s="45"/>
      <c r="C93" s="51" t="s">
        <v>205</v>
      </c>
      <c r="D93" s="18"/>
      <c r="E93" s="97"/>
      <c r="F93" s="98"/>
      <c r="G93" s="98"/>
      <c r="H93" s="98"/>
      <c r="I93" s="98"/>
      <c r="J93" s="99">
        <f t="shared" si="37"/>
        <v>0</v>
      </c>
      <c r="K93" s="116"/>
      <c r="L93" s="35">
        <f t="shared" si="50"/>
        <v>0</v>
      </c>
      <c r="M93" s="34">
        <f t="shared" si="50"/>
        <v>0</v>
      </c>
      <c r="N93" s="34">
        <f t="shared" si="50"/>
        <v>0</v>
      </c>
      <c r="O93" s="34">
        <f t="shared" si="50"/>
        <v>0</v>
      </c>
      <c r="P93" s="269">
        <f t="shared" si="50"/>
        <v>0</v>
      </c>
      <c r="Q93" s="279">
        <f>SUM(L93:P93)</f>
        <v>0</v>
      </c>
      <c r="R93" s="180"/>
      <c r="S93" s="181"/>
      <c r="T93" s="50"/>
      <c r="V93" s="608">
        <f t="shared" si="40"/>
        <v>0</v>
      </c>
    </row>
    <row r="94" spans="1:22" x14ac:dyDescent="0.2">
      <c r="A94" s="20" t="s">
        <v>206</v>
      </c>
      <c r="B94" s="46"/>
      <c r="C94" s="51"/>
      <c r="D94" s="21"/>
      <c r="E94" s="96"/>
      <c r="F94" s="100"/>
      <c r="G94" s="100"/>
      <c r="H94" s="100"/>
      <c r="I94" s="100"/>
      <c r="J94" s="101">
        <f t="shared" si="37"/>
        <v>0</v>
      </c>
      <c r="K94" s="115"/>
      <c r="L94" s="35">
        <f t="shared" ref="L94:Q94" si="51">SUM(L95:L96)</f>
        <v>18900</v>
      </c>
      <c r="M94" s="34">
        <f t="shared" si="51"/>
        <v>37800</v>
      </c>
      <c r="N94" s="34">
        <f t="shared" si="51"/>
        <v>56700</v>
      </c>
      <c r="O94" s="34">
        <f t="shared" si="51"/>
        <v>56700</v>
      </c>
      <c r="P94" s="269">
        <f t="shared" si="51"/>
        <v>56700</v>
      </c>
      <c r="Q94" s="280">
        <f t="shared" si="51"/>
        <v>226800</v>
      </c>
      <c r="R94" s="182" t="s">
        <v>773</v>
      </c>
      <c r="S94" s="183" t="s">
        <v>663</v>
      </c>
      <c r="T94" s="51"/>
      <c r="V94" s="608">
        <f t="shared" si="40"/>
        <v>0</v>
      </c>
    </row>
    <row r="95" spans="1:22" x14ac:dyDescent="0.2">
      <c r="A95" s="95">
        <v>221</v>
      </c>
      <c r="B95" s="108" t="str">
        <f>IF(A95&lt;&gt;0,INDEX(Coûts,'PA-Détails'!A95, 2),)</f>
        <v>Mission en province des services centraux</v>
      </c>
      <c r="C95" s="51"/>
      <c r="D95" s="94" t="str">
        <f>IF(A95&lt;&gt;0,INDEX(Coûts, 'PA-Détails'!A95, 5),)</f>
        <v>P/j</v>
      </c>
      <c r="E95" s="96">
        <f t="shared" ref="E95:I96" si="52">E43</f>
        <v>60</v>
      </c>
      <c r="F95" s="100">
        <f t="shared" si="52"/>
        <v>120</v>
      </c>
      <c r="G95" s="100">
        <f t="shared" si="52"/>
        <v>180</v>
      </c>
      <c r="H95" s="100">
        <f t="shared" si="52"/>
        <v>180</v>
      </c>
      <c r="I95" s="100">
        <f t="shared" si="52"/>
        <v>180</v>
      </c>
      <c r="J95" s="101">
        <f t="shared" si="37"/>
        <v>720</v>
      </c>
      <c r="K95" s="115">
        <f>IF(A95&lt;&gt;0,INDEX(Coûts, 'PA-Détails'!A95, 3),)</f>
        <v>240</v>
      </c>
      <c r="L95" s="37">
        <f t="shared" ref="L95:P96" si="53">ROUND(+$K95*E95,0)</f>
        <v>14400</v>
      </c>
      <c r="M95" s="36">
        <f t="shared" si="53"/>
        <v>28800</v>
      </c>
      <c r="N95" s="36">
        <f t="shared" si="53"/>
        <v>43200</v>
      </c>
      <c r="O95" s="36">
        <f t="shared" si="53"/>
        <v>43200</v>
      </c>
      <c r="P95" s="268">
        <f t="shared" si="53"/>
        <v>43200</v>
      </c>
      <c r="Q95" s="281">
        <f>SUM(L95:P95)</f>
        <v>172800</v>
      </c>
      <c r="S95" s="183"/>
      <c r="T95" s="51"/>
      <c r="V95" s="608">
        <f t="shared" si="40"/>
        <v>0</v>
      </c>
    </row>
    <row r="96" spans="1:22" x14ac:dyDescent="0.2">
      <c r="A96" s="95">
        <v>222</v>
      </c>
      <c r="B96" s="108" t="str">
        <f>IF(A96&lt;&gt;0,INDEX(Coûts,'PA-Détails'!A96, 2),)</f>
        <v>Mission en province des services déconcentrés</v>
      </c>
      <c r="C96" s="51"/>
      <c r="D96" s="94" t="str">
        <f>IF(A96&lt;&gt;0,INDEX(Coûts, 'PA-Détails'!A96, 5),)</f>
        <v>P/j</v>
      </c>
      <c r="E96" s="96">
        <f t="shared" si="52"/>
        <v>90</v>
      </c>
      <c r="F96" s="100">
        <f t="shared" si="52"/>
        <v>180</v>
      </c>
      <c r="G96" s="100">
        <f t="shared" si="52"/>
        <v>270</v>
      </c>
      <c r="H96" s="100">
        <f t="shared" si="52"/>
        <v>270</v>
      </c>
      <c r="I96" s="100">
        <f t="shared" si="52"/>
        <v>270</v>
      </c>
      <c r="J96" s="101">
        <f t="shared" si="37"/>
        <v>1080</v>
      </c>
      <c r="K96" s="115">
        <f>IF(A96&lt;&gt;0,INDEX(Coûts, 'PA-Détails'!A96, 3),)</f>
        <v>50</v>
      </c>
      <c r="L96" s="37">
        <f t="shared" si="53"/>
        <v>4500</v>
      </c>
      <c r="M96" s="36">
        <f t="shared" si="53"/>
        <v>9000</v>
      </c>
      <c r="N96" s="36">
        <f t="shared" si="53"/>
        <v>13500</v>
      </c>
      <c r="O96" s="36">
        <f t="shared" si="53"/>
        <v>13500</v>
      </c>
      <c r="P96" s="268">
        <f t="shared" si="53"/>
        <v>13500</v>
      </c>
      <c r="Q96" s="281">
        <f>SUM(L96:P96)</f>
        <v>54000</v>
      </c>
      <c r="R96" s="182"/>
      <c r="S96" s="183"/>
      <c r="T96" s="51"/>
      <c r="V96" s="608">
        <f t="shared" si="40"/>
        <v>0</v>
      </c>
    </row>
    <row r="97" spans="1:22" x14ac:dyDescent="0.2">
      <c r="A97" s="20" t="s">
        <v>1056</v>
      </c>
      <c r="B97" s="46"/>
      <c r="C97" s="51"/>
      <c r="D97" s="21"/>
      <c r="E97" s="96"/>
      <c r="F97" s="100"/>
      <c r="G97" s="100"/>
      <c r="H97" s="100"/>
      <c r="I97" s="100"/>
      <c r="J97" s="101">
        <f t="shared" si="37"/>
        <v>0</v>
      </c>
      <c r="K97" s="115"/>
      <c r="L97" s="35">
        <f t="shared" ref="L97:Q97" si="54">SUM(L98:L98)</f>
        <v>355592662.01758051</v>
      </c>
      <c r="M97" s="34">
        <f t="shared" si="54"/>
        <v>395245562.16991752</v>
      </c>
      <c r="N97" s="34">
        <f t="shared" si="54"/>
        <v>435726252.83057225</v>
      </c>
      <c r="O97" s="34">
        <f t="shared" si="54"/>
        <v>476723932.95687139</v>
      </c>
      <c r="P97" s="269">
        <f t="shared" si="54"/>
        <v>514659816.96220422</v>
      </c>
      <c r="Q97" s="280">
        <f t="shared" si="54"/>
        <v>2177948226.9371462</v>
      </c>
      <c r="R97" s="182" t="s">
        <v>774</v>
      </c>
      <c r="S97" s="183" t="s">
        <v>663</v>
      </c>
      <c r="T97" s="51"/>
      <c r="V97" s="608">
        <f t="shared" si="40"/>
        <v>0</v>
      </c>
    </row>
    <row r="98" spans="1:22" x14ac:dyDescent="0.2">
      <c r="A98" s="95">
        <v>202</v>
      </c>
      <c r="B98" s="108" t="str">
        <f>IF(A98&lt;&gt;0,INDEX(Coûts,'PA-Détails'!A98, 2),)</f>
        <v>Paiement d'un enseignant primaire</v>
      </c>
      <c r="C98" s="51"/>
      <c r="D98" s="94" t="str">
        <f>IF(A98&lt;&gt;0,INDEX(Coûts, 'PA-Détails'!A98, 5),)</f>
        <v>Salaire/an/p</v>
      </c>
      <c r="E98" s="230">
        <f>[5]Primaire!J400</f>
        <v>242299.66666666666</v>
      </c>
      <c r="F98" s="231">
        <f>[5]Primaire!K400</f>
        <v>249602.33333333334</v>
      </c>
      <c r="G98" s="231">
        <f>[5]Primaire!L400</f>
        <v>256905</v>
      </c>
      <c r="H98" s="231">
        <f>[5]Primaire!M400</f>
        <v>264207.66666666669</v>
      </c>
      <c r="I98" s="231">
        <f>[5]Primaire!N400</f>
        <v>271510.33333333331</v>
      </c>
      <c r="J98" s="232">
        <f t="shared" si="37"/>
        <v>1284525</v>
      </c>
      <c r="K98" s="289">
        <f>Q98/J98</f>
        <v>1695.5280955506091</v>
      </c>
      <c r="L98" s="233">
        <f>[5]Primaire!J$408*E98</f>
        <v>355592662.01758051</v>
      </c>
      <c r="M98" s="234">
        <f>[5]Primaire!K$408*F98</f>
        <v>395245562.16991752</v>
      </c>
      <c r="N98" s="234">
        <f>[5]Primaire!L$408*G98</f>
        <v>435726252.83057225</v>
      </c>
      <c r="O98" s="234">
        <f>[5]Primaire!M$408*H98</f>
        <v>476723932.95687139</v>
      </c>
      <c r="P98" s="272">
        <f>[5]Primaire!N$408*I98</f>
        <v>514659816.96220422</v>
      </c>
      <c r="Q98" s="281">
        <f>SUM(L98:P98)</f>
        <v>2177948226.9371462</v>
      </c>
      <c r="S98" s="183"/>
      <c r="T98" s="51"/>
      <c r="V98" s="608">
        <f t="shared" si="40"/>
        <v>0</v>
      </c>
    </row>
    <row r="99" spans="1:22" x14ac:dyDescent="0.2">
      <c r="A99" s="20" t="s">
        <v>1042</v>
      </c>
      <c r="B99" s="46"/>
      <c r="C99" s="51"/>
      <c r="D99" s="21"/>
      <c r="E99" s="96"/>
      <c r="F99" s="100"/>
      <c r="G99" s="100"/>
      <c r="H99" s="100"/>
      <c r="I99" s="100"/>
      <c r="J99" s="101">
        <f t="shared" si="37"/>
        <v>0</v>
      </c>
      <c r="K99" s="115"/>
      <c r="L99" s="35">
        <f t="shared" ref="L99:Q99" si="55">SUM(L100:L100)</f>
        <v>11868697</v>
      </c>
      <c r="M99" s="34">
        <f t="shared" si="55"/>
        <v>11868697</v>
      </c>
      <c r="N99" s="34">
        <f t="shared" si="55"/>
        <v>11868697</v>
      </c>
      <c r="O99" s="34">
        <f t="shared" si="55"/>
        <v>11868697</v>
      </c>
      <c r="P99" s="269">
        <f t="shared" si="55"/>
        <v>11868697</v>
      </c>
      <c r="Q99" s="280">
        <f t="shared" si="55"/>
        <v>59343485</v>
      </c>
      <c r="R99" s="182" t="s">
        <v>774</v>
      </c>
      <c r="S99" s="183" t="s">
        <v>770</v>
      </c>
      <c r="T99" s="51"/>
      <c r="V99" s="608">
        <f t="shared" si="40"/>
        <v>0</v>
      </c>
    </row>
    <row r="100" spans="1:22" x14ac:dyDescent="0.2">
      <c r="A100" s="95">
        <v>202</v>
      </c>
      <c r="B100" s="108" t="str">
        <f>IF(A100&lt;&gt;0,INDEX(Coûts,'PA-Détails'!A100, 2),)</f>
        <v>Paiement d'un enseignant primaire</v>
      </c>
      <c r="C100" s="51"/>
      <c r="D100" s="94" t="str">
        <f>IF(A100&lt;&gt;0,INDEX(Coûts, 'PA-Détails'!A100, 5),)</f>
        <v>Salaire/an/p</v>
      </c>
      <c r="E100" s="96">
        <v>7000</v>
      </c>
      <c r="F100" s="100">
        <v>7000</v>
      </c>
      <c r="G100" s="100">
        <v>7000</v>
      </c>
      <c r="H100" s="100">
        <v>7000</v>
      </c>
      <c r="I100" s="100">
        <v>7000</v>
      </c>
      <c r="J100" s="101">
        <f t="shared" si="37"/>
        <v>35000</v>
      </c>
      <c r="K100" s="115">
        <f>IF(A100&lt;&gt;0,INDEX(Coûts, 'PA-Détails'!A100, 3),)</f>
        <v>1695.5280955506091</v>
      </c>
      <c r="L100" s="37">
        <f t="shared" ref="L100:P101" si="56">ROUND(+$K100*E100,0)</f>
        <v>11868697</v>
      </c>
      <c r="M100" s="36">
        <f t="shared" si="56"/>
        <v>11868697</v>
      </c>
      <c r="N100" s="36">
        <f t="shared" si="56"/>
        <v>11868697</v>
      </c>
      <c r="O100" s="36">
        <f t="shared" si="56"/>
        <v>11868697</v>
      </c>
      <c r="P100" s="268">
        <f t="shared" si="56"/>
        <v>11868697</v>
      </c>
      <c r="Q100" s="281">
        <f>SUM(L100:P100)</f>
        <v>59343485</v>
      </c>
      <c r="T100" s="51"/>
      <c r="V100" s="608">
        <f t="shared" si="40"/>
        <v>0</v>
      </c>
    </row>
    <row r="101" spans="1:22" x14ac:dyDescent="0.2">
      <c r="A101" s="17" t="s">
        <v>954</v>
      </c>
      <c r="B101" s="45"/>
      <c r="C101" s="51" t="s">
        <v>208</v>
      </c>
      <c r="D101" s="18"/>
      <c r="E101" s="97"/>
      <c r="F101" s="98"/>
      <c r="G101" s="98"/>
      <c r="H101" s="98"/>
      <c r="I101" s="98"/>
      <c r="J101" s="99">
        <f t="shared" si="37"/>
        <v>0</v>
      </c>
      <c r="K101" s="116"/>
      <c r="L101" s="35">
        <f t="shared" si="56"/>
        <v>0</v>
      </c>
      <c r="M101" s="34">
        <f t="shared" si="56"/>
        <v>0</v>
      </c>
      <c r="N101" s="34">
        <f t="shared" si="56"/>
        <v>0</v>
      </c>
      <c r="O101" s="34">
        <f t="shared" si="56"/>
        <v>0</v>
      </c>
      <c r="P101" s="269">
        <f t="shared" si="56"/>
        <v>0</v>
      </c>
      <c r="Q101" s="279">
        <f>SUM(L101:P101)</f>
        <v>0</v>
      </c>
      <c r="R101" s="180"/>
      <c r="S101" s="181"/>
      <c r="T101" s="50"/>
      <c r="V101" s="608">
        <f t="shared" si="40"/>
        <v>0</v>
      </c>
    </row>
    <row r="102" spans="1:22" x14ac:dyDescent="0.2">
      <c r="A102" s="20" t="s">
        <v>668</v>
      </c>
      <c r="B102" s="46"/>
      <c r="C102" s="51"/>
      <c r="D102" s="21"/>
      <c r="E102" s="96"/>
      <c r="F102" s="100"/>
      <c r="G102" s="100"/>
      <c r="H102" s="100"/>
      <c r="I102" s="100"/>
      <c r="J102" s="101">
        <f t="shared" ref="J102:J115" si="57">SUM(E102:I102)</f>
        <v>0</v>
      </c>
      <c r="K102" s="115"/>
      <c r="L102" s="35">
        <f t="shared" ref="L102:Q102" si="58">SUM(L103:L104)</f>
        <v>9900</v>
      </c>
      <c r="M102" s="34">
        <f t="shared" si="58"/>
        <v>19800</v>
      </c>
      <c r="N102" s="34">
        <f t="shared" si="58"/>
        <v>29700</v>
      </c>
      <c r="O102" s="34">
        <f t="shared" si="58"/>
        <v>29700</v>
      </c>
      <c r="P102" s="269">
        <f t="shared" si="58"/>
        <v>29700</v>
      </c>
      <c r="Q102" s="280">
        <f t="shared" si="58"/>
        <v>118800</v>
      </c>
      <c r="R102" s="182" t="s">
        <v>775</v>
      </c>
      <c r="S102" s="183" t="s">
        <v>663</v>
      </c>
      <c r="T102" s="51"/>
      <c r="V102" s="608">
        <f t="shared" si="40"/>
        <v>0</v>
      </c>
    </row>
    <row r="103" spans="1:22" x14ac:dyDescent="0.2">
      <c r="A103" s="95">
        <v>220</v>
      </c>
      <c r="B103" s="108" t="str">
        <f>IF(A103&lt;&gt;0,INDEX(Coûts,'PA-Détails'!A103, 2),)</f>
        <v>Mission à Kinhsasa des services centraux</v>
      </c>
      <c r="C103" s="51"/>
      <c r="D103" s="94" t="str">
        <f>IF(A103&lt;&gt;0,INDEX(Coûts, 'PA-Détails'!A103, 5),)</f>
        <v>P/j</v>
      </c>
      <c r="E103" s="96">
        <v>60</v>
      </c>
      <c r="F103" s="100">
        <v>120</v>
      </c>
      <c r="G103" s="100">
        <v>180</v>
      </c>
      <c r="H103" s="100">
        <v>180</v>
      </c>
      <c r="I103" s="100">
        <v>180</v>
      </c>
      <c r="J103" s="101">
        <f t="shared" si="57"/>
        <v>720</v>
      </c>
      <c r="K103" s="115">
        <f>IF(A103&lt;&gt;0,INDEX(Coûts, 'PA-Détails'!A103, 3),)</f>
        <v>90</v>
      </c>
      <c r="L103" s="37">
        <f t="shared" ref="L103:P104" si="59">ROUND(+$K103*E103,0)</f>
        <v>5400</v>
      </c>
      <c r="M103" s="36">
        <f t="shared" si="59"/>
        <v>10800</v>
      </c>
      <c r="N103" s="36">
        <f t="shared" si="59"/>
        <v>16200</v>
      </c>
      <c r="O103" s="36">
        <f t="shared" si="59"/>
        <v>16200</v>
      </c>
      <c r="P103" s="268">
        <f t="shared" si="59"/>
        <v>16200</v>
      </c>
      <c r="Q103" s="281">
        <f>SUM(L103:P103)</f>
        <v>64800</v>
      </c>
      <c r="R103" s="182"/>
      <c r="S103" s="183"/>
      <c r="T103" s="51"/>
      <c r="V103" s="608">
        <f t="shared" si="40"/>
        <v>0</v>
      </c>
    </row>
    <row r="104" spans="1:22" x14ac:dyDescent="0.2">
      <c r="A104" s="95">
        <v>222</v>
      </c>
      <c r="B104" s="108" t="str">
        <f>IF(A104&lt;&gt;0,INDEX(Coûts,'PA-Détails'!A104, 2),)</f>
        <v>Mission en province des services déconcentrés</v>
      </c>
      <c r="C104" s="51"/>
      <c r="D104" s="94" t="str">
        <f>IF(A104&lt;&gt;0,INDEX(Coûts, 'PA-Détails'!A104, 5),)</f>
        <v>P/j</v>
      </c>
      <c r="E104" s="96">
        <v>90</v>
      </c>
      <c r="F104" s="100">
        <v>180</v>
      </c>
      <c r="G104" s="100">
        <v>270</v>
      </c>
      <c r="H104" s="100">
        <v>270</v>
      </c>
      <c r="I104" s="100">
        <v>270</v>
      </c>
      <c r="J104" s="101">
        <f t="shared" si="57"/>
        <v>1080</v>
      </c>
      <c r="K104" s="115">
        <f>IF(A104&lt;&gt;0,INDEX(Coûts, 'PA-Détails'!A104, 3),)</f>
        <v>50</v>
      </c>
      <c r="L104" s="37">
        <f t="shared" si="59"/>
        <v>4500</v>
      </c>
      <c r="M104" s="36">
        <f t="shared" si="59"/>
        <v>9000</v>
      </c>
      <c r="N104" s="36">
        <f t="shared" si="59"/>
        <v>13500</v>
      </c>
      <c r="O104" s="36">
        <f t="shared" si="59"/>
        <v>13500</v>
      </c>
      <c r="P104" s="268">
        <f t="shared" si="59"/>
        <v>13500</v>
      </c>
      <c r="Q104" s="281">
        <f>SUM(L104:P104)</f>
        <v>54000</v>
      </c>
      <c r="R104" s="182"/>
      <c r="S104" s="183"/>
      <c r="T104" s="51"/>
      <c r="V104" s="608">
        <f t="shared" si="40"/>
        <v>0</v>
      </c>
    </row>
    <row r="105" spans="1:22" x14ac:dyDescent="0.2">
      <c r="A105" s="20" t="s">
        <v>982</v>
      </c>
      <c r="B105" s="46"/>
      <c r="C105" s="51"/>
      <c r="D105" s="21"/>
      <c r="E105" s="114"/>
      <c r="F105" s="100"/>
      <c r="G105" s="100"/>
      <c r="H105" s="100"/>
      <c r="I105" s="100"/>
      <c r="J105" s="101">
        <f t="shared" si="57"/>
        <v>0</v>
      </c>
      <c r="K105" s="115"/>
      <c r="L105" s="35">
        <f t="shared" ref="L105:Q105" si="60">SUM(L106:L106)</f>
        <v>1896000</v>
      </c>
      <c r="M105" s="34">
        <f t="shared" si="60"/>
        <v>1878000</v>
      </c>
      <c r="N105" s="34">
        <f t="shared" si="60"/>
        <v>1878000</v>
      </c>
      <c r="O105" s="34">
        <f t="shared" si="60"/>
        <v>1878000</v>
      </c>
      <c r="P105" s="269">
        <f t="shared" si="60"/>
        <v>1878000</v>
      </c>
      <c r="Q105" s="280">
        <f t="shared" si="60"/>
        <v>9408000</v>
      </c>
      <c r="R105" s="182" t="s">
        <v>774</v>
      </c>
      <c r="S105" s="183" t="s">
        <v>663</v>
      </c>
      <c r="T105" s="51"/>
      <c r="V105" s="608">
        <f t="shared" ref="V105:V136" si="61">SUM(L105:P105)-Q105</f>
        <v>0</v>
      </c>
    </row>
    <row r="106" spans="1:22" x14ac:dyDescent="0.2">
      <c r="A106" s="95">
        <v>225</v>
      </c>
      <c r="B106" s="108" t="str">
        <f>IF(A106&lt;&gt;0,INDEX(Coûts,'PA-Détails'!A106, 2),)</f>
        <v>Subvention pour une école publique à Kinshsasa ou Lubumbashi pour la prise en charge des frais directs de 1ère à 5ème année</v>
      </c>
      <c r="C106" s="51"/>
      <c r="D106" s="94" t="str">
        <f>IF(A106&lt;&gt;0,INDEX(Coûts, 'PA-Détails'!A106, 5),)</f>
        <v>Subvention annuelle/élève</v>
      </c>
      <c r="E106" s="114">
        <v>632000</v>
      </c>
      <c r="F106" s="100">
        <v>626000</v>
      </c>
      <c r="G106" s="100">
        <v>626000</v>
      </c>
      <c r="H106" s="100">
        <v>626000</v>
      </c>
      <c r="I106" s="100">
        <v>626000</v>
      </c>
      <c r="J106" s="101">
        <f t="shared" si="57"/>
        <v>3136000</v>
      </c>
      <c r="K106" s="115">
        <f>IF(A106&lt;&gt;0,INDEX(Coûts, 'PA-Détails'!A106, 3),)</f>
        <v>3</v>
      </c>
      <c r="L106" s="37">
        <f>ROUND(+$K106*E106,0)</f>
        <v>1896000</v>
      </c>
      <c r="M106" s="36">
        <f>ROUND(+$K106*F106,0)</f>
        <v>1878000</v>
      </c>
      <c r="N106" s="36">
        <f>ROUND(+$K106*G106,0)</f>
        <v>1878000</v>
      </c>
      <c r="O106" s="36">
        <f>ROUND(+$K106*H106,0)</f>
        <v>1878000</v>
      </c>
      <c r="P106" s="268">
        <f>ROUND(+$K106*I106,0)</f>
        <v>1878000</v>
      </c>
      <c r="Q106" s="281">
        <f>SUM(L106:P106)</f>
        <v>9408000</v>
      </c>
      <c r="R106" s="182"/>
      <c r="S106" s="183"/>
      <c r="T106" s="51"/>
      <c r="V106" s="608">
        <f t="shared" si="61"/>
        <v>0</v>
      </c>
    </row>
    <row r="107" spans="1:22" x14ac:dyDescent="0.2">
      <c r="A107" s="20" t="s">
        <v>669</v>
      </c>
      <c r="B107" s="46"/>
      <c r="C107" s="51"/>
      <c r="D107" s="21"/>
      <c r="E107" s="114"/>
      <c r="F107" s="100"/>
      <c r="G107" s="100"/>
      <c r="H107" s="100"/>
      <c r="I107" s="100"/>
      <c r="J107" s="101">
        <f t="shared" si="57"/>
        <v>0</v>
      </c>
      <c r="K107" s="115"/>
      <c r="L107" s="35">
        <f t="shared" ref="L107:Q107" si="62">SUM(L108:L108)</f>
        <v>13750000</v>
      </c>
      <c r="M107" s="34">
        <f t="shared" si="62"/>
        <v>13750000</v>
      </c>
      <c r="N107" s="34">
        <f t="shared" si="62"/>
        <v>13750000</v>
      </c>
      <c r="O107" s="34">
        <f t="shared" si="62"/>
        <v>13750000</v>
      </c>
      <c r="P107" s="269">
        <f t="shared" si="62"/>
        <v>13750000</v>
      </c>
      <c r="Q107" s="280">
        <f t="shared" si="62"/>
        <v>68750000</v>
      </c>
      <c r="R107" s="182" t="s">
        <v>774</v>
      </c>
      <c r="S107" s="183" t="s">
        <v>663</v>
      </c>
      <c r="T107" s="51"/>
      <c r="V107" s="608">
        <f t="shared" si="61"/>
        <v>0</v>
      </c>
    </row>
    <row r="108" spans="1:22" ht="12.75" x14ac:dyDescent="0.25">
      <c r="A108" s="95">
        <v>226</v>
      </c>
      <c r="B108" s="108" t="str">
        <f>IF(A108&lt;&gt;0,INDEX(Coûts,'PA-Détails'!A108, 2),)</f>
        <v>Subvention pour prise en charge des frais directs 6ème année</v>
      </c>
      <c r="C108" s="51"/>
      <c r="D108" s="94" t="str">
        <f>IF(A108&lt;&gt;0,INDEX(Coûts, 'PA-Détails'!A108, 5),)</f>
        <v>Subvention annuelle/élève</v>
      </c>
      <c r="E108" s="655">
        <v>1250000</v>
      </c>
      <c r="F108" s="190">
        <v>1250000</v>
      </c>
      <c r="G108" s="190">
        <v>1250000</v>
      </c>
      <c r="H108" s="190">
        <v>1250000</v>
      </c>
      <c r="I108" s="190">
        <v>1250000</v>
      </c>
      <c r="J108" s="191">
        <f t="shared" si="57"/>
        <v>6250000</v>
      </c>
      <c r="K108" s="115">
        <f>IF(A108&lt;&gt;0,INDEX(Coûts, 'PA-Détails'!A108, 3),)</f>
        <v>11</v>
      </c>
      <c r="L108" s="37">
        <f t="shared" ref="L108:P110" si="63">ROUND(+$K108*E108,0)</f>
        <v>13750000</v>
      </c>
      <c r="M108" s="36">
        <f t="shared" si="63"/>
        <v>13750000</v>
      </c>
      <c r="N108" s="36">
        <f t="shared" si="63"/>
        <v>13750000</v>
      </c>
      <c r="O108" s="36">
        <f t="shared" si="63"/>
        <v>13750000</v>
      </c>
      <c r="P108" s="268">
        <f t="shared" si="63"/>
        <v>13750000</v>
      </c>
      <c r="Q108" s="281">
        <f>SUM(L108:P108)</f>
        <v>68750000</v>
      </c>
      <c r="R108" s="182"/>
      <c r="S108" s="183"/>
      <c r="T108" s="51"/>
      <c r="V108" s="608">
        <f t="shared" si="61"/>
        <v>0</v>
      </c>
    </row>
    <row r="109" spans="1:22" x14ac:dyDescent="0.2">
      <c r="A109" s="14" t="s">
        <v>24</v>
      </c>
      <c r="B109" s="44"/>
      <c r="C109" s="112"/>
      <c r="D109" s="15"/>
      <c r="E109" s="102"/>
      <c r="F109" s="103"/>
      <c r="G109" s="103"/>
      <c r="H109" s="103"/>
      <c r="I109" s="103"/>
      <c r="J109" s="104">
        <f t="shared" si="57"/>
        <v>0</v>
      </c>
      <c r="K109" s="145"/>
      <c r="L109" s="33">
        <f t="shared" si="63"/>
        <v>0</v>
      </c>
      <c r="M109" s="32">
        <f t="shared" si="63"/>
        <v>0</v>
      </c>
      <c r="N109" s="32">
        <f t="shared" si="63"/>
        <v>0</v>
      </c>
      <c r="O109" s="32">
        <f t="shared" si="63"/>
        <v>0</v>
      </c>
      <c r="P109" s="267">
        <f t="shared" si="63"/>
        <v>0</v>
      </c>
      <c r="Q109" s="278">
        <f>SUM(L109:P109)</f>
        <v>0</v>
      </c>
      <c r="R109" s="178"/>
      <c r="S109" s="179"/>
      <c r="T109" s="49">
        <v>1</v>
      </c>
      <c r="V109" s="608">
        <f t="shared" si="61"/>
        <v>0</v>
      </c>
    </row>
    <row r="110" spans="1:22" x14ac:dyDescent="0.2">
      <c r="A110" s="17" t="s">
        <v>25</v>
      </c>
      <c r="B110" s="45"/>
      <c r="C110" s="51" t="s">
        <v>212</v>
      </c>
      <c r="D110" s="18"/>
      <c r="E110" s="97"/>
      <c r="F110" s="98"/>
      <c r="G110" s="98"/>
      <c r="H110" s="98"/>
      <c r="I110" s="98"/>
      <c r="J110" s="99">
        <f t="shared" si="57"/>
        <v>0</v>
      </c>
      <c r="K110" s="116"/>
      <c r="L110" s="35">
        <f t="shared" si="63"/>
        <v>0</v>
      </c>
      <c r="M110" s="34">
        <f t="shared" si="63"/>
        <v>0</v>
      </c>
      <c r="N110" s="34">
        <f t="shared" si="63"/>
        <v>0</v>
      </c>
      <c r="O110" s="34">
        <f t="shared" si="63"/>
        <v>0</v>
      </c>
      <c r="P110" s="269">
        <f t="shared" si="63"/>
        <v>0</v>
      </c>
      <c r="Q110" s="279">
        <f>SUM(L110:P110)</f>
        <v>0</v>
      </c>
      <c r="R110" s="180"/>
      <c r="S110" s="181"/>
      <c r="T110" s="50"/>
      <c r="V110" s="608">
        <f t="shared" si="61"/>
        <v>0</v>
      </c>
    </row>
    <row r="111" spans="1:22" x14ac:dyDescent="0.2">
      <c r="A111" s="20" t="s">
        <v>649</v>
      </c>
      <c r="B111" s="46"/>
      <c r="C111" s="51"/>
      <c r="D111" s="21"/>
      <c r="E111" s="96"/>
      <c r="F111" s="100"/>
      <c r="G111" s="100"/>
      <c r="H111" s="100"/>
      <c r="I111" s="100"/>
      <c r="J111" s="101">
        <f t="shared" si="57"/>
        <v>0</v>
      </c>
      <c r="K111" s="115"/>
      <c r="L111" s="35">
        <f t="shared" ref="L111:Q111" si="64">SUM(L112:L113)</f>
        <v>20966384</v>
      </c>
      <c r="M111" s="34">
        <f t="shared" si="64"/>
        <v>21316912</v>
      </c>
      <c r="N111" s="34">
        <f t="shared" si="64"/>
        <v>24667440</v>
      </c>
      <c r="O111" s="34">
        <f t="shared" si="64"/>
        <v>25017968</v>
      </c>
      <c r="P111" s="269">
        <f t="shared" si="64"/>
        <v>25368496</v>
      </c>
      <c r="Q111" s="280">
        <f t="shared" si="64"/>
        <v>117337200</v>
      </c>
      <c r="R111" s="182" t="s">
        <v>776</v>
      </c>
      <c r="S111" s="183" t="s">
        <v>665</v>
      </c>
      <c r="T111" s="51"/>
      <c r="V111" s="608">
        <f t="shared" si="61"/>
        <v>0</v>
      </c>
    </row>
    <row r="112" spans="1:22" x14ac:dyDescent="0.2">
      <c r="A112" s="95">
        <v>203</v>
      </c>
      <c r="B112" s="108" t="str">
        <f>IF(A112&lt;&gt;0,INDEX(Coûts,'PA-Détails'!A112, 2),)</f>
        <v>Prime pour enseignant primaire en zone isolée</v>
      </c>
      <c r="C112" s="51"/>
      <c r="D112" s="94" t="str">
        <f>IF(A112&lt;&gt;0,INDEX(Coûts, 'PA-Détails'!A112, 5),)</f>
        <v>Prime/an/p</v>
      </c>
      <c r="E112" s="114">
        <f>(E98+E100)*0.1</f>
        <v>24929.966666666667</v>
      </c>
      <c r="F112" s="188">
        <f>(F98+F100)*0.1</f>
        <v>25660.233333333337</v>
      </c>
      <c r="G112" s="188">
        <f>(G98+G100)*0.1</f>
        <v>26390.5</v>
      </c>
      <c r="H112" s="188">
        <f>(H98+H100)*0.1</f>
        <v>27120.76666666667</v>
      </c>
      <c r="I112" s="188">
        <f>(I98+I100)*0.1</f>
        <v>27851.033333333333</v>
      </c>
      <c r="J112" s="101">
        <f t="shared" si="57"/>
        <v>131952.5</v>
      </c>
      <c r="K112" s="115">
        <f>IF(A112&lt;&gt;0,INDEX(Coûts, 'PA-Détails'!A112, 3),)</f>
        <v>480</v>
      </c>
      <c r="L112" s="37">
        <f t="shared" ref="L112:P114" si="65">ROUND(+$K112*E112,0)</f>
        <v>11966384</v>
      </c>
      <c r="M112" s="36">
        <f t="shared" si="65"/>
        <v>12316912</v>
      </c>
      <c r="N112" s="36">
        <f t="shared" si="65"/>
        <v>12667440</v>
      </c>
      <c r="O112" s="36">
        <f t="shared" si="65"/>
        <v>13017968</v>
      </c>
      <c r="P112" s="268">
        <f t="shared" si="65"/>
        <v>13368496</v>
      </c>
      <c r="Q112" s="281">
        <f>SUM(L112:P112)</f>
        <v>63337200</v>
      </c>
      <c r="S112" s="183"/>
      <c r="T112" s="51"/>
      <c r="V112" s="608">
        <f t="shared" si="61"/>
        <v>0</v>
      </c>
    </row>
    <row r="113" spans="1:26" x14ac:dyDescent="0.2">
      <c r="A113" s="95">
        <v>17</v>
      </c>
      <c r="B113" s="108" t="str">
        <f>IF(A113&lt;&gt;0,INDEX(Coûts,'PA-Détails'!A113, 2),)</f>
        <v>Construction d'un logement pour enseignant en zone difficile</v>
      </c>
      <c r="C113" s="51"/>
      <c r="D113" s="94" t="str">
        <f>IF(A113&lt;&gt;0,INDEX(Coûts, 'PA-Détails'!A113, 5),)</f>
        <v>Forfait</v>
      </c>
      <c r="E113" s="114">
        <v>300</v>
      </c>
      <c r="F113" s="188">
        <v>300</v>
      </c>
      <c r="G113" s="188">
        <v>400</v>
      </c>
      <c r="H113" s="188">
        <v>400</v>
      </c>
      <c r="I113" s="188">
        <v>400</v>
      </c>
      <c r="J113" s="101">
        <f t="shared" si="57"/>
        <v>1800</v>
      </c>
      <c r="K113" s="115">
        <f>IF(A113&lt;&gt;0,INDEX(Coûts, 'PA-Détails'!A113, 3),)</f>
        <v>30000</v>
      </c>
      <c r="L113" s="37">
        <f t="shared" si="65"/>
        <v>9000000</v>
      </c>
      <c r="M113" s="36">
        <f t="shared" si="65"/>
        <v>9000000</v>
      </c>
      <c r="N113" s="36">
        <f t="shared" si="65"/>
        <v>12000000</v>
      </c>
      <c r="O113" s="36">
        <f t="shared" si="65"/>
        <v>12000000</v>
      </c>
      <c r="P113" s="268">
        <f t="shared" si="65"/>
        <v>12000000</v>
      </c>
      <c r="Q113" s="281">
        <f>SUM(L113:P113)</f>
        <v>54000000</v>
      </c>
      <c r="R113" s="182"/>
      <c r="S113" s="183"/>
      <c r="T113" s="51"/>
      <c r="V113" s="608">
        <f t="shared" si="61"/>
        <v>0</v>
      </c>
    </row>
    <row r="114" spans="1:26" x14ac:dyDescent="0.2">
      <c r="A114" s="17" t="s">
        <v>26</v>
      </c>
      <c r="B114" s="45"/>
      <c r="C114" s="51" t="s">
        <v>216</v>
      </c>
      <c r="D114" s="18"/>
      <c r="E114" s="97"/>
      <c r="F114" s="98"/>
      <c r="G114" s="98"/>
      <c r="H114" s="98"/>
      <c r="I114" s="98"/>
      <c r="J114" s="99">
        <f t="shared" si="57"/>
        <v>0</v>
      </c>
      <c r="K114" s="116"/>
      <c r="L114" s="35">
        <f t="shared" si="65"/>
        <v>0</v>
      </c>
      <c r="M114" s="34">
        <f t="shared" si="65"/>
        <v>0</v>
      </c>
      <c r="N114" s="34">
        <f t="shared" si="65"/>
        <v>0</v>
      </c>
      <c r="O114" s="34">
        <f t="shared" si="65"/>
        <v>0</v>
      </c>
      <c r="P114" s="269">
        <f t="shared" si="65"/>
        <v>0</v>
      </c>
      <c r="Q114" s="279">
        <f>SUM(L114:P114)</f>
        <v>0</v>
      </c>
      <c r="R114" s="180"/>
      <c r="S114" s="181"/>
      <c r="T114" s="50"/>
      <c r="V114" s="608">
        <f t="shared" si="61"/>
        <v>0</v>
      </c>
    </row>
    <row r="115" spans="1:26" s="162" customFormat="1" x14ac:dyDescent="0.2">
      <c r="A115" s="123" t="s">
        <v>1043</v>
      </c>
      <c r="B115" s="202"/>
      <c r="C115" s="153"/>
      <c r="D115" s="203"/>
      <c r="E115" s="96"/>
      <c r="F115" s="100"/>
      <c r="G115" s="100"/>
      <c r="H115" s="100"/>
      <c r="I115" s="100"/>
      <c r="J115" s="101">
        <f t="shared" si="57"/>
        <v>0</v>
      </c>
      <c r="K115" s="94"/>
      <c r="L115" s="161">
        <f t="shared" ref="L115:Q115" si="66">SUM(L116:L120)</f>
        <v>94500</v>
      </c>
      <c r="M115" s="157">
        <f t="shared" si="66"/>
        <v>26250</v>
      </c>
      <c r="N115" s="157">
        <f t="shared" si="66"/>
        <v>0</v>
      </c>
      <c r="O115" s="157">
        <f t="shared" si="66"/>
        <v>0</v>
      </c>
      <c r="P115" s="270">
        <f t="shared" si="66"/>
        <v>0</v>
      </c>
      <c r="Q115" s="282">
        <f t="shared" si="66"/>
        <v>120750</v>
      </c>
      <c r="R115" s="223" t="s">
        <v>754</v>
      </c>
      <c r="S115" s="224"/>
      <c r="T115" s="153"/>
      <c r="U115" s="653"/>
      <c r="V115" s="608">
        <f t="shared" si="61"/>
        <v>0</v>
      </c>
      <c r="W115" s="572"/>
      <c r="X115" s="572"/>
      <c r="Y115" s="572"/>
      <c r="Z115" s="572"/>
    </row>
    <row r="116" spans="1:26" s="162" customFormat="1" x14ac:dyDescent="0.2">
      <c r="A116" s="95">
        <v>1</v>
      </c>
      <c r="B116" s="163" t="str">
        <f>IF(A116&lt;&gt;0,INDEX(Coûts,'PA-Détails'!A116, 2),)</f>
        <v>Assistance technique internationale (consultants)</v>
      </c>
      <c r="C116" s="153"/>
      <c r="D116" s="94" t="str">
        <f>IF(A116&lt;&gt;0,INDEX(Coûts, 'PA-Détails'!A116, 5),)</f>
        <v>Pers / j</v>
      </c>
      <c r="E116" s="114">
        <v>5</v>
      </c>
      <c r="F116" s="188"/>
      <c r="G116" s="188"/>
      <c r="H116" s="188"/>
      <c r="I116" s="188"/>
      <c r="J116" s="101"/>
      <c r="K116" s="94">
        <f>IF(A116&lt;&gt;0,INDEX(Coûts, 'PA-Détails'!A116, 3),)</f>
        <v>1150</v>
      </c>
      <c r="L116" s="167">
        <f t="shared" ref="L116:P122" si="67">ROUND(+$K116*E116,0)</f>
        <v>5750</v>
      </c>
      <c r="M116" s="168">
        <f t="shared" si="67"/>
        <v>0</v>
      </c>
      <c r="N116" s="168">
        <f t="shared" si="67"/>
        <v>0</v>
      </c>
      <c r="O116" s="168">
        <f t="shared" si="67"/>
        <v>0</v>
      </c>
      <c r="P116" s="271">
        <f t="shared" si="67"/>
        <v>0</v>
      </c>
      <c r="Q116" s="283">
        <f t="shared" ref="Q116:Q122" si="68">SUM(L116:P116)</f>
        <v>5750</v>
      </c>
      <c r="R116" s="223"/>
      <c r="S116" s="224"/>
      <c r="T116" s="153"/>
      <c r="U116" s="653"/>
      <c r="V116" s="608">
        <f t="shared" si="61"/>
        <v>0</v>
      </c>
      <c r="W116" s="572"/>
      <c r="X116" s="572"/>
      <c r="Y116" s="572"/>
      <c r="Z116" s="572"/>
    </row>
    <row r="117" spans="1:26" s="162" customFormat="1" x14ac:dyDescent="0.2">
      <c r="A117" s="95">
        <v>2</v>
      </c>
      <c r="B117" s="163" t="str">
        <f>IF(A117&lt;&gt;0,INDEX(Coûts,'PA-Détails'!A117, 2),)</f>
        <v>Assistance technique nationale (consultants)</v>
      </c>
      <c r="C117" s="153"/>
      <c r="D117" s="94" t="str">
        <f>IF(A117&lt;&gt;0,INDEX(Coûts, 'PA-Détails'!A117, 5),)</f>
        <v>Pers / j</v>
      </c>
      <c r="E117" s="114">
        <v>25</v>
      </c>
      <c r="F117" s="188"/>
      <c r="G117" s="188"/>
      <c r="H117" s="188"/>
      <c r="I117" s="188"/>
      <c r="J117" s="101"/>
      <c r="K117" s="94">
        <f>IF(A117&lt;&gt;0,INDEX(Coûts, 'PA-Détails'!A117, 3),)</f>
        <v>300</v>
      </c>
      <c r="L117" s="167">
        <f t="shared" si="67"/>
        <v>7500</v>
      </c>
      <c r="M117" s="168">
        <f t="shared" si="67"/>
        <v>0</v>
      </c>
      <c r="N117" s="168">
        <f t="shared" si="67"/>
        <v>0</v>
      </c>
      <c r="O117" s="168">
        <f t="shared" si="67"/>
        <v>0</v>
      </c>
      <c r="P117" s="271">
        <f t="shared" si="67"/>
        <v>0</v>
      </c>
      <c r="Q117" s="283">
        <f t="shared" si="68"/>
        <v>7500</v>
      </c>
      <c r="R117" s="223"/>
      <c r="S117" s="224"/>
      <c r="T117" s="153"/>
      <c r="U117" s="653"/>
      <c r="V117" s="608">
        <f t="shared" si="61"/>
        <v>0</v>
      </c>
      <c r="W117" s="572"/>
      <c r="X117" s="572"/>
      <c r="Y117" s="572"/>
      <c r="Z117" s="572"/>
    </row>
    <row r="118" spans="1:26" s="162" customFormat="1" x14ac:dyDescent="0.2">
      <c r="A118" s="95">
        <v>5</v>
      </c>
      <c r="B118" s="163" t="str">
        <f>IF(A118&lt;&gt;0,INDEX(Coûts,'PA-Détails'!A118, 2),)</f>
        <v>Atelier de validation</v>
      </c>
      <c r="C118" s="153"/>
      <c r="D118" s="94" t="str">
        <f>IF(A118&lt;&gt;0,INDEX(Coûts, 'PA-Détails'!A118, 5),)</f>
        <v>Pers / j</v>
      </c>
      <c r="E118" s="114">
        <v>50</v>
      </c>
      <c r="F118" s="188"/>
      <c r="G118" s="188"/>
      <c r="H118" s="188"/>
      <c r="I118" s="188"/>
      <c r="J118" s="101"/>
      <c r="K118" s="94">
        <f>IF(A118&lt;&gt;0,INDEX(Coûts, 'PA-Détails'!A118, 3),)</f>
        <v>50</v>
      </c>
      <c r="L118" s="167">
        <f t="shared" si="67"/>
        <v>2500</v>
      </c>
      <c r="M118" s="168">
        <f t="shared" si="67"/>
        <v>0</v>
      </c>
      <c r="N118" s="168">
        <f t="shared" si="67"/>
        <v>0</v>
      </c>
      <c r="O118" s="168">
        <f t="shared" si="67"/>
        <v>0</v>
      </c>
      <c r="P118" s="271">
        <f t="shared" si="67"/>
        <v>0</v>
      </c>
      <c r="Q118" s="283">
        <f t="shared" si="68"/>
        <v>2500</v>
      </c>
      <c r="R118" s="223"/>
      <c r="S118" s="224"/>
      <c r="T118" s="153"/>
      <c r="U118" s="653"/>
      <c r="V118" s="608">
        <f t="shared" si="61"/>
        <v>0</v>
      </c>
      <c r="W118" s="572"/>
      <c r="X118" s="572"/>
      <c r="Y118" s="572"/>
      <c r="Z118" s="572"/>
    </row>
    <row r="119" spans="1:26" s="162" customFormat="1" x14ac:dyDescent="0.2">
      <c r="A119" s="95">
        <v>12</v>
      </c>
      <c r="B119" s="163" t="str">
        <f>IF(A119&lt;&gt;0,INDEX(Coûts,'PA-Détails'!A119, 2),)</f>
        <v>Formation - Action et Formation de formateurs</v>
      </c>
      <c r="C119" s="153"/>
      <c r="D119" s="94" t="str">
        <f>IF(A119&lt;&gt;0,INDEX(Coûts, 'PA-Détails'!A119, 5),)</f>
        <v>Pers / j</v>
      </c>
      <c r="E119" s="114">
        <f>E120*5</f>
        <v>175</v>
      </c>
      <c r="F119" s="188">
        <f>+E119</f>
        <v>175</v>
      </c>
      <c r="G119" s="188"/>
      <c r="H119" s="188"/>
      <c r="I119" s="188"/>
      <c r="J119" s="101"/>
      <c r="K119" s="94">
        <f>IF(A119&lt;&gt;0,INDEX(Coûts, 'PA-Détails'!A119, 3),)</f>
        <v>150</v>
      </c>
      <c r="L119" s="167">
        <f t="shared" si="67"/>
        <v>26250</v>
      </c>
      <c r="M119" s="168">
        <f t="shared" si="67"/>
        <v>26250</v>
      </c>
      <c r="N119" s="168">
        <f t="shared" si="67"/>
        <v>0</v>
      </c>
      <c r="O119" s="168">
        <f t="shared" si="67"/>
        <v>0</v>
      </c>
      <c r="P119" s="271">
        <f t="shared" si="67"/>
        <v>0</v>
      </c>
      <c r="Q119" s="283">
        <f t="shared" si="68"/>
        <v>52500</v>
      </c>
      <c r="R119" s="223"/>
      <c r="S119" s="224"/>
      <c r="T119" s="153"/>
      <c r="U119" s="653"/>
      <c r="V119" s="608">
        <f t="shared" si="61"/>
        <v>0</v>
      </c>
      <c r="W119" s="572"/>
      <c r="X119" s="572"/>
      <c r="Y119" s="572"/>
      <c r="Z119" s="572"/>
    </row>
    <row r="120" spans="1:26" s="162" customFormat="1" x14ac:dyDescent="0.2">
      <c r="A120" s="95">
        <v>45</v>
      </c>
      <c r="B120" s="163" t="str">
        <f>IF(A120&lt;&gt;0,INDEX(Coûts,'PA-Détails'!A120, 2),)</f>
        <v>Équipement informatique (lot PC, logiciel,  imprimante, photocopieuse, scanner)</v>
      </c>
      <c r="C120" s="153"/>
      <c r="D120" s="94" t="str">
        <f>IF(A120&lt;&gt;0,INDEX(Coûts, 'PA-Détails'!A120, 5),)</f>
        <v>Forfait</v>
      </c>
      <c r="E120" s="114">
        <v>35</v>
      </c>
      <c r="F120" s="188"/>
      <c r="G120" s="188"/>
      <c r="H120" s="188"/>
      <c r="I120" s="188"/>
      <c r="J120" s="101"/>
      <c r="K120" s="94">
        <f>IF(A120&lt;&gt;0,INDEX(Coûts, 'PA-Détails'!A120, 3),)</f>
        <v>1500</v>
      </c>
      <c r="L120" s="167">
        <f t="shared" si="67"/>
        <v>52500</v>
      </c>
      <c r="M120" s="168">
        <f t="shared" si="67"/>
        <v>0</v>
      </c>
      <c r="N120" s="168">
        <f t="shared" si="67"/>
        <v>0</v>
      </c>
      <c r="O120" s="168">
        <f t="shared" si="67"/>
        <v>0</v>
      </c>
      <c r="P120" s="271">
        <f t="shared" si="67"/>
        <v>0</v>
      </c>
      <c r="Q120" s="283">
        <f t="shared" si="68"/>
        <v>52500</v>
      </c>
      <c r="R120" s="223"/>
      <c r="S120" s="224"/>
      <c r="T120" s="153"/>
      <c r="U120" s="653"/>
      <c r="V120" s="608">
        <f t="shared" si="61"/>
        <v>0</v>
      </c>
      <c r="W120" s="572"/>
      <c r="X120" s="572"/>
      <c r="Y120" s="572"/>
      <c r="Z120" s="572"/>
    </row>
    <row r="121" spans="1:26" x14ac:dyDescent="0.2">
      <c r="A121" s="14" t="s">
        <v>27</v>
      </c>
      <c r="B121" s="44"/>
      <c r="C121" s="112"/>
      <c r="D121" s="15"/>
      <c r="E121" s="102"/>
      <c r="F121" s="103"/>
      <c r="G121" s="103"/>
      <c r="H121" s="103"/>
      <c r="I121" s="103"/>
      <c r="J121" s="104">
        <f>SUM(E121:I121)</f>
        <v>0</v>
      </c>
      <c r="K121" s="145"/>
      <c r="L121" s="33">
        <f t="shared" si="67"/>
        <v>0</v>
      </c>
      <c r="M121" s="32">
        <f t="shared" si="67"/>
        <v>0</v>
      </c>
      <c r="N121" s="32">
        <f t="shared" si="67"/>
        <v>0</v>
      </c>
      <c r="O121" s="32">
        <f t="shared" si="67"/>
        <v>0</v>
      </c>
      <c r="P121" s="267">
        <f t="shared" si="67"/>
        <v>0</v>
      </c>
      <c r="Q121" s="278">
        <f t="shared" si="68"/>
        <v>0</v>
      </c>
      <c r="R121" s="178"/>
      <c r="S121" s="179"/>
      <c r="T121" s="49">
        <v>1</v>
      </c>
      <c r="V121" s="608">
        <f t="shared" si="61"/>
        <v>0</v>
      </c>
    </row>
    <row r="122" spans="1:26" x14ac:dyDescent="0.2">
      <c r="A122" s="17" t="s">
        <v>28</v>
      </c>
      <c r="B122" s="45"/>
      <c r="C122" s="51" t="s">
        <v>662</v>
      </c>
      <c r="D122" s="18"/>
      <c r="E122" s="97"/>
      <c r="F122" s="98"/>
      <c r="G122" s="98"/>
      <c r="H122" s="98"/>
      <c r="I122" s="98"/>
      <c r="J122" s="99">
        <f>SUM(E122:I122)</f>
        <v>0</v>
      </c>
      <c r="K122" s="116"/>
      <c r="L122" s="35">
        <f t="shared" si="67"/>
        <v>0</v>
      </c>
      <c r="M122" s="34">
        <f t="shared" si="67"/>
        <v>0</v>
      </c>
      <c r="N122" s="34">
        <f t="shared" si="67"/>
        <v>0</v>
      </c>
      <c r="O122" s="34">
        <f t="shared" si="67"/>
        <v>0</v>
      </c>
      <c r="P122" s="269">
        <f t="shared" si="67"/>
        <v>0</v>
      </c>
      <c r="Q122" s="279">
        <f t="shared" si="68"/>
        <v>0</v>
      </c>
      <c r="R122" s="180"/>
      <c r="S122" s="181"/>
      <c r="T122" s="50"/>
      <c r="V122" s="608">
        <f t="shared" si="61"/>
        <v>0</v>
      </c>
    </row>
    <row r="123" spans="1:26" x14ac:dyDescent="0.2">
      <c r="A123" s="20" t="s">
        <v>1044</v>
      </c>
      <c r="B123" s="46"/>
      <c r="C123" s="51"/>
      <c r="D123" s="21"/>
      <c r="E123" s="96"/>
      <c r="F123" s="100"/>
      <c r="G123" s="100"/>
      <c r="H123" s="100"/>
      <c r="I123" s="100"/>
      <c r="J123" s="101">
        <f>SUM(E123:I123)</f>
        <v>0</v>
      </c>
      <c r="K123" s="115"/>
      <c r="L123" s="35">
        <f t="shared" ref="L123:Q123" si="69">SUM(L124:L125)</f>
        <v>4500</v>
      </c>
      <c r="M123" s="34">
        <f t="shared" si="69"/>
        <v>0</v>
      </c>
      <c r="N123" s="34">
        <f t="shared" si="69"/>
        <v>0</v>
      </c>
      <c r="O123" s="34">
        <f t="shared" si="69"/>
        <v>0</v>
      </c>
      <c r="P123" s="269">
        <f t="shared" si="69"/>
        <v>0</v>
      </c>
      <c r="Q123" s="280">
        <f t="shared" si="69"/>
        <v>4500</v>
      </c>
      <c r="R123" s="182" t="s">
        <v>777</v>
      </c>
      <c r="S123" s="183" t="s">
        <v>665</v>
      </c>
      <c r="T123" s="51"/>
      <c r="V123" s="608">
        <f t="shared" si="61"/>
        <v>0</v>
      </c>
    </row>
    <row r="124" spans="1:26" x14ac:dyDescent="0.2">
      <c r="A124" s="95">
        <v>2</v>
      </c>
      <c r="B124" s="108" t="str">
        <f>IF(A124&lt;&gt;0,INDEX(Coûts,'PA-Détails'!A124, 2),)</f>
        <v>Assistance technique nationale (consultants)</v>
      </c>
      <c r="C124" s="51"/>
      <c r="D124" s="94" t="str">
        <f>IF(A124&lt;&gt;0,INDEX(Coûts, 'PA-Détails'!A124, 5),)</f>
        <v>Pers / j</v>
      </c>
      <c r="E124" s="114">
        <v>10</v>
      </c>
      <c r="F124" s="188"/>
      <c r="G124" s="188"/>
      <c r="H124" s="188"/>
      <c r="I124" s="188"/>
      <c r="J124" s="101">
        <f>E124</f>
        <v>10</v>
      </c>
      <c r="K124" s="115">
        <f>IF(A124&lt;&gt;0,INDEX(Coûts, 'PA-Détails'!A124, 3),)</f>
        <v>300</v>
      </c>
      <c r="L124" s="37">
        <f t="shared" ref="L124:P125" si="70">ROUND(+$K124*E124,0)</f>
        <v>3000</v>
      </c>
      <c r="M124" s="36">
        <f t="shared" si="70"/>
        <v>0</v>
      </c>
      <c r="N124" s="36">
        <f t="shared" si="70"/>
        <v>0</v>
      </c>
      <c r="O124" s="36">
        <f t="shared" si="70"/>
        <v>0</v>
      </c>
      <c r="P124" s="268">
        <f t="shared" si="70"/>
        <v>0</v>
      </c>
      <c r="Q124" s="281">
        <f>SUM(L124:P124)</f>
        <v>3000</v>
      </c>
      <c r="R124" s="182"/>
      <c r="S124" s="183"/>
      <c r="T124" s="51"/>
      <c r="V124" s="608">
        <f t="shared" si="61"/>
        <v>0</v>
      </c>
    </row>
    <row r="125" spans="1:26" x14ac:dyDescent="0.2">
      <c r="A125" s="95">
        <v>5</v>
      </c>
      <c r="B125" s="108" t="str">
        <f>IF(A125&lt;&gt;0,INDEX(Coûts,'PA-Détails'!A125, 2),)</f>
        <v>Atelier de validation</v>
      </c>
      <c r="C125" s="51"/>
      <c r="D125" s="94" t="str">
        <f>IF(A125&lt;&gt;0,INDEX(Coûts, 'PA-Détails'!A125, 5),)</f>
        <v>Pers / j</v>
      </c>
      <c r="E125" s="114">
        <v>30</v>
      </c>
      <c r="F125" s="188"/>
      <c r="G125" s="188"/>
      <c r="H125" s="188"/>
      <c r="I125" s="188"/>
      <c r="J125" s="101">
        <f>E125</f>
        <v>30</v>
      </c>
      <c r="K125" s="115">
        <f>IF(A125&lt;&gt;0,INDEX(Coûts, 'PA-Détails'!A125, 3),)</f>
        <v>50</v>
      </c>
      <c r="L125" s="37">
        <f t="shared" si="70"/>
        <v>1500</v>
      </c>
      <c r="M125" s="36">
        <f t="shared" si="70"/>
        <v>0</v>
      </c>
      <c r="N125" s="36">
        <f t="shared" si="70"/>
        <v>0</v>
      </c>
      <c r="O125" s="36">
        <f t="shared" si="70"/>
        <v>0</v>
      </c>
      <c r="P125" s="268">
        <f t="shared" si="70"/>
        <v>0</v>
      </c>
      <c r="Q125" s="281">
        <f>SUM(L125:P125)</f>
        <v>1500</v>
      </c>
      <c r="R125" s="182"/>
      <c r="S125" s="183"/>
      <c r="T125" s="51"/>
      <c r="V125" s="608">
        <f t="shared" si="61"/>
        <v>0</v>
      </c>
    </row>
    <row r="126" spans="1:26" x14ac:dyDescent="0.2">
      <c r="A126" s="20" t="s">
        <v>673</v>
      </c>
      <c r="B126" s="46"/>
      <c r="C126" s="51"/>
      <c r="D126" s="21"/>
      <c r="E126" s="96"/>
      <c r="F126" s="100"/>
      <c r="G126" s="100"/>
      <c r="H126" s="100"/>
      <c r="I126" s="100"/>
      <c r="J126" s="101">
        <f>SUM(E126:I126)</f>
        <v>0</v>
      </c>
      <c r="K126" s="115"/>
      <c r="L126" s="35">
        <f t="shared" ref="L126:Q126" si="71">SUM(L127:L129)</f>
        <v>0</v>
      </c>
      <c r="M126" s="34">
        <f t="shared" si="71"/>
        <v>296000</v>
      </c>
      <c r="N126" s="34">
        <f t="shared" si="71"/>
        <v>296000</v>
      </c>
      <c r="O126" s="34">
        <f t="shared" si="71"/>
        <v>287000</v>
      </c>
      <c r="P126" s="269">
        <f t="shared" si="71"/>
        <v>287000</v>
      </c>
      <c r="Q126" s="280">
        <f t="shared" si="71"/>
        <v>1166000</v>
      </c>
      <c r="R126" s="182" t="s">
        <v>777</v>
      </c>
      <c r="S126" s="183" t="s">
        <v>665</v>
      </c>
      <c r="T126" s="51"/>
      <c r="V126" s="608">
        <f t="shared" si="61"/>
        <v>0</v>
      </c>
    </row>
    <row r="127" spans="1:26" x14ac:dyDescent="0.2">
      <c r="A127" s="95">
        <v>12</v>
      </c>
      <c r="B127" s="108" t="str">
        <f>IF(A127&lt;&gt;0,INDEX(Coûts,'PA-Détails'!A127, 2),)</f>
        <v>Formation - Action et Formation de formateurs</v>
      </c>
      <c r="C127" s="51"/>
      <c r="D127" s="94" t="str">
        <f>IF(A127&lt;&gt;0,INDEX(Coûts, 'PA-Détails'!A127, 5),)</f>
        <v>Pers / j</v>
      </c>
      <c r="E127" s="114"/>
      <c r="F127" s="188">
        <v>60</v>
      </c>
      <c r="G127" s="188">
        <v>60</v>
      </c>
      <c r="H127" s="188"/>
      <c r="I127" s="188"/>
      <c r="J127" s="101"/>
      <c r="K127" s="115">
        <f>IF(A127&lt;&gt;0,INDEX(Coûts, 'PA-Détails'!A127, 3),)</f>
        <v>150</v>
      </c>
      <c r="L127" s="37">
        <f t="shared" ref="L127:P130" si="72">ROUND(+$K127*E127,0)</f>
        <v>0</v>
      </c>
      <c r="M127" s="36">
        <f t="shared" si="72"/>
        <v>9000</v>
      </c>
      <c r="N127" s="36">
        <f t="shared" si="72"/>
        <v>9000</v>
      </c>
      <c r="O127" s="36">
        <f t="shared" si="72"/>
        <v>0</v>
      </c>
      <c r="P127" s="268">
        <f t="shared" si="72"/>
        <v>0</v>
      </c>
      <c r="Q127" s="281">
        <f>SUM(L127:P127)</f>
        <v>18000</v>
      </c>
      <c r="R127" s="182"/>
      <c r="S127" s="183"/>
      <c r="T127" s="51"/>
      <c r="V127" s="608">
        <f t="shared" si="61"/>
        <v>0</v>
      </c>
    </row>
    <row r="128" spans="1:26" x14ac:dyDescent="0.2">
      <c r="A128" s="95">
        <v>13</v>
      </c>
      <c r="B128" s="108" t="str">
        <f>IF(A128&lt;&gt;0,INDEX(Coûts,'PA-Détails'!A128, 2),)</f>
        <v>Formation au niveau local</v>
      </c>
      <c r="C128" s="51"/>
      <c r="D128" s="94" t="str">
        <f>IF(A128&lt;&gt;0,INDEX(Coûts, 'PA-Détails'!A128, 5),)</f>
        <v>Pers / j</v>
      </c>
      <c r="E128" s="114"/>
      <c r="F128" s="188">
        <v>466.66666666666669</v>
      </c>
      <c r="G128" s="188">
        <v>466.66666666666669</v>
      </c>
      <c r="H128" s="188">
        <v>466.66666666666669</v>
      </c>
      <c r="I128" s="188">
        <v>466.66666666666669</v>
      </c>
      <c r="J128" s="101">
        <f>F128+G128+H128+I128</f>
        <v>1866.6666666666667</v>
      </c>
      <c r="K128" s="115">
        <f>IF(A128&lt;&gt;0,INDEX(Coûts, 'PA-Détails'!A128, 3),)</f>
        <v>15</v>
      </c>
      <c r="L128" s="37">
        <f t="shared" si="72"/>
        <v>0</v>
      </c>
      <c r="M128" s="36">
        <f t="shared" si="72"/>
        <v>7000</v>
      </c>
      <c r="N128" s="36">
        <f t="shared" si="72"/>
        <v>7000</v>
      </c>
      <c r="O128" s="36">
        <f t="shared" si="72"/>
        <v>7000</v>
      </c>
      <c r="P128" s="268">
        <f t="shared" si="72"/>
        <v>7000</v>
      </c>
      <c r="Q128" s="281">
        <f>SUM(L128:P128)</f>
        <v>28000</v>
      </c>
      <c r="R128" s="182"/>
      <c r="S128" s="183"/>
      <c r="T128" s="51"/>
      <c r="V128" s="608">
        <f t="shared" si="61"/>
        <v>0</v>
      </c>
    </row>
    <row r="129" spans="1:26" x14ac:dyDescent="0.2">
      <c r="A129" s="95">
        <v>136</v>
      </c>
      <c r="B129" s="108" t="str">
        <f>IF(A129&lt;&gt;0,INDEX(Coûts,'PA-Détails'!A129, 2),)</f>
        <v>Fonds de roulement pour coopérative scolaire</v>
      </c>
      <c r="C129" s="51"/>
      <c r="D129" s="94" t="str">
        <f>IF(A129&lt;&gt;0,INDEX(Coûts, 'PA-Détails'!A129, 5),)</f>
        <v>Forfait</v>
      </c>
      <c r="E129" s="114"/>
      <c r="F129" s="188">
        <v>1400</v>
      </c>
      <c r="G129" s="188">
        <v>1400</v>
      </c>
      <c r="H129" s="188">
        <v>1400</v>
      </c>
      <c r="I129" s="188">
        <v>1400</v>
      </c>
      <c r="J129" s="101">
        <f>F129+G129+H129+I129</f>
        <v>5600</v>
      </c>
      <c r="K129" s="115">
        <f>IF(A129&lt;&gt;0,INDEX(Coûts, 'PA-Détails'!A129, 3),)</f>
        <v>200</v>
      </c>
      <c r="L129" s="37">
        <f t="shared" si="72"/>
        <v>0</v>
      </c>
      <c r="M129" s="36">
        <f t="shared" si="72"/>
        <v>280000</v>
      </c>
      <c r="N129" s="36">
        <f t="shared" si="72"/>
        <v>280000</v>
      </c>
      <c r="O129" s="36">
        <f t="shared" si="72"/>
        <v>280000</v>
      </c>
      <c r="P129" s="268">
        <f t="shared" si="72"/>
        <v>280000</v>
      </c>
      <c r="Q129" s="281">
        <f>SUM(L129:P129)</f>
        <v>1120000</v>
      </c>
      <c r="R129" s="182"/>
      <c r="S129" s="183"/>
      <c r="T129" s="51"/>
      <c r="V129" s="608">
        <f t="shared" si="61"/>
        <v>0</v>
      </c>
    </row>
    <row r="130" spans="1:26" x14ac:dyDescent="0.2">
      <c r="A130" s="17" t="s">
        <v>29</v>
      </c>
      <c r="B130" s="45"/>
      <c r="C130" s="51" t="s">
        <v>263</v>
      </c>
      <c r="D130" s="18"/>
      <c r="E130" s="97"/>
      <c r="F130" s="98"/>
      <c r="G130" s="98"/>
      <c r="H130" s="98"/>
      <c r="I130" s="98"/>
      <c r="J130" s="99">
        <f>SUM(E130:I130)</f>
        <v>0</v>
      </c>
      <c r="K130" s="116"/>
      <c r="L130" s="35">
        <f t="shared" si="72"/>
        <v>0</v>
      </c>
      <c r="M130" s="34">
        <f t="shared" si="72"/>
        <v>0</v>
      </c>
      <c r="N130" s="34">
        <f t="shared" si="72"/>
        <v>0</v>
      </c>
      <c r="O130" s="34">
        <f t="shared" si="72"/>
        <v>0</v>
      </c>
      <c r="P130" s="269">
        <f t="shared" si="72"/>
        <v>0</v>
      </c>
      <c r="Q130" s="279">
        <f>SUM(L130:P130)</f>
        <v>0</v>
      </c>
      <c r="R130" s="180"/>
      <c r="S130" s="181"/>
      <c r="T130" s="50"/>
      <c r="V130" s="608">
        <f t="shared" si="61"/>
        <v>0</v>
      </c>
    </row>
    <row r="131" spans="1:26" x14ac:dyDescent="0.2">
      <c r="A131" s="20" t="s">
        <v>1045</v>
      </c>
      <c r="B131" s="46"/>
      <c r="C131" s="51"/>
      <c r="D131" s="21"/>
      <c r="E131" s="96"/>
      <c r="F131" s="100"/>
      <c r="G131" s="100"/>
      <c r="H131" s="100"/>
      <c r="I131" s="100"/>
      <c r="J131" s="101">
        <f>SUM(E131:I131)</f>
        <v>0</v>
      </c>
      <c r="K131" s="115"/>
      <c r="L131" s="35">
        <f t="shared" ref="L131:Q131" si="73">SUM(L132:L135)</f>
        <v>0</v>
      </c>
      <c r="M131" s="34">
        <f t="shared" si="73"/>
        <v>0</v>
      </c>
      <c r="N131" s="34">
        <f t="shared" si="73"/>
        <v>37400</v>
      </c>
      <c r="O131" s="34">
        <f t="shared" si="73"/>
        <v>0</v>
      </c>
      <c r="P131" s="269">
        <f t="shared" si="73"/>
        <v>0</v>
      </c>
      <c r="Q131" s="280">
        <f t="shared" si="73"/>
        <v>37400</v>
      </c>
      <c r="R131" s="182" t="s">
        <v>778</v>
      </c>
      <c r="S131" s="183" t="s">
        <v>665</v>
      </c>
      <c r="T131" s="51"/>
      <c r="V131" s="608">
        <f t="shared" si="61"/>
        <v>0</v>
      </c>
    </row>
    <row r="132" spans="1:26" x14ac:dyDescent="0.2">
      <c r="A132" s="95">
        <v>1</v>
      </c>
      <c r="B132" s="108" t="str">
        <f>IF(A132&lt;&gt;0,INDEX(Coûts,'PA-Détails'!A132, 2),)</f>
        <v>Assistance technique internationale (consultants)</v>
      </c>
      <c r="C132" s="51"/>
      <c r="D132" s="94" t="str">
        <f>IF(A132&lt;&gt;0,INDEX(Coûts, 'PA-Détails'!A132, 5),)</f>
        <v>Pers / j</v>
      </c>
      <c r="E132" s="96"/>
      <c r="F132" s="188"/>
      <c r="G132" s="188">
        <v>20</v>
      </c>
      <c r="H132" s="188"/>
      <c r="I132" s="188"/>
      <c r="J132" s="101"/>
      <c r="K132" s="115">
        <f>IF(A132&lt;&gt;0,INDEX(Coûts, 'PA-Détails'!A132, 3),)</f>
        <v>1150</v>
      </c>
      <c r="L132" s="37">
        <f t="shared" ref="L132:P135" si="74">ROUND(+$K132*E132,0)</f>
        <v>0</v>
      </c>
      <c r="M132" s="36">
        <f t="shared" si="74"/>
        <v>0</v>
      </c>
      <c r="N132" s="36">
        <f t="shared" si="74"/>
        <v>23000</v>
      </c>
      <c r="O132" s="36">
        <f t="shared" si="74"/>
        <v>0</v>
      </c>
      <c r="P132" s="268">
        <f t="shared" si="74"/>
        <v>0</v>
      </c>
      <c r="Q132" s="281">
        <f>SUM(L132:P132)</f>
        <v>23000</v>
      </c>
      <c r="R132" s="182"/>
      <c r="S132" s="183"/>
      <c r="T132" s="51"/>
      <c r="V132" s="608">
        <f t="shared" si="61"/>
        <v>0</v>
      </c>
    </row>
    <row r="133" spans="1:26" x14ac:dyDescent="0.2">
      <c r="A133" s="95">
        <v>2</v>
      </c>
      <c r="B133" s="108" t="str">
        <f>IF(A133&lt;&gt;0,INDEX(Coûts,'PA-Détails'!A133, 2),)</f>
        <v>Assistance technique nationale (consultants)</v>
      </c>
      <c r="C133" s="51"/>
      <c r="D133" s="94" t="str">
        <f>IF(A133&lt;&gt;0,INDEX(Coûts, 'PA-Détails'!A133, 5),)</f>
        <v>Pers / j</v>
      </c>
      <c r="E133" s="96"/>
      <c r="F133" s="188"/>
      <c r="G133" s="188">
        <v>20</v>
      </c>
      <c r="H133" s="188"/>
      <c r="I133" s="188"/>
      <c r="J133" s="101"/>
      <c r="K133" s="115">
        <f>IF(A133&lt;&gt;0,INDEX(Coûts, 'PA-Détails'!A133, 3),)</f>
        <v>300</v>
      </c>
      <c r="L133" s="37">
        <f t="shared" si="74"/>
        <v>0</v>
      </c>
      <c r="M133" s="36">
        <f t="shared" si="74"/>
        <v>0</v>
      </c>
      <c r="N133" s="36">
        <f t="shared" si="74"/>
        <v>6000</v>
      </c>
      <c r="O133" s="36">
        <f t="shared" si="74"/>
        <v>0</v>
      </c>
      <c r="P133" s="268">
        <f t="shared" si="74"/>
        <v>0</v>
      </c>
      <c r="Q133" s="281">
        <f>SUM(L133:P133)</f>
        <v>6000</v>
      </c>
      <c r="R133" s="182"/>
      <c r="S133" s="183"/>
      <c r="T133" s="51"/>
      <c r="V133" s="608">
        <f t="shared" si="61"/>
        <v>0</v>
      </c>
    </row>
    <row r="134" spans="1:26" x14ac:dyDescent="0.2">
      <c r="A134" s="95">
        <v>10</v>
      </c>
      <c r="B134" s="108" t="str">
        <f>IF(A134&lt;&gt;0,INDEX(Coûts,'PA-Détails'!A134, 2),)</f>
        <v>Voyage d'études et autres missions à l'étranger (Jumelage et echange d'expérience)</v>
      </c>
      <c r="C134" s="51"/>
      <c r="D134" s="94" t="str">
        <f>IF(A134&lt;&gt;0,INDEX(Coûts, 'PA-Détails'!A134, 5),)</f>
        <v>Pers / j</v>
      </c>
      <c r="E134" s="96"/>
      <c r="F134" s="188"/>
      <c r="G134" s="188">
        <v>10</v>
      </c>
      <c r="H134" s="188"/>
      <c r="I134" s="188"/>
      <c r="J134" s="101"/>
      <c r="K134" s="115">
        <f>IF(A134&lt;&gt;0,INDEX(Coûts, 'PA-Détails'!A134, 3),)</f>
        <v>590</v>
      </c>
      <c r="L134" s="37">
        <f t="shared" si="74"/>
        <v>0</v>
      </c>
      <c r="M134" s="36">
        <f t="shared" si="74"/>
        <v>0</v>
      </c>
      <c r="N134" s="36">
        <f t="shared" si="74"/>
        <v>5900</v>
      </c>
      <c r="O134" s="36">
        <f t="shared" si="74"/>
        <v>0</v>
      </c>
      <c r="P134" s="268">
        <f t="shared" si="74"/>
        <v>0</v>
      </c>
      <c r="Q134" s="281">
        <f>SUM(L134:P134)</f>
        <v>5900</v>
      </c>
      <c r="R134" s="182"/>
      <c r="S134" s="183"/>
      <c r="T134" s="51"/>
      <c r="V134" s="608">
        <f t="shared" si="61"/>
        <v>0</v>
      </c>
    </row>
    <row r="135" spans="1:26" x14ac:dyDescent="0.2">
      <c r="A135" s="95">
        <v>5</v>
      </c>
      <c r="B135" s="108" t="str">
        <f>IF(A135&lt;&gt;0,INDEX(Coûts,'PA-Détails'!A135, 2),)</f>
        <v>Atelier de validation</v>
      </c>
      <c r="C135" s="51"/>
      <c r="D135" s="94" t="str">
        <f>IF(A135&lt;&gt;0,INDEX(Coûts, 'PA-Détails'!A135, 5),)</f>
        <v>Pers / j</v>
      </c>
      <c r="E135" s="96"/>
      <c r="F135" s="188"/>
      <c r="G135" s="188">
        <v>50</v>
      </c>
      <c r="H135" s="188"/>
      <c r="I135" s="188"/>
      <c r="J135" s="101"/>
      <c r="K135" s="115">
        <f>IF(A135&lt;&gt;0,INDEX(Coûts, 'PA-Détails'!A135, 3),)</f>
        <v>50</v>
      </c>
      <c r="L135" s="37">
        <f t="shared" si="74"/>
        <v>0</v>
      </c>
      <c r="M135" s="36">
        <f t="shared" si="74"/>
        <v>0</v>
      </c>
      <c r="N135" s="36">
        <f t="shared" si="74"/>
        <v>2500</v>
      </c>
      <c r="O135" s="36">
        <f t="shared" si="74"/>
        <v>0</v>
      </c>
      <c r="P135" s="268">
        <f t="shared" si="74"/>
        <v>0</v>
      </c>
      <c r="Q135" s="281">
        <f>SUM(L135:P135)</f>
        <v>2500</v>
      </c>
      <c r="R135" s="182"/>
      <c r="S135" s="183"/>
      <c r="T135" s="51"/>
      <c r="V135" s="608">
        <f t="shared" si="61"/>
        <v>0</v>
      </c>
    </row>
    <row r="136" spans="1:26" x14ac:dyDescent="0.2">
      <c r="A136" s="20" t="s">
        <v>676</v>
      </c>
      <c r="B136" s="108"/>
      <c r="C136" s="192"/>
      <c r="D136" s="94"/>
      <c r="E136" s="96"/>
      <c r="F136" s="188"/>
      <c r="G136" s="188"/>
      <c r="H136" s="188"/>
      <c r="I136" s="188"/>
      <c r="J136" s="101"/>
      <c r="K136" s="115"/>
      <c r="L136" s="35">
        <f t="shared" ref="L136:Q136" si="75">SUM(L137:L137)</f>
        <v>0</v>
      </c>
      <c r="M136" s="34">
        <f t="shared" si="75"/>
        <v>0</v>
      </c>
      <c r="N136" s="34">
        <f t="shared" si="75"/>
        <v>0</v>
      </c>
      <c r="O136" s="34">
        <f t="shared" si="75"/>
        <v>2500000</v>
      </c>
      <c r="P136" s="269">
        <f t="shared" si="75"/>
        <v>5000000</v>
      </c>
      <c r="Q136" s="280">
        <f t="shared" si="75"/>
        <v>7500000</v>
      </c>
      <c r="R136" s="182" t="s">
        <v>777</v>
      </c>
      <c r="S136" s="183" t="s">
        <v>679</v>
      </c>
      <c r="T136" s="51"/>
      <c r="V136" s="608">
        <f t="shared" si="61"/>
        <v>0</v>
      </c>
    </row>
    <row r="137" spans="1:26" x14ac:dyDescent="0.2">
      <c r="A137" s="95">
        <v>246</v>
      </c>
      <c r="B137" s="108" t="str">
        <f>IF(A137&lt;&gt;0,INDEX(Coûts,'PA-Détails'!A137, 2),)</f>
        <v>Subvention aux cantines scolaires</v>
      </c>
      <c r="C137" s="51"/>
      <c r="D137" s="94" t="str">
        <f>IF(A137&lt;&gt;0,INDEX(Coûts, 'PA-Détails'!A137, 5),)</f>
        <v>Forfait</v>
      </c>
      <c r="E137" s="96"/>
      <c r="F137" s="188"/>
      <c r="G137" s="188"/>
      <c r="H137" s="188">
        <v>500</v>
      </c>
      <c r="I137" s="188">
        <f>H137+500</f>
        <v>1000</v>
      </c>
      <c r="J137" s="101">
        <f>H137+I137</f>
        <v>1500</v>
      </c>
      <c r="K137" s="115">
        <f>IF(A137&lt;&gt;0,INDEX(Coûts, 'PA-Détails'!A137, 3),)</f>
        <v>5000</v>
      </c>
      <c r="L137" s="37">
        <f t="shared" ref="L137:P138" si="76">ROUND(+$K137*E137,0)</f>
        <v>0</v>
      </c>
      <c r="M137" s="36">
        <f t="shared" si="76"/>
        <v>0</v>
      </c>
      <c r="N137" s="36">
        <f t="shared" si="76"/>
        <v>0</v>
      </c>
      <c r="O137" s="36">
        <f t="shared" si="76"/>
        <v>2500000</v>
      </c>
      <c r="P137" s="268">
        <f t="shared" si="76"/>
        <v>5000000</v>
      </c>
      <c r="Q137" s="281">
        <f>SUM(L137:P137)</f>
        <v>7500000</v>
      </c>
      <c r="R137" s="182"/>
      <c r="S137" s="183"/>
      <c r="T137" s="51"/>
      <c r="V137" s="608">
        <f t="shared" ref="V137:V169" si="77">SUM(L137:P137)-Q137</f>
        <v>0</v>
      </c>
    </row>
    <row r="138" spans="1:26" s="162" customFormat="1" x14ac:dyDescent="0.2">
      <c r="A138" s="122" t="s">
        <v>30</v>
      </c>
      <c r="B138" s="152"/>
      <c r="C138" s="162" t="s">
        <v>264</v>
      </c>
      <c r="D138" s="155"/>
      <c r="E138" s="97"/>
      <c r="F138" s="98"/>
      <c r="G138" s="98"/>
      <c r="H138" s="98"/>
      <c r="I138" s="98"/>
      <c r="J138" s="99">
        <f t="shared" ref="J138:J144" si="78">SUM(E138:I138)</f>
        <v>0</v>
      </c>
      <c r="K138" s="208"/>
      <c r="L138" s="161">
        <f t="shared" si="76"/>
        <v>0</v>
      </c>
      <c r="M138" s="157">
        <f t="shared" si="76"/>
        <v>0</v>
      </c>
      <c r="N138" s="157">
        <f t="shared" si="76"/>
        <v>0</v>
      </c>
      <c r="O138" s="157">
        <f t="shared" si="76"/>
        <v>0</v>
      </c>
      <c r="P138" s="270">
        <f t="shared" si="76"/>
        <v>0</v>
      </c>
      <c r="Q138" s="284">
        <f>SUM(L138:P138)</f>
        <v>0</v>
      </c>
      <c r="R138" s="200"/>
      <c r="S138" s="201"/>
      <c r="T138" s="154"/>
      <c r="U138" s="653"/>
      <c r="V138" s="608">
        <f t="shared" si="77"/>
        <v>0</v>
      </c>
      <c r="W138" s="572"/>
      <c r="X138" s="572"/>
      <c r="Y138" s="572"/>
      <c r="Z138" s="572"/>
    </row>
    <row r="139" spans="1:26" s="162" customFormat="1" x14ac:dyDescent="0.2">
      <c r="A139" s="123" t="s">
        <v>789</v>
      </c>
      <c r="B139" s="202"/>
      <c r="C139" s="153"/>
      <c r="D139" s="203"/>
      <c r="E139" s="96"/>
      <c r="F139" s="100"/>
      <c r="G139" s="100"/>
      <c r="H139" s="100"/>
      <c r="I139" s="100"/>
      <c r="J139" s="101">
        <f t="shared" si="78"/>
        <v>0</v>
      </c>
      <c r="K139" s="94"/>
      <c r="L139" s="35">
        <f t="shared" ref="L139:Q139" si="79">SUM(L140:L140)</f>
        <v>3000</v>
      </c>
      <c r="M139" s="34">
        <f t="shared" si="79"/>
        <v>0</v>
      </c>
      <c r="N139" s="34">
        <f t="shared" si="79"/>
        <v>0</v>
      </c>
      <c r="O139" s="34">
        <f t="shared" si="79"/>
        <v>0</v>
      </c>
      <c r="P139" s="269">
        <f t="shared" si="79"/>
        <v>0</v>
      </c>
      <c r="Q139" s="280">
        <f t="shared" si="79"/>
        <v>3000</v>
      </c>
      <c r="R139" s="223" t="s">
        <v>778</v>
      </c>
      <c r="S139" s="224" t="s">
        <v>665</v>
      </c>
      <c r="T139" s="153"/>
      <c r="U139" s="653"/>
      <c r="V139" s="608">
        <f t="shared" si="77"/>
        <v>0</v>
      </c>
      <c r="W139" s="572"/>
      <c r="X139" s="572"/>
      <c r="Y139" s="572"/>
      <c r="Z139" s="572"/>
    </row>
    <row r="140" spans="1:26" x14ac:dyDescent="0.2">
      <c r="A140" s="95">
        <v>2</v>
      </c>
      <c r="B140" s="108" t="str">
        <f>IF(A140&lt;&gt;0,INDEX(Coûts,'PA-Détails'!A140, 2),)</f>
        <v>Assistance technique nationale (consultants)</v>
      </c>
      <c r="C140" s="51"/>
      <c r="D140" s="94" t="str">
        <f>IF(A140&lt;&gt;0,INDEX(Coûts, 'PA-Détails'!A140, 5),)</f>
        <v>Pers / j</v>
      </c>
      <c r="E140" s="96">
        <v>10</v>
      </c>
      <c r="F140" s="188"/>
      <c r="G140" s="188"/>
      <c r="H140" s="188"/>
      <c r="I140" s="188"/>
      <c r="J140" s="101">
        <f t="shared" si="78"/>
        <v>10</v>
      </c>
      <c r="K140" s="115">
        <f>IF(A140&lt;&gt;0,INDEX(Coûts, 'PA-Détails'!A140, 3),)</f>
        <v>300</v>
      </c>
      <c r="L140" s="37">
        <f>ROUND(+$K140*E140,0)</f>
        <v>3000</v>
      </c>
      <c r="M140" s="36">
        <f>ROUND(+$K140*F140,0)</f>
        <v>0</v>
      </c>
      <c r="N140" s="36">
        <f>ROUND(+$K140*G140,0)</f>
        <v>0</v>
      </c>
      <c r="O140" s="36">
        <f>ROUND(+$K140*H140,0)</f>
        <v>0</v>
      </c>
      <c r="P140" s="268">
        <f>ROUND(+$K140*I140,0)</f>
        <v>0</v>
      </c>
      <c r="Q140" s="283">
        <f>SUM(L140:P140)</f>
        <v>3000</v>
      </c>
      <c r="R140" s="182"/>
      <c r="S140" s="183"/>
      <c r="T140" s="51"/>
      <c r="V140" s="608">
        <f t="shared" si="77"/>
        <v>0</v>
      </c>
    </row>
    <row r="141" spans="1:26" s="162" customFormat="1" x14ac:dyDescent="0.2">
      <c r="A141" s="123" t="s">
        <v>790</v>
      </c>
      <c r="B141" s="202"/>
      <c r="C141" s="153"/>
      <c r="D141" s="203"/>
      <c r="E141" s="96"/>
      <c r="F141" s="100"/>
      <c r="G141" s="100"/>
      <c r="H141" s="100"/>
      <c r="I141" s="100"/>
      <c r="J141" s="101">
        <f t="shared" si="78"/>
        <v>0</v>
      </c>
      <c r="K141" s="94"/>
      <c r="L141" s="35">
        <f t="shared" ref="L141:Q141" si="80">SUM(L142:L142)</f>
        <v>0</v>
      </c>
      <c r="M141" s="34">
        <f t="shared" si="80"/>
        <v>836674</v>
      </c>
      <c r="N141" s="34">
        <f t="shared" si="80"/>
        <v>1673348</v>
      </c>
      <c r="O141" s="34">
        <f t="shared" si="80"/>
        <v>2510023</v>
      </c>
      <c r="P141" s="269">
        <f t="shared" si="80"/>
        <v>3346697</v>
      </c>
      <c r="Q141" s="280">
        <f t="shared" si="80"/>
        <v>8366742</v>
      </c>
      <c r="R141" s="223" t="s">
        <v>778</v>
      </c>
      <c r="S141" s="224" t="s">
        <v>665</v>
      </c>
      <c r="T141" s="153"/>
      <c r="U141" s="653"/>
      <c r="V141" s="608">
        <f t="shared" si="77"/>
        <v>0</v>
      </c>
      <c r="W141" s="572"/>
      <c r="X141" s="572"/>
      <c r="Y141" s="572"/>
      <c r="Z141" s="572"/>
    </row>
    <row r="142" spans="1:26" x14ac:dyDescent="0.2">
      <c r="A142" s="95">
        <v>224</v>
      </c>
      <c r="B142" s="108" t="str">
        <f>IF(A142&lt;&gt;0,INDEX(Coûts,'PA-Détails'!A142, 2),)</f>
        <v xml:space="preserve">Allocation pour la scolarisation d'un élève au primaire </v>
      </c>
      <c r="C142" s="51"/>
      <c r="D142" s="94" t="str">
        <f>IF(A142&lt;&gt;0,INDEX(Coûts, 'PA-Détails'!A142, 5),)</f>
        <v>Subvention annuelle/élève</v>
      </c>
      <c r="E142" s="96"/>
      <c r="F142" s="188">
        <v>167334.83333333334</v>
      </c>
      <c r="G142" s="188">
        <v>334669.66666666669</v>
      </c>
      <c r="H142" s="188">
        <v>502004.5</v>
      </c>
      <c r="I142" s="188">
        <v>669339.33333333337</v>
      </c>
      <c r="J142" s="101">
        <f t="shared" si="78"/>
        <v>1673348.3333333335</v>
      </c>
      <c r="K142" s="115">
        <f>IF(A142&lt;&gt;0,INDEX(Coûts, 'PA-Détails'!A142, 3),)</f>
        <v>5</v>
      </c>
      <c r="L142" s="37">
        <f t="shared" ref="L142:P143" si="81">ROUND(+$K142*E142,0)</f>
        <v>0</v>
      </c>
      <c r="M142" s="36">
        <f t="shared" si="81"/>
        <v>836674</v>
      </c>
      <c r="N142" s="36">
        <f t="shared" si="81"/>
        <v>1673348</v>
      </c>
      <c r="O142" s="36">
        <f t="shared" si="81"/>
        <v>2510023</v>
      </c>
      <c r="P142" s="268">
        <f t="shared" si="81"/>
        <v>3346697</v>
      </c>
      <c r="Q142" s="283">
        <f>SUM(L142:P142)</f>
        <v>8366742</v>
      </c>
      <c r="R142" s="182"/>
      <c r="S142" s="183"/>
      <c r="T142" s="51"/>
      <c r="V142" s="608">
        <f t="shared" si="77"/>
        <v>0</v>
      </c>
    </row>
    <row r="143" spans="1:26" x14ac:dyDescent="0.2">
      <c r="A143" s="17" t="s">
        <v>31</v>
      </c>
      <c r="B143" s="45"/>
      <c r="C143" s="329" t="s">
        <v>265</v>
      </c>
      <c r="D143" s="18"/>
      <c r="E143" s="97"/>
      <c r="F143" s="98"/>
      <c r="G143" s="98"/>
      <c r="H143" s="98"/>
      <c r="I143" s="98"/>
      <c r="J143" s="99">
        <f t="shared" si="78"/>
        <v>0</v>
      </c>
      <c r="K143" s="116"/>
      <c r="L143" s="35">
        <f t="shared" si="81"/>
        <v>0</v>
      </c>
      <c r="M143" s="34">
        <f t="shared" si="81"/>
        <v>0</v>
      </c>
      <c r="N143" s="34">
        <f t="shared" si="81"/>
        <v>0</v>
      </c>
      <c r="O143" s="34">
        <f t="shared" si="81"/>
        <v>0</v>
      </c>
      <c r="P143" s="269">
        <f t="shared" si="81"/>
        <v>0</v>
      </c>
      <c r="Q143" s="279">
        <f>SUM(L143:P143)</f>
        <v>0</v>
      </c>
      <c r="R143" s="180"/>
      <c r="S143" s="181"/>
      <c r="T143" s="50"/>
      <c r="V143" s="608">
        <f t="shared" si="77"/>
        <v>0</v>
      </c>
    </row>
    <row r="144" spans="1:26" x14ac:dyDescent="0.2">
      <c r="A144" s="20" t="s">
        <v>1599</v>
      </c>
      <c r="B144" s="46"/>
      <c r="C144" s="51"/>
      <c r="D144" s="21"/>
      <c r="E144" s="96"/>
      <c r="F144" s="100"/>
      <c r="G144" s="100"/>
      <c r="H144" s="100"/>
      <c r="I144" s="100"/>
      <c r="J144" s="101">
        <f t="shared" si="78"/>
        <v>0</v>
      </c>
      <c r="K144" s="115"/>
      <c r="L144" s="35">
        <f t="shared" ref="L144:Q144" si="82">SUM(L145:L147)</f>
        <v>26250</v>
      </c>
      <c r="M144" s="34">
        <f t="shared" si="82"/>
        <v>0</v>
      </c>
      <c r="N144" s="34">
        <f t="shared" si="82"/>
        <v>0</v>
      </c>
      <c r="O144" s="34">
        <f t="shared" si="82"/>
        <v>0</v>
      </c>
      <c r="P144" s="269">
        <f t="shared" si="82"/>
        <v>0</v>
      </c>
      <c r="Q144" s="280">
        <f t="shared" si="82"/>
        <v>26250</v>
      </c>
      <c r="R144" s="182" t="s">
        <v>754</v>
      </c>
      <c r="S144" s="183" t="s">
        <v>665</v>
      </c>
      <c r="T144" s="51"/>
      <c r="V144" s="608">
        <f t="shared" si="77"/>
        <v>0</v>
      </c>
    </row>
    <row r="145" spans="1:22" x14ac:dyDescent="0.2">
      <c r="A145" s="95">
        <v>1</v>
      </c>
      <c r="B145" s="108" t="str">
        <f>IF(A145&lt;&gt;0,INDEX(Coûts,'PA-Détails'!A145, 2),)</f>
        <v>Assistance technique internationale (consultants)</v>
      </c>
      <c r="C145" s="51"/>
      <c r="D145" s="94" t="str">
        <f>IF(A145&lt;&gt;0,INDEX(Coûts, 'PA-Détails'!A145, 5),)</f>
        <v>Pers / j</v>
      </c>
      <c r="E145" s="96">
        <v>15</v>
      </c>
      <c r="F145" s="188"/>
      <c r="G145" s="188"/>
      <c r="H145" s="188"/>
      <c r="I145" s="188"/>
      <c r="J145" s="101"/>
      <c r="K145" s="115">
        <f>IF(A145&lt;&gt;0,INDEX(Coûts, 'PA-Détails'!A145, 3),)</f>
        <v>1150</v>
      </c>
      <c r="L145" s="37">
        <f t="shared" ref="L145:P147" si="83">ROUND(+$K145*E145,0)</f>
        <v>17250</v>
      </c>
      <c r="M145" s="36">
        <f t="shared" si="83"/>
        <v>0</v>
      </c>
      <c r="N145" s="36">
        <f t="shared" si="83"/>
        <v>0</v>
      </c>
      <c r="O145" s="36">
        <f t="shared" si="83"/>
        <v>0</v>
      </c>
      <c r="P145" s="268">
        <f t="shared" si="83"/>
        <v>0</v>
      </c>
      <c r="Q145" s="281">
        <f>SUM(L145:P145)</f>
        <v>17250</v>
      </c>
      <c r="R145" s="182"/>
      <c r="S145" s="183"/>
      <c r="T145" s="51"/>
      <c r="V145" s="608">
        <f t="shared" si="77"/>
        <v>0</v>
      </c>
    </row>
    <row r="146" spans="1:22" x14ac:dyDescent="0.2">
      <c r="A146" s="95">
        <v>2</v>
      </c>
      <c r="B146" s="108" t="str">
        <f>IF(A146&lt;&gt;0,INDEX(Coûts,'PA-Détails'!A146, 2),)</f>
        <v>Assistance technique nationale (consultants)</v>
      </c>
      <c r="C146" s="51"/>
      <c r="D146" s="94" t="str">
        <f>IF(A146&lt;&gt;0,INDEX(Coûts, 'PA-Détails'!A146, 5),)</f>
        <v>Pers / j</v>
      </c>
      <c r="E146" s="96">
        <v>20</v>
      </c>
      <c r="F146" s="188"/>
      <c r="G146" s="188"/>
      <c r="H146" s="188"/>
      <c r="I146" s="188"/>
      <c r="J146" s="101"/>
      <c r="K146" s="115">
        <f>IF(A146&lt;&gt;0,INDEX(Coûts, 'PA-Détails'!A146, 3),)</f>
        <v>300</v>
      </c>
      <c r="L146" s="37">
        <f t="shared" si="83"/>
        <v>6000</v>
      </c>
      <c r="M146" s="36">
        <f t="shared" si="83"/>
        <v>0</v>
      </c>
      <c r="N146" s="36">
        <f t="shared" si="83"/>
        <v>0</v>
      </c>
      <c r="O146" s="36">
        <f t="shared" si="83"/>
        <v>0</v>
      </c>
      <c r="P146" s="268">
        <f t="shared" si="83"/>
        <v>0</v>
      </c>
      <c r="Q146" s="281">
        <f>SUM(L146:P146)</f>
        <v>6000</v>
      </c>
      <c r="R146" s="182"/>
      <c r="S146" s="183"/>
      <c r="T146" s="51"/>
      <c r="V146" s="608">
        <f t="shared" si="77"/>
        <v>0</v>
      </c>
    </row>
    <row r="147" spans="1:22" x14ac:dyDescent="0.2">
      <c r="A147" s="95">
        <v>5</v>
      </c>
      <c r="B147" s="108" t="str">
        <f>IF(A147&lt;&gt;0,INDEX(Coûts,'PA-Détails'!A147, 2),)</f>
        <v>Atelier de validation</v>
      </c>
      <c r="C147" s="51"/>
      <c r="D147" s="94" t="str">
        <f>IF(A147&lt;&gt;0,INDEX(Coûts, 'PA-Détails'!A147, 5),)</f>
        <v>Pers / j</v>
      </c>
      <c r="E147" s="96">
        <v>60</v>
      </c>
      <c r="F147" s="188"/>
      <c r="G147" s="188"/>
      <c r="H147" s="188"/>
      <c r="I147" s="188"/>
      <c r="J147" s="101"/>
      <c r="K147" s="115">
        <f>IF(A147&lt;&gt;0,INDEX(Coûts, 'PA-Détails'!A147, 3),)</f>
        <v>50</v>
      </c>
      <c r="L147" s="37">
        <f t="shared" si="83"/>
        <v>3000</v>
      </c>
      <c r="M147" s="36">
        <f t="shared" si="83"/>
        <v>0</v>
      </c>
      <c r="N147" s="36">
        <f t="shared" si="83"/>
        <v>0</v>
      </c>
      <c r="O147" s="36">
        <f t="shared" si="83"/>
        <v>0</v>
      </c>
      <c r="P147" s="268">
        <f t="shared" si="83"/>
        <v>0</v>
      </c>
      <c r="Q147" s="281">
        <f>SUM(L147:P147)</f>
        <v>3000</v>
      </c>
      <c r="R147" s="182"/>
      <c r="S147" s="183"/>
      <c r="T147" s="51"/>
      <c r="V147" s="608">
        <f t="shared" si="77"/>
        <v>0</v>
      </c>
    </row>
    <row r="148" spans="1:22" x14ac:dyDescent="0.2">
      <c r="A148" s="20" t="s">
        <v>276</v>
      </c>
      <c r="B148" s="46"/>
      <c r="C148" s="51"/>
      <c r="D148" s="115"/>
      <c r="E148" s="96"/>
      <c r="F148" s="100"/>
      <c r="G148" s="100"/>
      <c r="H148" s="100"/>
      <c r="I148" s="100"/>
      <c r="J148" s="101">
        <f>SUM(E148:I148)</f>
        <v>0</v>
      </c>
      <c r="K148" s="115"/>
      <c r="L148" s="35">
        <f t="shared" ref="L148:Q148" si="84">SUM(L149:L149)</f>
        <v>0</v>
      </c>
      <c r="M148" s="34">
        <f t="shared" si="84"/>
        <v>165000</v>
      </c>
      <c r="N148" s="34">
        <f t="shared" si="84"/>
        <v>165000</v>
      </c>
      <c r="O148" s="34">
        <f t="shared" si="84"/>
        <v>165000</v>
      </c>
      <c r="P148" s="269">
        <f t="shared" si="84"/>
        <v>165000</v>
      </c>
      <c r="Q148" s="280">
        <f t="shared" si="84"/>
        <v>660000</v>
      </c>
      <c r="R148" s="182" t="s">
        <v>763</v>
      </c>
      <c r="S148" s="183" t="s">
        <v>665</v>
      </c>
      <c r="T148" s="51"/>
      <c r="V148" s="608">
        <f t="shared" si="77"/>
        <v>0</v>
      </c>
    </row>
    <row r="149" spans="1:22" x14ac:dyDescent="0.2">
      <c r="A149" s="95">
        <v>8</v>
      </c>
      <c r="B149" s="108" t="str">
        <f>IF(A149&lt;&gt;0,INDEX(Coûts,'PA-Détails'!A149, 2),)</f>
        <v>Formation</v>
      </c>
      <c r="C149" s="51"/>
      <c r="D149" s="94" t="str">
        <f>IF(A149&lt;&gt;0,INDEX(Coûts, 'PA-Détails'!A149, 5),)</f>
        <v>Pers / j</v>
      </c>
      <c r="E149" s="96"/>
      <c r="F149" s="188">
        <f>50*30</f>
        <v>1500</v>
      </c>
      <c r="G149" s="188">
        <f>50*30</f>
        <v>1500</v>
      </c>
      <c r="H149" s="188">
        <f>50*30</f>
        <v>1500</v>
      </c>
      <c r="I149" s="188">
        <f>50*30</f>
        <v>1500</v>
      </c>
      <c r="J149" s="101"/>
      <c r="K149" s="115">
        <f>IF(A149&lt;&gt;0,INDEX(Coûts, 'PA-Détails'!A149, 3),)</f>
        <v>110</v>
      </c>
      <c r="L149" s="37">
        <f t="shared" ref="L149:P151" si="85">ROUND(+$K149*E149,0)</f>
        <v>0</v>
      </c>
      <c r="M149" s="36">
        <f t="shared" si="85"/>
        <v>165000</v>
      </c>
      <c r="N149" s="36">
        <f t="shared" si="85"/>
        <v>165000</v>
      </c>
      <c r="O149" s="36">
        <f t="shared" si="85"/>
        <v>165000</v>
      </c>
      <c r="P149" s="268">
        <f t="shared" si="85"/>
        <v>165000</v>
      </c>
      <c r="Q149" s="281">
        <f>SUM(L149:P149)</f>
        <v>660000</v>
      </c>
      <c r="R149" s="182"/>
      <c r="S149" s="183"/>
      <c r="T149" s="51"/>
      <c r="V149" s="608">
        <f t="shared" si="77"/>
        <v>0</v>
      </c>
    </row>
    <row r="150" spans="1:22" x14ac:dyDescent="0.2">
      <c r="A150" s="20" t="s">
        <v>277</v>
      </c>
      <c r="B150" s="46"/>
      <c r="C150" s="51"/>
      <c r="D150" s="21"/>
      <c r="E150" s="96"/>
      <c r="F150" s="100"/>
      <c r="G150" s="100"/>
      <c r="H150" s="100"/>
      <c r="I150" s="100"/>
      <c r="J150" s="101">
        <f>SUM(E150:I150)</f>
        <v>0</v>
      </c>
      <c r="K150" s="115"/>
      <c r="L150" s="37">
        <f t="shared" si="85"/>
        <v>0</v>
      </c>
      <c r="M150" s="36">
        <f t="shared" si="85"/>
        <v>0</v>
      </c>
      <c r="N150" s="36">
        <f t="shared" si="85"/>
        <v>0</v>
      </c>
      <c r="O150" s="36">
        <f t="shared" si="85"/>
        <v>0</v>
      </c>
      <c r="P150" s="268">
        <f t="shared" si="85"/>
        <v>0</v>
      </c>
      <c r="Q150" s="281">
        <f>SUM(L150:P150)</f>
        <v>0</v>
      </c>
      <c r="R150" s="182" t="s">
        <v>779</v>
      </c>
      <c r="S150" s="183" t="s">
        <v>665</v>
      </c>
      <c r="T150" s="51"/>
      <c r="V150" s="608">
        <f t="shared" si="77"/>
        <v>0</v>
      </c>
    </row>
    <row r="151" spans="1:22" x14ac:dyDescent="0.2">
      <c r="A151" s="17" t="s">
        <v>32</v>
      </c>
      <c r="B151" s="45"/>
      <c r="C151" s="329" t="s">
        <v>266</v>
      </c>
      <c r="D151" s="18"/>
      <c r="E151" s="97"/>
      <c r="F151" s="98"/>
      <c r="G151" s="98"/>
      <c r="H151" s="98"/>
      <c r="I151" s="98"/>
      <c r="J151" s="99">
        <f>SUM(E151:I151)</f>
        <v>0</v>
      </c>
      <c r="K151" s="116"/>
      <c r="L151" s="35">
        <f t="shared" si="85"/>
        <v>0</v>
      </c>
      <c r="M151" s="34">
        <f t="shared" si="85"/>
        <v>0</v>
      </c>
      <c r="N151" s="34">
        <f t="shared" si="85"/>
        <v>0</v>
      </c>
      <c r="O151" s="34">
        <f t="shared" si="85"/>
        <v>0</v>
      </c>
      <c r="P151" s="269">
        <f t="shared" si="85"/>
        <v>0</v>
      </c>
      <c r="Q151" s="279">
        <f>SUM(L151:P151)</f>
        <v>0</v>
      </c>
      <c r="R151" s="180"/>
      <c r="S151" s="181"/>
      <c r="T151" s="50"/>
      <c r="V151" s="608">
        <f t="shared" si="77"/>
        <v>0</v>
      </c>
    </row>
    <row r="152" spans="1:22" x14ac:dyDescent="0.2">
      <c r="A152" s="20" t="s">
        <v>1609</v>
      </c>
      <c r="B152" s="46"/>
      <c r="C152" s="51"/>
      <c r="D152" s="21"/>
      <c r="E152" s="96"/>
      <c r="F152" s="100"/>
      <c r="G152" s="100"/>
      <c r="H152" s="100"/>
      <c r="I152" s="100"/>
      <c r="J152" s="101">
        <f>SUM(E152:I152)</f>
        <v>0</v>
      </c>
      <c r="K152" s="115"/>
      <c r="L152" s="35">
        <f t="shared" ref="L152:Q152" si="86">SUM(L153:L154)</f>
        <v>11100</v>
      </c>
      <c r="M152" s="34">
        <f t="shared" si="86"/>
        <v>0</v>
      </c>
      <c r="N152" s="34">
        <f t="shared" si="86"/>
        <v>0</v>
      </c>
      <c r="O152" s="34">
        <f t="shared" si="86"/>
        <v>0</v>
      </c>
      <c r="P152" s="269">
        <f t="shared" si="86"/>
        <v>0</v>
      </c>
      <c r="Q152" s="280">
        <f t="shared" si="86"/>
        <v>11100</v>
      </c>
      <c r="R152" s="182" t="s">
        <v>754</v>
      </c>
      <c r="S152" s="183" t="s">
        <v>665</v>
      </c>
      <c r="T152" s="51"/>
      <c r="V152" s="608">
        <f t="shared" si="77"/>
        <v>0</v>
      </c>
    </row>
    <row r="153" spans="1:22" x14ac:dyDescent="0.2">
      <c r="A153" s="95">
        <v>2</v>
      </c>
      <c r="B153" s="108" t="str">
        <f>IF(A153&lt;&gt;0,INDEX(Coûts,'PA-Détails'!A153, 2),)</f>
        <v>Assistance technique nationale (consultants)</v>
      </c>
      <c r="C153" s="51"/>
      <c r="D153" s="94" t="str">
        <f>IF(A153&lt;&gt;0,INDEX(Coûts, 'PA-Détails'!A153, 5),)</f>
        <v>Pers / j</v>
      </c>
      <c r="E153" s="96">
        <v>30</v>
      </c>
      <c r="F153" s="188"/>
      <c r="G153" s="188"/>
      <c r="H153" s="188"/>
      <c r="I153" s="188"/>
      <c r="J153" s="101"/>
      <c r="K153" s="115">
        <f>IF(A153&lt;&gt;0,INDEX(Coûts, 'PA-Détails'!A153, 3),)</f>
        <v>300</v>
      </c>
      <c r="L153" s="37">
        <f t="shared" ref="L153:P154" si="87">ROUND(+$K153*E153,0)</f>
        <v>9000</v>
      </c>
      <c r="M153" s="36">
        <f t="shared" si="87"/>
        <v>0</v>
      </c>
      <c r="N153" s="36">
        <f t="shared" si="87"/>
        <v>0</v>
      </c>
      <c r="O153" s="36">
        <f t="shared" si="87"/>
        <v>0</v>
      </c>
      <c r="P153" s="268">
        <f t="shared" si="87"/>
        <v>0</v>
      </c>
      <c r="Q153" s="281">
        <f>SUM(L153:P153)</f>
        <v>9000</v>
      </c>
      <c r="R153" s="182"/>
      <c r="S153" s="183"/>
      <c r="T153" s="51"/>
      <c r="V153" s="608">
        <f t="shared" si="77"/>
        <v>0</v>
      </c>
    </row>
    <row r="154" spans="1:22" x14ac:dyDescent="0.2">
      <c r="A154" s="95">
        <v>11</v>
      </c>
      <c r="B154" s="108" t="str">
        <f>IF(A154&lt;&gt;0,INDEX(Coûts,'PA-Détails'!A154, 2),)</f>
        <v>Atelier technique</v>
      </c>
      <c r="C154" s="51"/>
      <c r="D154" s="94" t="str">
        <f>IF(A154&lt;&gt;0,INDEX(Coûts, 'PA-Détails'!A154, 5),)</f>
        <v>Pers / j</v>
      </c>
      <c r="E154" s="96">
        <v>30</v>
      </c>
      <c r="F154" s="188"/>
      <c r="G154" s="188"/>
      <c r="H154" s="188"/>
      <c r="I154" s="188"/>
      <c r="J154" s="101"/>
      <c r="K154" s="115">
        <f>IF(A154&lt;&gt;0,INDEX(Coûts, 'PA-Détails'!A154, 3),)</f>
        <v>70</v>
      </c>
      <c r="L154" s="37">
        <f t="shared" si="87"/>
        <v>2100</v>
      </c>
      <c r="M154" s="36">
        <f t="shared" si="87"/>
        <v>0</v>
      </c>
      <c r="N154" s="36">
        <f t="shared" si="87"/>
        <v>0</v>
      </c>
      <c r="O154" s="36">
        <f t="shared" si="87"/>
        <v>0</v>
      </c>
      <c r="P154" s="268">
        <f t="shared" si="87"/>
        <v>0</v>
      </c>
      <c r="Q154" s="281">
        <f>SUM(L154:P154)</f>
        <v>2100</v>
      </c>
      <c r="R154" s="182"/>
      <c r="S154" s="183"/>
      <c r="T154" s="51"/>
      <c r="V154" s="608">
        <f t="shared" si="77"/>
        <v>0</v>
      </c>
    </row>
    <row r="155" spans="1:22" x14ac:dyDescent="0.2">
      <c r="A155" s="20" t="s">
        <v>683</v>
      </c>
      <c r="B155" s="46"/>
      <c r="C155" s="51"/>
      <c r="D155" s="21"/>
      <c r="E155" s="96"/>
      <c r="F155" s="100"/>
      <c r="G155" s="100"/>
      <c r="H155" s="100"/>
      <c r="I155" s="100"/>
      <c r="J155" s="101">
        <f t="shared" ref="J155:J218" si="88">SUM(E155:I155)</f>
        <v>0</v>
      </c>
      <c r="K155" s="115"/>
      <c r="L155" s="35">
        <f t="shared" ref="L155:Q155" si="89">SUM(L156:L156)</f>
        <v>0</v>
      </c>
      <c r="M155" s="34">
        <f t="shared" si="89"/>
        <v>166665</v>
      </c>
      <c r="N155" s="34">
        <f t="shared" si="89"/>
        <v>333335</v>
      </c>
      <c r="O155" s="34">
        <f t="shared" si="89"/>
        <v>500000</v>
      </c>
      <c r="P155" s="269">
        <f t="shared" si="89"/>
        <v>666665</v>
      </c>
      <c r="Q155" s="280">
        <f t="shared" si="89"/>
        <v>1666665</v>
      </c>
      <c r="R155" s="223" t="s">
        <v>778</v>
      </c>
      <c r="S155" s="183" t="s">
        <v>665</v>
      </c>
      <c r="T155" s="51"/>
      <c r="V155" s="608">
        <f t="shared" si="77"/>
        <v>0</v>
      </c>
    </row>
    <row r="156" spans="1:22" x14ac:dyDescent="0.2">
      <c r="A156" s="95">
        <v>224</v>
      </c>
      <c r="B156" s="108" t="str">
        <f>IF(A156&lt;&gt;0,INDEX(Coûts,'PA-Détails'!A156, 2),)</f>
        <v xml:space="preserve">Allocation pour la scolarisation d'un élève au primaire </v>
      </c>
      <c r="C156" s="51"/>
      <c r="D156" s="94" t="str">
        <f>IF(A156&lt;&gt;0,INDEX(Coûts, 'PA-Détails'!A156, 5),)</f>
        <v>Subvention annuelle/élève</v>
      </c>
      <c r="E156" s="96"/>
      <c r="F156" s="188">
        <v>33333</v>
      </c>
      <c r="G156" s="188">
        <v>66667</v>
      </c>
      <c r="H156" s="188">
        <v>100000</v>
      </c>
      <c r="I156" s="188">
        <v>133333</v>
      </c>
      <c r="J156" s="101">
        <f t="shared" si="88"/>
        <v>333333</v>
      </c>
      <c r="K156" s="115">
        <f>IF(A156&lt;&gt;0,INDEX(Coûts, 'PA-Détails'!A156, 3),)</f>
        <v>5</v>
      </c>
      <c r="L156" s="37">
        <f t="shared" ref="L156:P158" si="90">ROUND(+$K156*E156,0)</f>
        <v>0</v>
      </c>
      <c r="M156" s="36">
        <f t="shared" si="90"/>
        <v>166665</v>
      </c>
      <c r="N156" s="36">
        <f t="shared" si="90"/>
        <v>333335</v>
      </c>
      <c r="O156" s="36">
        <f t="shared" si="90"/>
        <v>500000</v>
      </c>
      <c r="P156" s="268">
        <f t="shared" si="90"/>
        <v>666665</v>
      </c>
      <c r="Q156" s="281">
        <f>SUM(L156:P156)</f>
        <v>1666665</v>
      </c>
      <c r="R156" s="182"/>
      <c r="S156" s="183"/>
      <c r="T156" s="51"/>
      <c r="V156" s="608">
        <f t="shared" si="77"/>
        <v>0</v>
      </c>
    </row>
    <row r="157" spans="1:22" x14ac:dyDescent="0.2">
      <c r="A157" s="14" t="s">
        <v>33</v>
      </c>
      <c r="B157" s="44"/>
      <c r="C157" s="112"/>
      <c r="D157" s="15"/>
      <c r="E157" s="102"/>
      <c r="F157" s="103"/>
      <c r="G157" s="103"/>
      <c r="H157" s="103"/>
      <c r="I157" s="103"/>
      <c r="J157" s="104">
        <f t="shared" si="88"/>
        <v>0</v>
      </c>
      <c r="K157" s="145"/>
      <c r="L157" s="33">
        <f t="shared" si="90"/>
        <v>0</v>
      </c>
      <c r="M157" s="32">
        <f t="shared" si="90"/>
        <v>0</v>
      </c>
      <c r="N157" s="32">
        <f t="shared" si="90"/>
        <v>0</v>
      </c>
      <c r="O157" s="32">
        <f t="shared" si="90"/>
        <v>0</v>
      </c>
      <c r="P157" s="267">
        <f t="shared" si="90"/>
        <v>0</v>
      </c>
      <c r="Q157" s="278">
        <f>SUM(L157:P157)</f>
        <v>0</v>
      </c>
      <c r="R157" s="40"/>
      <c r="S157" s="145"/>
      <c r="T157" s="49">
        <v>1</v>
      </c>
      <c r="V157" s="608">
        <f t="shared" si="77"/>
        <v>0</v>
      </c>
    </row>
    <row r="158" spans="1:22" x14ac:dyDescent="0.2">
      <c r="A158" s="17" t="s">
        <v>684</v>
      </c>
      <c r="B158" s="45"/>
      <c r="C158" s="51" t="s">
        <v>212</v>
      </c>
      <c r="D158" s="18"/>
      <c r="E158" s="97"/>
      <c r="F158" s="98"/>
      <c r="G158" s="98"/>
      <c r="H158" s="98"/>
      <c r="I158" s="98"/>
      <c r="J158" s="99">
        <f t="shared" si="88"/>
        <v>0</v>
      </c>
      <c r="K158" s="116"/>
      <c r="L158" s="35">
        <f t="shared" si="90"/>
        <v>0</v>
      </c>
      <c r="M158" s="34">
        <f t="shared" si="90"/>
        <v>0</v>
      </c>
      <c r="N158" s="34">
        <f t="shared" si="90"/>
        <v>0</v>
      </c>
      <c r="O158" s="34">
        <f t="shared" si="90"/>
        <v>0</v>
      </c>
      <c r="P158" s="269">
        <f t="shared" si="90"/>
        <v>0</v>
      </c>
      <c r="Q158" s="279">
        <f>SUM(L158:P158)</f>
        <v>0</v>
      </c>
      <c r="R158" s="38"/>
      <c r="S158" s="116"/>
      <c r="T158" s="50"/>
      <c r="V158" s="608">
        <f t="shared" si="77"/>
        <v>0</v>
      </c>
    </row>
    <row r="159" spans="1:22" x14ac:dyDescent="0.2">
      <c r="A159" s="20" t="s">
        <v>567</v>
      </c>
      <c r="B159" s="46"/>
      <c r="C159" s="51"/>
      <c r="D159" s="21"/>
      <c r="E159" s="96"/>
      <c r="F159" s="100"/>
      <c r="G159" s="100"/>
      <c r="H159" s="100"/>
      <c r="I159" s="100"/>
      <c r="J159" s="101">
        <f t="shared" si="88"/>
        <v>0</v>
      </c>
      <c r="K159" s="115"/>
      <c r="L159" s="35">
        <f t="shared" ref="L159:Q159" si="91">SUM(L160:L160)</f>
        <v>4500</v>
      </c>
      <c r="M159" s="34">
        <f t="shared" si="91"/>
        <v>0</v>
      </c>
      <c r="N159" s="34">
        <f t="shared" si="91"/>
        <v>0</v>
      </c>
      <c r="O159" s="34">
        <f t="shared" si="91"/>
        <v>0</v>
      </c>
      <c r="P159" s="269">
        <f t="shared" si="91"/>
        <v>0</v>
      </c>
      <c r="Q159" s="280">
        <f t="shared" si="91"/>
        <v>4500</v>
      </c>
      <c r="R159" s="39" t="s">
        <v>754</v>
      </c>
      <c r="S159" s="115"/>
      <c r="T159" s="51"/>
      <c r="V159" s="608">
        <f t="shared" si="77"/>
        <v>0</v>
      </c>
    </row>
    <row r="160" spans="1:22" x14ac:dyDescent="0.2">
      <c r="A160" s="95">
        <v>2</v>
      </c>
      <c r="B160" s="108" t="str">
        <f>IF(A160&lt;&gt;0,INDEX(Coûts,'PA-Détails'!A160, 2),)</f>
        <v>Assistance technique nationale (consultants)</v>
      </c>
      <c r="C160" s="51"/>
      <c r="D160" s="94" t="str">
        <f>IF(A160&lt;&gt;0,INDEX(Coûts, 'PA-Détails'!A160, 5),)</f>
        <v>Pers / j</v>
      </c>
      <c r="E160" s="96">
        <v>15</v>
      </c>
      <c r="F160" s="100"/>
      <c r="G160" s="100"/>
      <c r="H160" s="100"/>
      <c r="I160" s="100"/>
      <c r="J160" s="101">
        <f t="shared" si="88"/>
        <v>15</v>
      </c>
      <c r="K160" s="115">
        <f>IF(A160&lt;&gt;0,INDEX(Coûts, 'PA-Détails'!A160, 3),)</f>
        <v>300</v>
      </c>
      <c r="L160" s="37">
        <f>ROUND(+$K160*E160,0)</f>
        <v>4500</v>
      </c>
      <c r="M160" s="36">
        <f>ROUND(+$K160*F160,0)</f>
        <v>0</v>
      </c>
      <c r="N160" s="36">
        <f>ROUND(+$K160*G160,0)</f>
        <v>0</v>
      </c>
      <c r="O160" s="36">
        <f>ROUND(+$K160*H160,0)</f>
        <v>0</v>
      </c>
      <c r="P160" s="268">
        <f>ROUND(+$K160*I160,0)</f>
        <v>0</v>
      </c>
      <c r="Q160" s="281">
        <f>SUM(L160:P160)</f>
        <v>4500</v>
      </c>
      <c r="R160" s="39"/>
      <c r="S160" s="115"/>
      <c r="T160" s="51"/>
      <c r="V160" s="608">
        <f t="shared" si="77"/>
        <v>0</v>
      </c>
    </row>
    <row r="161" spans="1:22" x14ac:dyDescent="0.2">
      <c r="A161" s="20" t="s">
        <v>568</v>
      </c>
      <c r="B161" s="46"/>
      <c r="C161" s="51"/>
      <c r="D161" s="21"/>
      <c r="E161" s="96"/>
      <c r="F161" s="100"/>
      <c r="G161" s="100"/>
      <c r="H161" s="100"/>
      <c r="I161" s="100"/>
      <c r="J161" s="101">
        <f t="shared" si="88"/>
        <v>0</v>
      </c>
      <c r="K161" s="115"/>
      <c r="L161" s="35">
        <f t="shared" ref="L161:Q161" si="92">SUM(L162:L162)</f>
        <v>0</v>
      </c>
      <c r="M161" s="34">
        <f t="shared" si="92"/>
        <v>2740000</v>
      </c>
      <c r="N161" s="34">
        <f t="shared" si="92"/>
        <v>4110000</v>
      </c>
      <c r="O161" s="34">
        <f t="shared" si="92"/>
        <v>5480000</v>
      </c>
      <c r="P161" s="269">
        <f t="shared" si="92"/>
        <v>6850000</v>
      </c>
      <c r="Q161" s="280">
        <f t="shared" si="92"/>
        <v>19180000</v>
      </c>
      <c r="R161" s="39" t="s">
        <v>772</v>
      </c>
      <c r="S161" s="115"/>
      <c r="T161" s="51"/>
      <c r="V161" s="608">
        <f t="shared" si="77"/>
        <v>0</v>
      </c>
    </row>
    <row r="162" spans="1:22" x14ac:dyDescent="0.2">
      <c r="A162" s="95">
        <v>94</v>
      </c>
      <c r="B162" s="108" t="str">
        <f>IF(A162&lt;&gt;0,INDEX(Coûts,'PA-Détails'!A162, 2),)</f>
        <v>Bonification pour exercice dans des zones isolées</v>
      </c>
      <c r="C162" s="51"/>
      <c r="D162" s="94" t="str">
        <f>IF(A162&lt;&gt;0,INDEX(Coûts, 'PA-Détails'!A162, 5),)</f>
        <v>Forfait annuel</v>
      </c>
      <c r="E162" s="96"/>
      <c r="F162" s="100">
        <f>(340000+2500)*0.02</f>
        <v>6850</v>
      </c>
      <c r="G162" s="100">
        <f>(340000+2500)*0.03</f>
        <v>10275</v>
      </c>
      <c r="H162" s="100">
        <f>(340000+2500)*0.04</f>
        <v>13700</v>
      </c>
      <c r="I162" s="100">
        <f>(340000+2500)*0.05</f>
        <v>17125</v>
      </c>
      <c r="J162" s="101">
        <f t="shared" si="88"/>
        <v>47950</v>
      </c>
      <c r="K162" s="115">
        <f>IF(A162&lt;&gt;0,INDEX(Coûts, 'PA-Détails'!A162, 3),)</f>
        <v>400</v>
      </c>
      <c r="L162" s="37">
        <f t="shared" ref="L162:P163" si="93">ROUND(+$K162*E162,0)</f>
        <v>0</v>
      </c>
      <c r="M162" s="36">
        <f t="shared" si="93"/>
        <v>2740000</v>
      </c>
      <c r="N162" s="36">
        <f t="shared" si="93"/>
        <v>4110000</v>
      </c>
      <c r="O162" s="36">
        <f t="shared" si="93"/>
        <v>5480000</v>
      </c>
      <c r="P162" s="268">
        <f t="shared" si="93"/>
        <v>6850000</v>
      </c>
      <c r="Q162" s="281">
        <f>SUM(L162:P162)</f>
        <v>19180000</v>
      </c>
      <c r="R162" s="39"/>
      <c r="S162" s="115"/>
      <c r="T162" s="51"/>
      <c r="V162" s="608">
        <f t="shared" si="77"/>
        <v>0</v>
      </c>
    </row>
    <row r="163" spans="1:22" x14ac:dyDescent="0.2">
      <c r="A163" s="17" t="s">
        <v>34</v>
      </c>
      <c r="B163" s="45"/>
      <c r="C163" s="51" t="s">
        <v>569</v>
      </c>
      <c r="D163" s="18"/>
      <c r="E163" s="97"/>
      <c r="F163" s="98"/>
      <c r="G163" s="98"/>
      <c r="H163" s="98"/>
      <c r="I163" s="98"/>
      <c r="J163" s="99">
        <f t="shared" si="88"/>
        <v>0</v>
      </c>
      <c r="K163" s="116"/>
      <c r="L163" s="35">
        <f t="shared" si="93"/>
        <v>0</v>
      </c>
      <c r="M163" s="34">
        <f t="shared" si="93"/>
        <v>0</v>
      </c>
      <c r="N163" s="34">
        <f t="shared" si="93"/>
        <v>0</v>
      </c>
      <c r="O163" s="34">
        <f t="shared" si="93"/>
        <v>0</v>
      </c>
      <c r="P163" s="269">
        <f t="shared" si="93"/>
        <v>0</v>
      </c>
      <c r="Q163" s="279">
        <f>SUM(L163:P163)</f>
        <v>0</v>
      </c>
      <c r="R163" s="38"/>
      <c r="S163" s="116"/>
      <c r="T163" s="50"/>
      <c r="V163" s="608">
        <f t="shared" si="77"/>
        <v>0</v>
      </c>
    </row>
    <row r="164" spans="1:22" x14ac:dyDescent="0.2">
      <c r="A164" s="20" t="s">
        <v>570</v>
      </c>
      <c r="B164" s="46"/>
      <c r="C164" s="51"/>
      <c r="D164" s="21"/>
      <c r="E164" s="96"/>
      <c r="F164" s="100"/>
      <c r="G164" s="100"/>
      <c r="H164" s="100"/>
      <c r="I164" s="100"/>
      <c r="J164" s="101">
        <f t="shared" si="88"/>
        <v>0</v>
      </c>
      <c r="K164" s="115"/>
      <c r="L164" s="35">
        <f t="shared" ref="L164:Q164" si="94">SUM(L165:L165)</f>
        <v>6000</v>
      </c>
      <c r="M164" s="34">
        <f t="shared" si="94"/>
        <v>0</v>
      </c>
      <c r="N164" s="34">
        <f t="shared" si="94"/>
        <v>0</v>
      </c>
      <c r="O164" s="34">
        <f t="shared" si="94"/>
        <v>0</v>
      </c>
      <c r="P164" s="269">
        <f t="shared" si="94"/>
        <v>0</v>
      </c>
      <c r="Q164" s="280">
        <f t="shared" si="94"/>
        <v>6000</v>
      </c>
      <c r="R164" s="39" t="s">
        <v>1423</v>
      </c>
      <c r="S164" s="115" t="s">
        <v>663</v>
      </c>
      <c r="T164" s="51"/>
      <c r="V164" s="608">
        <f t="shared" si="77"/>
        <v>0</v>
      </c>
    </row>
    <row r="165" spans="1:22" x14ac:dyDescent="0.2">
      <c r="A165" s="95">
        <v>2</v>
      </c>
      <c r="B165" s="108" t="str">
        <f>IF(A165&lt;&gt;0,INDEX(Coûts,'PA-Détails'!A165, 2),)</f>
        <v>Assistance technique nationale (consultants)</v>
      </c>
      <c r="C165" s="51"/>
      <c r="D165" s="94" t="str">
        <f>IF(A165&lt;&gt;0,INDEX(Coûts, 'PA-Détails'!A165, 5),)</f>
        <v>Pers / j</v>
      </c>
      <c r="E165" s="96">
        <v>20</v>
      </c>
      <c r="F165" s="100"/>
      <c r="G165" s="100"/>
      <c r="H165" s="100"/>
      <c r="I165" s="100"/>
      <c r="J165" s="101">
        <f t="shared" si="88"/>
        <v>20</v>
      </c>
      <c r="K165" s="115">
        <f>IF(A165&lt;&gt;0,INDEX(Coûts, 'PA-Détails'!A165, 3),)</f>
        <v>300</v>
      </c>
      <c r="L165" s="37">
        <f>ROUND(+$K165*E165,0)</f>
        <v>6000</v>
      </c>
      <c r="M165" s="36">
        <f>ROUND(+$K165*F165,0)</f>
        <v>0</v>
      </c>
      <c r="N165" s="36">
        <f>ROUND(+$K165*G165,0)</f>
        <v>0</v>
      </c>
      <c r="O165" s="36">
        <f>ROUND(+$K165*H165,0)</f>
        <v>0</v>
      </c>
      <c r="P165" s="268">
        <f>ROUND(+$K165*I165,0)</f>
        <v>0</v>
      </c>
      <c r="Q165" s="281">
        <f>SUM(L165:P165)</f>
        <v>6000</v>
      </c>
      <c r="R165" s="39"/>
      <c r="S165" s="115"/>
      <c r="T165" s="51"/>
      <c r="V165" s="608">
        <f t="shared" si="77"/>
        <v>0</v>
      </c>
    </row>
    <row r="166" spans="1:22" x14ac:dyDescent="0.2">
      <c r="A166" s="20" t="s">
        <v>571</v>
      </c>
      <c r="B166" s="46"/>
      <c r="C166" s="51"/>
      <c r="D166" s="21"/>
      <c r="E166" s="96"/>
      <c r="F166" s="100"/>
      <c r="G166" s="100"/>
      <c r="H166" s="100"/>
      <c r="I166" s="100"/>
      <c r="J166" s="101">
        <f t="shared" si="88"/>
        <v>0</v>
      </c>
      <c r="K166" s="115"/>
      <c r="L166" s="35">
        <f t="shared" ref="L166:Q166" si="95">SUM(L167:L167)</f>
        <v>0</v>
      </c>
      <c r="M166" s="34">
        <f t="shared" si="95"/>
        <v>4000000</v>
      </c>
      <c r="N166" s="34">
        <f t="shared" si="95"/>
        <v>4000000</v>
      </c>
      <c r="O166" s="34">
        <f t="shared" si="95"/>
        <v>4000000</v>
      </c>
      <c r="P166" s="269">
        <f t="shared" si="95"/>
        <v>4000000</v>
      </c>
      <c r="Q166" s="280">
        <f t="shared" si="95"/>
        <v>16000000</v>
      </c>
      <c r="R166" s="39" t="s">
        <v>753</v>
      </c>
      <c r="S166" s="115" t="s">
        <v>665</v>
      </c>
      <c r="T166" s="51"/>
      <c r="V166" s="608">
        <f t="shared" si="77"/>
        <v>0</v>
      </c>
    </row>
    <row r="167" spans="1:22" x14ac:dyDescent="0.2">
      <c r="A167" s="95">
        <v>30</v>
      </c>
      <c r="B167" s="108" t="str">
        <f>IF(A167&lt;&gt;0,INDEX(Coûts,'PA-Détails'!A167, 2),)</f>
        <v xml:space="preserve">Construction de sanitaires séparés </v>
      </c>
      <c r="C167" s="51"/>
      <c r="D167" s="94" t="str">
        <f>IF(A167&lt;&gt;0,INDEX(Coûts, 'PA-Détails'!A167, 5),)</f>
        <v>Unité</v>
      </c>
      <c r="E167" s="96"/>
      <c r="F167" s="100">
        <f>+(40000/2)*0.1</f>
        <v>2000</v>
      </c>
      <c r="G167" s="100">
        <f>+(40000/2)*0.1</f>
        <v>2000</v>
      </c>
      <c r="H167" s="100">
        <f>+(40000/2)*0.1</f>
        <v>2000</v>
      </c>
      <c r="I167" s="100">
        <f>+(40000/2)*0.1</f>
        <v>2000</v>
      </c>
      <c r="J167" s="101">
        <f t="shared" si="88"/>
        <v>8000</v>
      </c>
      <c r="K167" s="115">
        <f>IF(A167&lt;&gt;0,INDEX(Coûts, 'PA-Détails'!A167, 3),)</f>
        <v>2000</v>
      </c>
      <c r="L167" s="37">
        <f t="shared" ref="L167:P168" si="96">ROUND(+$K167*E167,0)</f>
        <v>0</v>
      </c>
      <c r="M167" s="36">
        <f t="shared" si="96"/>
        <v>4000000</v>
      </c>
      <c r="N167" s="36">
        <f t="shared" si="96"/>
        <v>4000000</v>
      </c>
      <c r="O167" s="36">
        <f t="shared" si="96"/>
        <v>4000000</v>
      </c>
      <c r="P167" s="268">
        <f t="shared" si="96"/>
        <v>4000000</v>
      </c>
      <c r="Q167" s="281">
        <f>SUM(L167:P167)</f>
        <v>16000000</v>
      </c>
      <c r="R167" s="39"/>
      <c r="T167" s="51"/>
      <c r="V167" s="608">
        <f t="shared" si="77"/>
        <v>0</v>
      </c>
    </row>
    <row r="168" spans="1:22" x14ac:dyDescent="0.2">
      <c r="A168" s="17" t="s">
        <v>35</v>
      </c>
      <c r="B168" s="45"/>
      <c r="C168" s="51" t="s">
        <v>572</v>
      </c>
      <c r="D168" s="18"/>
      <c r="E168" s="97"/>
      <c r="F168" s="98"/>
      <c r="G168" s="98"/>
      <c r="H168" s="98"/>
      <c r="I168" s="98"/>
      <c r="J168" s="99">
        <f t="shared" si="88"/>
        <v>0</v>
      </c>
      <c r="K168" s="116"/>
      <c r="L168" s="35">
        <f t="shared" si="96"/>
        <v>0</v>
      </c>
      <c r="M168" s="34">
        <f t="shared" si="96"/>
        <v>0</v>
      </c>
      <c r="N168" s="34">
        <f t="shared" si="96"/>
        <v>0</v>
      </c>
      <c r="O168" s="34">
        <f t="shared" si="96"/>
        <v>0</v>
      </c>
      <c r="P168" s="269">
        <f t="shared" si="96"/>
        <v>0</v>
      </c>
      <c r="Q168" s="279">
        <f>SUM(L168:P168)</f>
        <v>0</v>
      </c>
      <c r="R168" s="38"/>
      <c r="S168" s="116"/>
      <c r="T168" s="50"/>
      <c r="V168" s="608">
        <f t="shared" si="77"/>
        <v>0</v>
      </c>
    </row>
    <row r="169" spans="1:22" x14ac:dyDescent="0.2">
      <c r="A169" s="20" t="s">
        <v>573</v>
      </c>
      <c r="B169" s="46"/>
      <c r="C169" s="51"/>
      <c r="D169" s="21"/>
      <c r="E169" s="96"/>
      <c r="F169" s="100"/>
      <c r="G169" s="100"/>
      <c r="H169" s="100"/>
      <c r="I169" s="100"/>
      <c r="J169" s="101">
        <f t="shared" si="88"/>
        <v>0</v>
      </c>
      <c r="K169" s="115"/>
      <c r="L169" s="35">
        <f t="shared" ref="L169:Q169" si="97">SUM(L170:L171)</f>
        <v>20000</v>
      </c>
      <c r="M169" s="34">
        <f t="shared" si="97"/>
        <v>0</v>
      </c>
      <c r="N169" s="34">
        <f t="shared" si="97"/>
        <v>0</v>
      </c>
      <c r="O169" s="34">
        <f t="shared" si="97"/>
        <v>0</v>
      </c>
      <c r="P169" s="269">
        <f t="shared" si="97"/>
        <v>0</v>
      </c>
      <c r="Q169" s="280">
        <f t="shared" si="97"/>
        <v>20000</v>
      </c>
      <c r="R169" s="39" t="s">
        <v>754</v>
      </c>
      <c r="S169" s="115"/>
      <c r="T169" s="51"/>
      <c r="V169" s="608">
        <f t="shared" si="77"/>
        <v>0</v>
      </c>
    </row>
    <row r="170" spans="1:22" x14ac:dyDescent="0.2">
      <c r="A170" s="95">
        <v>2</v>
      </c>
      <c r="B170" s="108" t="str">
        <f>IF(A170&lt;&gt;0,INDEX(Coûts,'PA-Détails'!A170, 2),)</f>
        <v>Assistance technique nationale (consultants)</v>
      </c>
      <c r="C170" s="51"/>
      <c r="D170" s="94" t="str">
        <f>IF(A170&lt;&gt;0,INDEX(Coûts, 'PA-Détails'!A170, 5),)</f>
        <v>Pers / j</v>
      </c>
      <c r="E170" s="96">
        <v>50</v>
      </c>
      <c r="F170" s="100"/>
      <c r="G170" s="100"/>
      <c r="H170" s="100"/>
      <c r="I170" s="100"/>
      <c r="J170" s="101">
        <f t="shared" si="88"/>
        <v>50</v>
      </c>
      <c r="K170" s="115">
        <f>IF(A170&lt;&gt;0,INDEX(Coûts, 'PA-Détails'!A170, 3),)</f>
        <v>300</v>
      </c>
      <c r="L170" s="37">
        <f t="shared" ref="L170:P171" si="98">ROUND(+$K170*E170,0)</f>
        <v>15000</v>
      </c>
      <c r="M170" s="36">
        <f t="shared" si="98"/>
        <v>0</v>
      </c>
      <c r="N170" s="36">
        <f t="shared" si="98"/>
        <v>0</v>
      </c>
      <c r="O170" s="36">
        <f t="shared" si="98"/>
        <v>0</v>
      </c>
      <c r="P170" s="268">
        <f t="shared" si="98"/>
        <v>0</v>
      </c>
      <c r="Q170" s="281">
        <f>SUM(L170:P170)</f>
        <v>15000</v>
      </c>
      <c r="R170" s="39"/>
      <c r="S170" s="115"/>
      <c r="T170" s="51"/>
    </row>
    <row r="171" spans="1:22" x14ac:dyDescent="0.2">
      <c r="A171" s="95">
        <v>5</v>
      </c>
      <c r="B171" s="108" t="str">
        <f>IF(A171&lt;&gt;0,INDEX(Coûts,'PA-Détails'!A171, 2),)</f>
        <v>Atelier de validation</v>
      </c>
      <c r="C171" s="51"/>
      <c r="D171" s="94" t="str">
        <f>IF(A171&lt;&gt;0,INDEX(Coûts, 'PA-Détails'!A171, 5),)</f>
        <v>Pers / j</v>
      </c>
      <c r="E171" s="96">
        <v>100</v>
      </c>
      <c r="F171" s="100"/>
      <c r="G171" s="100"/>
      <c r="H171" s="100"/>
      <c r="I171" s="100"/>
      <c r="J171" s="101">
        <f t="shared" si="88"/>
        <v>100</v>
      </c>
      <c r="K171" s="115">
        <f>IF(A171&lt;&gt;0,INDEX(Coûts, 'PA-Détails'!A171, 3),)</f>
        <v>50</v>
      </c>
      <c r="L171" s="37">
        <f t="shared" si="98"/>
        <v>5000</v>
      </c>
      <c r="M171" s="36">
        <f t="shared" si="98"/>
        <v>0</v>
      </c>
      <c r="N171" s="36">
        <f t="shared" si="98"/>
        <v>0</v>
      </c>
      <c r="O171" s="36">
        <f t="shared" si="98"/>
        <v>0</v>
      </c>
      <c r="P171" s="268">
        <f t="shared" si="98"/>
        <v>0</v>
      </c>
      <c r="Q171" s="281">
        <f>SUM(L171:P171)</f>
        <v>5000</v>
      </c>
      <c r="R171" s="39"/>
      <c r="S171" s="115"/>
      <c r="T171" s="51"/>
    </row>
    <row r="172" spans="1:22" x14ac:dyDescent="0.2">
      <c r="A172" s="20" t="s">
        <v>685</v>
      </c>
      <c r="B172" s="46"/>
      <c r="C172" s="51"/>
      <c r="D172" s="21"/>
      <c r="E172" s="96"/>
      <c r="F172" s="100"/>
      <c r="G172" s="100"/>
      <c r="H172" s="100"/>
      <c r="I172" s="100"/>
      <c r="J172" s="101">
        <f t="shared" si="88"/>
        <v>0</v>
      </c>
      <c r="K172" s="115"/>
      <c r="L172" s="35">
        <f t="shared" ref="L172:Q172" si="99">SUM(L173:L174)</f>
        <v>0</v>
      </c>
      <c r="M172" s="34">
        <f t="shared" si="99"/>
        <v>14000</v>
      </c>
      <c r="N172" s="34">
        <f t="shared" si="99"/>
        <v>0</v>
      </c>
      <c r="O172" s="34">
        <f t="shared" si="99"/>
        <v>0</v>
      </c>
      <c r="P172" s="269">
        <f t="shared" si="99"/>
        <v>0</v>
      </c>
      <c r="Q172" s="280">
        <f t="shared" si="99"/>
        <v>14000</v>
      </c>
      <c r="R172" s="39" t="s">
        <v>754</v>
      </c>
      <c r="S172" s="115"/>
      <c r="T172" s="51"/>
    </row>
    <row r="173" spans="1:22" x14ac:dyDescent="0.2">
      <c r="A173" s="95">
        <v>2</v>
      </c>
      <c r="B173" s="108" t="str">
        <f>IF(A173&lt;&gt;0,INDEX(Coûts,'PA-Détails'!A173, 2),)</f>
        <v>Assistance technique nationale (consultants)</v>
      </c>
      <c r="C173" s="51"/>
      <c r="D173" s="94" t="str">
        <f>IF(A173&lt;&gt;0,INDEX(Coûts, 'PA-Détails'!A173, 5),)</f>
        <v>Pers / j</v>
      </c>
      <c r="E173" s="96"/>
      <c r="F173" s="100">
        <v>30</v>
      </c>
      <c r="G173" s="100"/>
      <c r="H173" s="100"/>
      <c r="I173" s="100"/>
      <c r="J173" s="101">
        <f t="shared" si="88"/>
        <v>30</v>
      </c>
      <c r="K173" s="115">
        <f>IF(A173&lt;&gt;0,INDEX(Coûts, 'PA-Détails'!A173, 3),)</f>
        <v>300</v>
      </c>
      <c r="L173" s="37">
        <f t="shared" ref="L173:P176" si="100">ROUND(+$K173*E173,0)</f>
        <v>0</v>
      </c>
      <c r="M173" s="36">
        <f t="shared" si="100"/>
        <v>9000</v>
      </c>
      <c r="N173" s="36">
        <f t="shared" si="100"/>
        <v>0</v>
      </c>
      <c r="O173" s="36">
        <f t="shared" si="100"/>
        <v>0</v>
      </c>
      <c r="P173" s="268">
        <f t="shared" si="100"/>
        <v>0</v>
      </c>
      <c r="Q173" s="281">
        <f>SUM(L173:P173)</f>
        <v>9000</v>
      </c>
      <c r="R173" s="39"/>
      <c r="S173" s="115"/>
      <c r="T173" s="51"/>
    </row>
    <row r="174" spans="1:22" x14ac:dyDescent="0.2">
      <c r="A174" s="95">
        <v>5</v>
      </c>
      <c r="B174" s="108" t="str">
        <f>IF(A174&lt;&gt;0,INDEX(Coûts,'PA-Détails'!A174, 2),)</f>
        <v>Atelier de validation</v>
      </c>
      <c r="C174" s="51"/>
      <c r="D174" s="94" t="str">
        <f>IF(A174&lt;&gt;0,INDEX(Coûts, 'PA-Détails'!A174, 5),)</f>
        <v>Pers / j</v>
      </c>
      <c r="E174" s="96"/>
      <c r="F174" s="100">
        <v>100</v>
      </c>
      <c r="G174" s="100"/>
      <c r="H174" s="100"/>
      <c r="I174" s="100"/>
      <c r="J174" s="101">
        <f t="shared" si="88"/>
        <v>100</v>
      </c>
      <c r="K174" s="115">
        <f>IF(A174&lt;&gt;0,INDEX(Coûts, 'PA-Détails'!A174, 3),)</f>
        <v>50</v>
      </c>
      <c r="L174" s="37">
        <f t="shared" si="100"/>
        <v>0</v>
      </c>
      <c r="M174" s="36">
        <f t="shared" si="100"/>
        <v>5000</v>
      </c>
      <c r="N174" s="36">
        <f t="shared" si="100"/>
        <v>0</v>
      </c>
      <c r="O174" s="36">
        <f t="shared" si="100"/>
        <v>0</v>
      </c>
      <c r="P174" s="268">
        <f t="shared" si="100"/>
        <v>0</v>
      </c>
      <c r="Q174" s="281">
        <f>SUM(L174:P174)</f>
        <v>5000</v>
      </c>
      <c r="R174" s="39"/>
      <c r="S174" s="115"/>
      <c r="T174" s="51"/>
    </row>
    <row r="175" spans="1:22" x14ac:dyDescent="0.2">
      <c r="A175" s="14" t="s">
        <v>36</v>
      </c>
      <c r="B175" s="44"/>
      <c r="C175" s="112"/>
      <c r="D175" s="15"/>
      <c r="E175" s="102"/>
      <c r="F175" s="103"/>
      <c r="G175" s="103"/>
      <c r="H175" s="103"/>
      <c r="I175" s="103"/>
      <c r="J175" s="104">
        <f t="shared" si="88"/>
        <v>0</v>
      </c>
      <c r="K175" s="145"/>
      <c r="L175" s="33">
        <f t="shared" si="100"/>
        <v>0</v>
      </c>
      <c r="M175" s="32">
        <f t="shared" si="100"/>
        <v>0</v>
      </c>
      <c r="N175" s="32">
        <f t="shared" si="100"/>
        <v>0</v>
      </c>
      <c r="O175" s="32">
        <f t="shared" si="100"/>
        <v>0</v>
      </c>
      <c r="P175" s="267">
        <f t="shared" si="100"/>
        <v>0</v>
      </c>
      <c r="Q175" s="278">
        <f>SUM(L175:P175)</f>
        <v>0</v>
      </c>
      <c r="R175" s="16"/>
      <c r="S175" s="15"/>
      <c r="T175" s="112">
        <v>2</v>
      </c>
    </row>
    <row r="176" spans="1:22" x14ac:dyDescent="0.2">
      <c r="A176" s="17" t="s">
        <v>686</v>
      </c>
      <c r="B176" s="45"/>
      <c r="C176" s="51" t="s">
        <v>398</v>
      </c>
      <c r="D176" s="18"/>
      <c r="E176" s="97"/>
      <c r="F176" s="98"/>
      <c r="G176" s="98"/>
      <c r="H176" s="98"/>
      <c r="I176" s="98"/>
      <c r="J176" s="99">
        <f t="shared" si="88"/>
        <v>0</v>
      </c>
      <c r="K176" s="116"/>
      <c r="L176" s="35">
        <f t="shared" si="100"/>
        <v>0</v>
      </c>
      <c r="M176" s="34">
        <f t="shared" si="100"/>
        <v>0</v>
      </c>
      <c r="N176" s="34">
        <f t="shared" si="100"/>
        <v>0</v>
      </c>
      <c r="O176" s="34">
        <f t="shared" si="100"/>
        <v>0</v>
      </c>
      <c r="P176" s="269">
        <f t="shared" si="100"/>
        <v>0</v>
      </c>
      <c r="Q176" s="279">
        <f>SUM(L176:P176)</f>
        <v>0</v>
      </c>
      <c r="R176" s="19"/>
      <c r="S176" s="18"/>
      <c r="T176" s="51"/>
    </row>
    <row r="177" spans="1:20" x14ac:dyDescent="0.2">
      <c r="A177" s="20" t="s">
        <v>399</v>
      </c>
      <c r="B177" s="46"/>
      <c r="C177" s="51"/>
      <c r="D177" s="21"/>
      <c r="E177" s="96"/>
      <c r="F177" s="100"/>
      <c r="G177" s="100"/>
      <c r="H177" s="100"/>
      <c r="I177" s="100"/>
      <c r="J177" s="101">
        <f t="shared" si="88"/>
        <v>0</v>
      </c>
      <c r="K177" s="115"/>
      <c r="L177" s="35">
        <f t="shared" ref="L177:Q177" si="101">SUM(L178:L179)</f>
        <v>21000</v>
      </c>
      <c r="M177" s="34">
        <f t="shared" si="101"/>
        <v>0</v>
      </c>
      <c r="N177" s="34">
        <f t="shared" si="101"/>
        <v>0</v>
      </c>
      <c r="O177" s="34">
        <f t="shared" si="101"/>
        <v>0</v>
      </c>
      <c r="P177" s="269">
        <f t="shared" si="101"/>
        <v>0</v>
      </c>
      <c r="Q177" s="280">
        <f t="shared" si="101"/>
        <v>21000</v>
      </c>
      <c r="R177" s="198" t="s">
        <v>758</v>
      </c>
      <c r="S177" s="147" t="s">
        <v>663</v>
      </c>
      <c r="T177" s="51"/>
    </row>
    <row r="178" spans="1:20" x14ac:dyDescent="0.2">
      <c r="A178" s="95">
        <v>2</v>
      </c>
      <c r="B178" s="108" t="str">
        <f>IF(A178&lt;&gt;0,INDEX(Coûts,'PA-Détails'!A178, 2),)</f>
        <v>Assistance technique nationale (consultants)</v>
      </c>
      <c r="C178" s="51"/>
      <c r="D178" s="94" t="str">
        <f>IF(A178&lt;&gt;0,INDEX(Coûts, 'PA-Détails'!A178, 5),)</f>
        <v>Pers / j</v>
      </c>
      <c r="E178" s="96">
        <f>3*20</f>
        <v>60</v>
      </c>
      <c r="F178" s="100"/>
      <c r="G178" s="100"/>
      <c r="H178" s="100"/>
      <c r="I178" s="100"/>
      <c r="J178" s="101">
        <f t="shared" si="88"/>
        <v>60</v>
      </c>
      <c r="K178" s="115">
        <f>IF(A178&lt;&gt;0,INDEX(Coûts, 'PA-Détails'!A178, 3),)</f>
        <v>300</v>
      </c>
      <c r="L178" s="37">
        <f t="shared" ref="L178:P179" si="102">ROUND(+$K178*E178,0)</f>
        <v>18000</v>
      </c>
      <c r="M178" s="36">
        <f t="shared" si="102"/>
        <v>0</v>
      </c>
      <c r="N178" s="36">
        <f t="shared" si="102"/>
        <v>0</v>
      </c>
      <c r="O178" s="36">
        <f t="shared" si="102"/>
        <v>0</v>
      </c>
      <c r="P178" s="268">
        <f t="shared" si="102"/>
        <v>0</v>
      </c>
      <c r="Q178" s="281">
        <f>SUM(L178:P178)</f>
        <v>18000</v>
      </c>
      <c r="R178" s="22"/>
      <c r="S178" s="21"/>
      <c r="T178" s="51"/>
    </row>
    <row r="179" spans="1:20" x14ac:dyDescent="0.2">
      <c r="A179" s="95">
        <v>5</v>
      </c>
      <c r="B179" s="108" t="str">
        <f>IF(A179&lt;&gt;0,INDEX(Coûts,'PA-Détails'!A179, 2),)</f>
        <v>Atelier de validation</v>
      </c>
      <c r="C179" s="51"/>
      <c r="D179" s="94" t="str">
        <f>IF(A179&lt;&gt;0,INDEX(Coûts, 'PA-Détails'!A179, 5),)</f>
        <v>Pers / j</v>
      </c>
      <c r="E179" s="96">
        <f>3*20</f>
        <v>60</v>
      </c>
      <c r="F179" s="100"/>
      <c r="G179" s="100"/>
      <c r="H179" s="100"/>
      <c r="I179" s="100"/>
      <c r="J179" s="101">
        <f t="shared" si="88"/>
        <v>60</v>
      </c>
      <c r="K179" s="115">
        <f>IF(A179&lt;&gt;0,INDEX(Coûts, 'PA-Détails'!A179, 3),)</f>
        <v>50</v>
      </c>
      <c r="L179" s="37">
        <f t="shared" si="102"/>
        <v>3000</v>
      </c>
      <c r="M179" s="36">
        <f t="shared" si="102"/>
        <v>0</v>
      </c>
      <c r="N179" s="36">
        <f t="shared" si="102"/>
        <v>0</v>
      </c>
      <c r="O179" s="36">
        <f t="shared" si="102"/>
        <v>0</v>
      </c>
      <c r="P179" s="268">
        <f t="shared" si="102"/>
        <v>0</v>
      </c>
      <c r="Q179" s="281">
        <f>SUM(L179:P179)</f>
        <v>3000</v>
      </c>
      <c r="R179" s="22"/>
      <c r="S179" s="21"/>
      <c r="T179" s="51"/>
    </row>
    <row r="180" spans="1:20" x14ac:dyDescent="0.2">
      <c r="A180" s="20" t="s">
        <v>400</v>
      </c>
      <c r="B180" s="46"/>
      <c r="C180" s="51"/>
      <c r="D180" s="21"/>
      <c r="E180" s="96"/>
      <c r="F180" s="100"/>
      <c r="G180" s="100"/>
      <c r="H180" s="100"/>
      <c r="I180" s="100"/>
      <c r="J180" s="101">
        <f t="shared" si="88"/>
        <v>0</v>
      </c>
      <c r="K180" s="115"/>
      <c r="L180" s="35">
        <f t="shared" ref="L180:Q180" si="103">SUM(L181:L181)</f>
        <v>0</v>
      </c>
      <c r="M180" s="34">
        <f t="shared" si="103"/>
        <v>3440000</v>
      </c>
      <c r="N180" s="34">
        <f t="shared" si="103"/>
        <v>3980000</v>
      </c>
      <c r="O180" s="34">
        <f t="shared" si="103"/>
        <v>4520000</v>
      </c>
      <c r="P180" s="269">
        <f t="shared" si="103"/>
        <v>5060000</v>
      </c>
      <c r="Q180" s="280">
        <f t="shared" si="103"/>
        <v>17000000</v>
      </c>
      <c r="R180" s="198" t="s">
        <v>758</v>
      </c>
      <c r="S180" s="115" t="s">
        <v>665</v>
      </c>
      <c r="T180" s="51"/>
    </row>
    <row r="181" spans="1:20" x14ac:dyDescent="0.2">
      <c r="A181" s="95">
        <v>131</v>
      </c>
      <c r="B181" s="108" t="str">
        <f>IF(A181&lt;&gt;0,INDEX(Coûts,'PA-Détails'!A181, 2),)</f>
        <v>Kit pédagogique pour le primaire</v>
      </c>
      <c r="C181" s="51"/>
      <c r="D181" s="94" t="str">
        <f>IF(A181&lt;&gt;0,INDEX(Coûts, 'PA-Détails'!A181, 5),)</f>
        <v>Forfait</v>
      </c>
      <c r="E181" s="96"/>
      <c r="F181" s="100">
        <f>H!F13</f>
        <v>6880</v>
      </c>
      <c r="G181" s="100">
        <f>H!G13</f>
        <v>7960</v>
      </c>
      <c r="H181" s="100">
        <f>H!H13</f>
        <v>9040</v>
      </c>
      <c r="I181" s="100">
        <f>H!I13</f>
        <v>10120</v>
      </c>
      <c r="J181" s="101">
        <f t="shared" si="88"/>
        <v>34000</v>
      </c>
      <c r="K181" s="115">
        <f>IF(A181&lt;&gt;0,INDEX(Coûts, 'PA-Détails'!A181, 3),)</f>
        <v>500</v>
      </c>
      <c r="L181" s="37">
        <f t="shared" ref="L181:P182" si="104">ROUND(+$K181*E181,0)</f>
        <v>0</v>
      </c>
      <c r="M181" s="36">
        <f t="shared" si="104"/>
        <v>3440000</v>
      </c>
      <c r="N181" s="36">
        <f t="shared" si="104"/>
        <v>3980000</v>
      </c>
      <c r="O181" s="36">
        <f t="shared" si="104"/>
        <v>4520000</v>
      </c>
      <c r="P181" s="268">
        <f t="shared" si="104"/>
        <v>5060000</v>
      </c>
      <c r="Q181" s="281">
        <f>SUM(L181:P181)</f>
        <v>17000000</v>
      </c>
      <c r="R181" s="22"/>
      <c r="S181" s="21"/>
      <c r="T181" s="51"/>
    </row>
    <row r="182" spans="1:20" x14ac:dyDescent="0.2">
      <c r="A182" s="17" t="s">
        <v>37</v>
      </c>
      <c r="B182" s="45"/>
      <c r="C182" s="51" t="s">
        <v>401</v>
      </c>
      <c r="D182" s="18"/>
      <c r="E182" s="97"/>
      <c r="F182" s="98"/>
      <c r="G182" s="98"/>
      <c r="H182" s="98"/>
      <c r="I182" s="98"/>
      <c r="J182" s="99">
        <f t="shared" si="88"/>
        <v>0</v>
      </c>
      <c r="K182" s="116"/>
      <c r="L182" s="35">
        <f t="shared" si="104"/>
        <v>0</v>
      </c>
      <c r="M182" s="34">
        <f t="shared" si="104"/>
        <v>0</v>
      </c>
      <c r="N182" s="34">
        <f t="shared" si="104"/>
        <v>0</v>
      </c>
      <c r="O182" s="34">
        <f t="shared" si="104"/>
        <v>0</v>
      </c>
      <c r="P182" s="269">
        <f t="shared" si="104"/>
        <v>0</v>
      </c>
      <c r="Q182" s="279">
        <f>SUM(L182:P182)</f>
        <v>0</v>
      </c>
      <c r="R182" s="19"/>
      <c r="S182" s="18"/>
      <c r="T182" s="51"/>
    </row>
    <row r="183" spans="1:20" x14ac:dyDescent="0.2">
      <c r="A183" s="20" t="s">
        <v>687</v>
      </c>
      <c r="B183" s="46"/>
      <c r="C183" s="51"/>
      <c r="D183" s="21"/>
      <c r="E183" s="96"/>
      <c r="F183" s="100"/>
      <c r="G183" s="100"/>
      <c r="H183" s="100"/>
      <c r="I183" s="100"/>
      <c r="J183" s="101">
        <f t="shared" si="88"/>
        <v>0</v>
      </c>
      <c r="K183" s="115"/>
      <c r="L183" s="35">
        <f t="shared" ref="L183:Q183" si="105">SUM(L184:L184)</f>
        <v>0</v>
      </c>
      <c r="M183" s="34">
        <f t="shared" si="105"/>
        <v>9000000</v>
      </c>
      <c r="N183" s="34">
        <f t="shared" si="105"/>
        <v>12000000</v>
      </c>
      <c r="O183" s="34">
        <f t="shared" si="105"/>
        <v>15000000</v>
      </c>
      <c r="P183" s="269">
        <f t="shared" si="105"/>
        <v>18000000</v>
      </c>
      <c r="Q183" s="280">
        <f t="shared" si="105"/>
        <v>54000000</v>
      </c>
      <c r="R183" s="198" t="s">
        <v>758</v>
      </c>
      <c r="S183" s="197"/>
      <c r="T183" s="51"/>
    </row>
    <row r="184" spans="1:20" ht="12.75" x14ac:dyDescent="0.25">
      <c r="A184" s="95">
        <v>58</v>
      </c>
      <c r="B184" s="108" t="str">
        <f>IF(A184&lt;&gt;0,INDEX(Coûts,'PA-Détails'!A184, 2),)</f>
        <v>Acquisition et distribution des manuels scolaires</v>
      </c>
      <c r="C184" s="51"/>
      <c r="D184" s="94" t="str">
        <f>IF(A184&lt;&gt;0,INDEX(Coûts, 'PA-Détails'!A184, 5),)</f>
        <v>Unité</v>
      </c>
      <c r="E184" s="96"/>
      <c r="F184" s="190">
        <v>3000000</v>
      </c>
      <c r="G184" s="190">
        <f>F184+1000000</f>
        <v>4000000</v>
      </c>
      <c r="H184" s="190">
        <f>G184+1000000</f>
        <v>5000000</v>
      </c>
      <c r="I184" s="190">
        <f>H184+1000000</f>
        <v>6000000</v>
      </c>
      <c r="J184" s="101">
        <f t="shared" si="88"/>
        <v>18000000</v>
      </c>
      <c r="K184" s="115">
        <f>IF(A184&lt;&gt;0,INDEX(Coûts, 'PA-Détails'!A184, 3),)</f>
        <v>3</v>
      </c>
      <c r="L184" s="37">
        <f>ROUND(+$K184*E184,0)</f>
        <v>0</v>
      </c>
      <c r="M184" s="36">
        <f>ROUND(+$K184*F184,0)</f>
        <v>9000000</v>
      </c>
      <c r="N184" s="36">
        <f>ROUND(+$K184*G184,0)</f>
        <v>12000000</v>
      </c>
      <c r="O184" s="36">
        <f>ROUND(+$K184*H184,0)</f>
        <v>15000000</v>
      </c>
      <c r="P184" s="268">
        <f>ROUND(+$K184*I184,0)</f>
        <v>18000000</v>
      </c>
      <c r="Q184" s="281">
        <f>SUM(L184:P184)</f>
        <v>54000000</v>
      </c>
      <c r="R184" s="22"/>
      <c r="S184" s="21"/>
      <c r="T184" s="51"/>
    </row>
    <row r="185" spans="1:20" x14ac:dyDescent="0.2">
      <c r="A185" s="20" t="s">
        <v>402</v>
      </c>
      <c r="B185" s="108"/>
      <c r="C185" s="51"/>
      <c r="D185" s="94"/>
      <c r="E185" s="96"/>
      <c r="F185" s="100"/>
      <c r="G185" s="100"/>
      <c r="H185" s="100"/>
      <c r="I185" s="100"/>
      <c r="J185" s="101">
        <f t="shared" si="88"/>
        <v>0</v>
      </c>
      <c r="K185" s="115"/>
      <c r="L185" s="35">
        <f t="shared" ref="L185:Q185" si="106">SUM(L186:L186)</f>
        <v>0</v>
      </c>
      <c r="M185" s="34">
        <f t="shared" si="106"/>
        <v>4500</v>
      </c>
      <c r="N185" s="34">
        <f t="shared" si="106"/>
        <v>4500</v>
      </c>
      <c r="O185" s="34">
        <f t="shared" si="106"/>
        <v>4500</v>
      </c>
      <c r="P185" s="269">
        <f t="shared" si="106"/>
        <v>4500</v>
      </c>
      <c r="Q185" s="280">
        <f t="shared" si="106"/>
        <v>18000</v>
      </c>
      <c r="R185" s="198" t="s">
        <v>780</v>
      </c>
      <c r="S185" s="197" t="s">
        <v>665</v>
      </c>
      <c r="T185" s="51"/>
    </row>
    <row r="186" spans="1:20" x14ac:dyDescent="0.2">
      <c r="A186" s="95">
        <v>2</v>
      </c>
      <c r="B186" s="108" t="str">
        <f>IF(A186&lt;&gt;0,INDEX(Coûts,'PA-Détails'!A186, 2),)</f>
        <v>Assistance technique nationale (consultants)</v>
      </c>
      <c r="C186" s="51"/>
      <c r="D186" s="94" t="str">
        <f>IF(A186&lt;&gt;0,INDEX(Coûts, 'PA-Détails'!A186, 5),)</f>
        <v>Pers / j</v>
      </c>
      <c r="E186" s="96"/>
      <c r="F186" s="100">
        <v>15</v>
      </c>
      <c r="G186" s="100">
        <v>15</v>
      </c>
      <c r="H186" s="100">
        <f>G186</f>
        <v>15</v>
      </c>
      <c r="I186" s="100">
        <v>15</v>
      </c>
      <c r="J186" s="101">
        <f t="shared" si="88"/>
        <v>60</v>
      </c>
      <c r="K186" s="115">
        <f>IF(A186&lt;&gt;0,INDEX(Coûts, 'PA-Détails'!A186, 3),)</f>
        <v>300</v>
      </c>
      <c r="L186" s="37">
        <f t="shared" ref="L186:P187" si="107">ROUND(+$K186*E186,0)</f>
        <v>0</v>
      </c>
      <c r="M186" s="36">
        <f t="shared" si="107"/>
        <v>4500</v>
      </c>
      <c r="N186" s="36">
        <f t="shared" si="107"/>
        <v>4500</v>
      </c>
      <c r="O186" s="36">
        <f t="shared" si="107"/>
        <v>4500</v>
      </c>
      <c r="P186" s="268">
        <f t="shared" si="107"/>
        <v>4500</v>
      </c>
      <c r="Q186" s="281">
        <f>SUM(L186:P186)</f>
        <v>18000</v>
      </c>
      <c r="R186" s="22"/>
      <c r="S186" s="21"/>
      <c r="T186" s="51"/>
    </row>
    <row r="187" spans="1:20" x14ac:dyDescent="0.2">
      <c r="A187" s="17" t="s">
        <v>38</v>
      </c>
      <c r="B187" s="45"/>
      <c r="C187" s="51" t="s">
        <v>403</v>
      </c>
      <c r="D187" s="18"/>
      <c r="E187" s="97"/>
      <c r="F187" s="98"/>
      <c r="G187" s="98"/>
      <c r="H187" s="98"/>
      <c r="I187" s="98"/>
      <c r="J187" s="99">
        <f t="shared" si="88"/>
        <v>0</v>
      </c>
      <c r="K187" s="116"/>
      <c r="L187" s="35">
        <f t="shared" si="107"/>
        <v>0</v>
      </c>
      <c r="M187" s="34">
        <f t="shared" si="107"/>
        <v>0</v>
      </c>
      <c r="N187" s="34">
        <f t="shared" si="107"/>
        <v>0</v>
      </c>
      <c r="O187" s="34">
        <f t="shared" si="107"/>
        <v>0</v>
      </c>
      <c r="P187" s="269">
        <f t="shared" si="107"/>
        <v>0</v>
      </c>
      <c r="Q187" s="279">
        <f>SUM(L187:P187)</f>
        <v>0</v>
      </c>
      <c r="R187" s="19"/>
      <c r="S187" s="18"/>
    </row>
    <row r="188" spans="1:20" x14ac:dyDescent="0.2">
      <c r="A188" s="20" t="s">
        <v>1046</v>
      </c>
      <c r="B188" s="46"/>
      <c r="C188" s="51"/>
      <c r="D188" s="21"/>
      <c r="E188" s="96"/>
      <c r="F188" s="100"/>
      <c r="G188" s="100"/>
      <c r="H188" s="100"/>
      <c r="I188" s="100"/>
      <c r="J188" s="101">
        <f t="shared" si="88"/>
        <v>0</v>
      </c>
      <c r="K188" s="115"/>
      <c r="L188" s="35">
        <f t="shared" ref="L188:Q188" si="108">SUM(L189:L191)</f>
        <v>10200</v>
      </c>
      <c r="M188" s="34">
        <f t="shared" si="108"/>
        <v>0</v>
      </c>
      <c r="N188" s="34">
        <f t="shared" si="108"/>
        <v>0</v>
      </c>
      <c r="O188" s="34">
        <f t="shared" si="108"/>
        <v>0</v>
      </c>
      <c r="P188" s="269">
        <f t="shared" si="108"/>
        <v>0</v>
      </c>
      <c r="Q188" s="280">
        <f t="shared" si="108"/>
        <v>10200</v>
      </c>
      <c r="R188" s="198" t="s">
        <v>1047</v>
      </c>
      <c r="S188" s="197" t="s">
        <v>665</v>
      </c>
      <c r="T188" s="51"/>
    </row>
    <row r="189" spans="1:20" x14ac:dyDescent="0.2">
      <c r="A189" s="95">
        <v>2</v>
      </c>
      <c r="B189" s="108" t="str">
        <f>IF(A189&lt;&gt;0,INDEX(Coûts,'PA-Détails'!A189, 2),)</f>
        <v>Assistance technique nationale (consultants)</v>
      </c>
      <c r="C189" s="51"/>
      <c r="D189" s="94" t="str">
        <f>IF(A189&lt;&gt;0,INDEX(Coûts, 'PA-Détails'!A189, 5),)</f>
        <v>Pers / j</v>
      </c>
      <c r="E189" s="96">
        <v>10</v>
      </c>
      <c r="F189" s="100"/>
      <c r="G189" s="100"/>
      <c r="H189" s="100"/>
      <c r="I189" s="100"/>
      <c r="J189" s="101">
        <f t="shared" si="88"/>
        <v>10</v>
      </c>
      <c r="K189" s="115">
        <f>IF(A189&lt;&gt;0,INDEX(Coûts, 'PA-Détails'!A189, 3),)</f>
        <v>300</v>
      </c>
      <c r="L189" s="37">
        <f t="shared" ref="L189:P191" si="109">ROUND(+$K189*E189,0)</f>
        <v>3000</v>
      </c>
      <c r="M189" s="36">
        <f t="shared" si="109"/>
        <v>0</v>
      </c>
      <c r="N189" s="36">
        <f t="shared" si="109"/>
        <v>0</v>
      </c>
      <c r="O189" s="36">
        <f t="shared" si="109"/>
        <v>0</v>
      </c>
      <c r="P189" s="268">
        <f t="shared" si="109"/>
        <v>0</v>
      </c>
      <c r="Q189" s="281">
        <f>SUM(L189:P189)</f>
        <v>3000</v>
      </c>
      <c r="R189" s="22"/>
      <c r="S189" s="21"/>
      <c r="T189" s="51"/>
    </row>
    <row r="190" spans="1:20" x14ac:dyDescent="0.2">
      <c r="A190" s="95">
        <v>11</v>
      </c>
      <c r="B190" s="108" t="str">
        <f>IF(A190&lt;&gt;0,INDEX(Coûts,'PA-Détails'!A190, 2),)</f>
        <v>Atelier technique</v>
      </c>
      <c r="C190" s="51"/>
      <c r="D190" s="94" t="str">
        <f>IF(A190&lt;&gt;0,INDEX(Coûts, 'PA-Détails'!A190, 5),)</f>
        <v>Pers / j</v>
      </c>
      <c r="E190" s="96">
        <f>3*20</f>
        <v>60</v>
      </c>
      <c r="F190" s="100"/>
      <c r="G190" s="100"/>
      <c r="H190" s="100"/>
      <c r="I190" s="100"/>
      <c r="J190" s="101">
        <f t="shared" si="88"/>
        <v>60</v>
      </c>
      <c r="K190" s="115">
        <f>IF(A190&lt;&gt;0,INDEX(Coûts, 'PA-Détails'!A190, 3),)</f>
        <v>70</v>
      </c>
      <c r="L190" s="37">
        <f t="shared" si="109"/>
        <v>4200</v>
      </c>
      <c r="M190" s="36">
        <f t="shared" si="109"/>
        <v>0</v>
      </c>
      <c r="N190" s="36">
        <f t="shared" si="109"/>
        <v>0</v>
      </c>
      <c r="O190" s="36">
        <f t="shared" si="109"/>
        <v>0</v>
      </c>
      <c r="P190" s="268">
        <f t="shared" si="109"/>
        <v>0</v>
      </c>
      <c r="Q190" s="281">
        <f>SUM(L190:P190)</f>
        <v>4200</v>
      </c>
      <c r="R190" s="22"/>
      <c r="S190" s="21"/>
      <c r="T190" s="51"/>
    </row>
    <row r="191" spans="1:20" x14ac:dyDescent="0.2">
      <c r="A191" s="95">
        <v>5</v>
      </c>
      <c r="B191" s="108" t="str">
        <f>IF(A191&lt;&gt;0,INDEX(Coûts,'PA-Détails'!A191, 2),)</f>
        <v>Atelier de validation</v>
      </c>
      <c r="C191" s="51"/>
      <c r="D191" s="94" t="str">
        <f>IF(A191&lt;&gt;0,INDEX(Coûts, 'PA-Détails'!A191, 5),)</f>
        <v>Pers / j</v>
      </c>
      <c r="E191" s="96">
        <f>3*20</f>
        <v>60</v>
      </c>
      <c r="F191" s="100"/>
      <c r="G191" s="100"/>
      <c r="H191" s="100"/>
      <c r="I191" s="100"/>
      <c r="J191" s="101">
        <f t="shared" si="88"/>
        <v>60</v>
      </c>
      <c r="K191" s="115">
        <f>IF(A191&lt;&gt;0,INDEX(Coûts, 'PA-Détails'!A191, 3),)</f>
        <v>50</v>
      </c>
      <c r="L191" s="37">
        <f t="shared" si="109"/>
        <v>3000</v>
      </c>
      <c r="M191" s="36">
        <f t="shared" si="109"/>
        <v>0</v>
      </c>
      <c r="N191" s="36">
        <f t="shared" si="109"/>
        <v>0</v>
      </c>
      <c r="O191" s="36">
        <f t="shared" si="109"/>
        <v>0</v>
      </c>
      <c r="P191" s="268">
        <f t="shared" si="109"/>
        <v>0</v>
      </c>
      <c r="Q191" s="281">
        <f>SUM(L191:P191)</f>
        <v>3000</v>
      </c>
      <c r="R191" s="22"/>
      <c r="S191" s="21"/>
      <c r="T191" s="51"/>
    </row>
    <row r="192" spans="1:20" x14ac:dyDescent="0.2">
      <c r="A192" s="20" t="s">
        <v>404</v>
      </c>
      <c r="B192" s="46"/>
      <c r="C192" s="51"/>
      <c r="D192" s="21"/>
      <c r="E192" s="96"/>
      <c r="F192" s="100"/>
      <c r="G192" s="100"/>
      <c r="H192" s="100"/>
      <c r="I192" s="100"/>
      <c r="J192" s="101">
        <f t="shared" si="88"/>
        <v>0</v>
      </c>
      <c r="K192" s="115"/>
      <c r="L192" s="35">
        <f t="shared" ref="L192:Q192" si="110">SUM(L193:L193)</f>
        <v>0</v>
      </c>
      <c r="M192" s="34">
        <f t="shared" si="110"/>
        <v>90000</v>
      </c>
      <c r="N192" s="34">
        <f t="shared" si="110"/>
        <v>0</v>
      </c>
      <c r="O192" s="34">
        <f t="shared" si="110"/>
        <v>0</v>
      </c>
      <c r="P192" s="269">
        <f t="shared" si="110"/>
        <v>0</v>
      </c>
      <c r="Q192" s="280">
        <f t="shared" si="110"/>
        <v>90000</v>
      </c>
      <c r="R192" s="198" t="s">
        <v>758</v>
      </c>
      <c r="S192" s="197" t="s">
        <v>665</v>
      </c>
      <c r="T192" s="51"/>
    </row>
    <row r="193" spans="1:20" x14ac:dyDescent="0.2">
      <c r="A193" s="95">
        <v>59</v>
      </c>
      <c r="B193" s="108" t="str">
        <f>IF(A193&lt;&gt;0,INDEX(Coûts,'PA-Détails'!A193, 2),)</f>
        <v>Acquisition et distribution de plaquettes/brochures/guides/livres</v>
      </c>
      <c r="C193" s="51"/>
      <c r="D193" s="94" t="str">
        <f>IF(A193&lt;&gt;0,INDEX(Coûts, 'PA-Détails'!A193, 5),)</f>
        <v>Unité</v>
      </c>
      <c r="E193" s="96"/>
      <c r="F193" s="100">
        <v>45000</v>
      </c>
      <c r="G193" s="100"/>
      <c r="H193" s="100"/>
      <c r="I193" s="100"/>
      <c r="J193" s="101">
        <f t="shared" si="88"/>
        <v>45000</v>
      </c>
      <c r="K193" s="115">
        <f>IF(A193&lt;&gt;0,INDEX(Coûts, 'PA-Détails'!A193, 3),)</f>
        <v>2</v>
      </c>
      <c r="L193" s="37">
        <f>ROUND(+$K193*E193,0)</f>
        <v>0</v>
      </c>
      <c r="M193" s="36">
        <f>ROUND(+$K193*F193,0)</f>
        <v>90000</v>
      </c>
      <c r="N193" s="36">
        <f>ROUND(+$K193*G193,0)</f>
        <v>0</v>
      </c>
      <c r="O193" s="36">
        <f>ROUND(+$K193*H193,0)</f>
        <v>0</v>
      </c>
      <c r="P193" s="268">
        <f>ROUND(+$K193*I193,0)</f>
        <v>0</v>
      </c>
      <c r="Q193" s="281">
        <f>SUM(L193:P193)</f>
        <v>90000</v>
      </c>
      <c r="R193" s="22"/>
      <c r="S193" s="21"/>
      <c r="T193" s="51"/>
    </row>
    <row r="194" spans="1:20" x14ac:dyDescent="0.2">
      <c r="A194" s="20" t="s">
        <v>405</v>
      </c>
      <c r="B194" s="46"/>
      <c r="C194" s="51"/>
      <c r="D194" s="21"/>
      <c r="E194" s="96"/>
      <c r="F194" s="100"/>
      <c r="G194" s="100"/>
      <c r="H194" s="100"/>
      <c r="I194" s="100"/>
      <c r="J194" s="101">
        <f t="shared" si="88"/>
        <v>0</v>
      </c>
      <c r="K194" s="115"/>
      <c r="L194" s="35">
        <f t="shared" ref="L194:Q194" si="111">SUM(L195:L195)</f>
        <v>0</v>
      </c>
      <c r="M194" s="34">
        <f t="shared" si="111"/>
        <v>33000</v>
      </c>
      <c r="N194" s="34">
        <f t="shared" si="111"/>
        <v>0</v>
      </c>
      <c r="O194" s="34">
        <f t="shared" si="111"/>
        <v>0</v>
      </c>
      <c r="P194" s="269">
        <f t="shared" si="111"/>
        <v>0</v>
      </c>
      <c r="Q194" s="280">
        <f t="shared" si="111"/>
        <v>33000</v>
      </c>
      <c r="R194" s="198" t="s">
        <v>781</v>
      </c>
      <c r="S194" s="197" t="s">
        <v>663</v>
      </c>
      <c r="T194" s="51"/>
    </row>
    <row r="195" spans="1:20" x14ac:dyDescent="0.2">
      <c r="A195" s="95">
        <v>8</v>
      </c>
      <c r="B195" s="108" t="str">
        <f>IF(A195&lt;&gt;0,INDEX(Coûts,'PA-Détails'!A195, 2),)</f>
        <v>Formation</v>
      </c>
      <c r="C195" s="51"/>
      <c r="D195" s="94" t="str">
        <f>IF(A195&lt;&gt;0,INDEX(Coûts, 'PA-Détails'!A195, 5),)</f>
        <v>Pers / j</v>
      </c>
      <c r="E195" s="96"/>
      <c r="F195" s="100">
        <f>30*10</f>
        <v>300</v>
      </c>
      <c r="G195" s="100"/>
      <c r="H195" s="100"/>
      <c r="I195" s="100"/>
      <c r="J195" s="101">
        <f t="shared" si="88"/>
        <v>300</v>
      </c>
      <c r="K195" s="115">
        <f>IF(A195&lt;&gt;0,INDEX(Coûts, 'PA-Détails'!A195, 3),)</f>
        <v>110</v>
      </c>
      <c r="L195" s="37">
        <f t="shared" ref="L195:P196" si="112">ROUND(+$K195*E195,0)</f>
        <v>0</v>
      </c>
      <c r="M195" s="36">
        <f t="shared" si="112"/>
        <v>33000</v>
      </c>
      <c r="N195" s="36">
        <f t="shared" si="112"/>
        <v>0</v>
      </c>
      <c r="O195" s="36">
        <f t="shared" si="112"/>
        <v>0</v>
      </c>
      <c r="P195" s="268">
        <f t="shared" si="112"/>
        <v>0</v>
      </c>
      <c r="Q195" s="281">
        <f>SUM(L195:P195)</f>
        <v>33000</v>
      </c>
      <c r="R195" s="22"/>
      <c r="S195" s="21"/>
      <c r="T195" s="51"/>
    </row>
    <row r="196" spans="1:20" x14ac:dyDescent="0.2">
      <c r="A196" s="17" t="s">
        <v>39</v>
      </c>
      <c r="B196" s="45"/>
      <c r="C196" s="51"/>
      <c r="D196" s="18"/>
      <c r="E196" s="97"/>
      <c r="F196" s="98"/>
      <c r="G196" s="98"/>
      <c r="H196" s="98"/>
      <c r="I196" s="98"/>
      <c r="J196" s="99">
        <f t="shared" si="88"/>
        <v>0</v>
      </c>
      <c r="K196" s="116"/>
      <c r="L196" s="35">
        <f t="shared" si="112"/>
        <v>0</v>
      </c>
      <c r="M196" s="34">
        <f t="shared" si="112"/>
        <v>0</v>
      </c>
      <c r="N196" s="34">
        <f t="shared" si="112"/>
        <v>0</v>
      </c>
      <c r="O196" s="34">
        <f t="shared" si="112"/>
        <v>0</v>
      </c>
      <c r="P196" s="269">
        <f t="shared" si="112"/>
        <v>0</v>
      </c>
      <c r="Q196" s="279">
        <f>SUM(L196:P196)</f>
        <v>0</v>
      </c>
      <c r="R196" s="19"/>
      <c r="S196" s="18"/>
      <c r="T196" s="51" t="s">
        <v>406</v>
      </c>
    </row>
    <row r="197" spans="1:20" x14ac:dyDescent="0.2">
      <c r="A197" s="20" t="s">
        <v>407</v>
      </c>
      <c r="B197" s="46"/>
      <c r="C197" s="51"/>
      <c r="D197" s="21"/>
      <c r="E197" s="96"/>
      <c r="F197" s="100"/>
      <c r="G197" s="100"/>
      <c r="H197" s="100"/>
      <c r="I197" s="100"/>
      <c r="J197" s="101">
        <f t="shared" si="88"/>
        <v>0</v>
      </c>
      <c r="K197" s="115"/>
      <c r="L197" s="35">
        <f t="shared" ref="L197:Q197" si="113">SUM(L198:L200)</f>
        <v>10200</v>
      </c>
      <c r="M197" s="34">
        <f t="shared" si="113"/>
        <v>0</v>
      </c>
      <c r="N197" s="34">
        <f t="shared" si="113"/>
        <v>0</v>
      </c>
      <c r="O197" s="34">
        <f t="shared" si="113"/>
        <v>0</v>
      </c>
      <c r="P197" s="269">
        <f t="shared" si="113"/>
        <v>0</v>
      </c>
      <c r="Q197" s="280">
        <f t="shared" si="113"/>
        <v>10200</v>
      </c>
      <c r="R197" s="198" t="s">
        <v>758</v>
      </c>
      <c r="S197" s="197" t="s">
        <v>688</v>
      </c>
      <c r="T197" s="51"/>
    </row>
    <row r="198" spans="1:20" x14ac:dyDescent="0.2">
      <c r="A198" s="95">
        <v>2</v>
      </c>
      <c r="B198" s="108" t="str">
        <f>IF(A198&lt;&gt;0,INDEX(Coûts,'PA-Détails'!A198, 2),)</f>
        <v>Assistance technique nationale (consultants)</v>
      </c>
      <c r="C198" s="51"/>
      <c r="D198" s="94" t="str">
        <f>IF(A198&lt;&gt;0,INDEX(Coûts, 'PA-Détails'!A198, 5),)</f>
        <v>Pers / j</v>
      </c>
      <c r="E198" s="96">
        <v>10</v>
      </c>
      <c r="F198" s="100"/>
      <c r="G198" s="100"/>
      <c r="H198" s="100"/>
      <c r="I198" s="100"/>
      <c r="J198" s="101">
        <f t="shared" si="88"/>
        <v>10</v>
      </c>
      <c r="K198" s="115">
        <f>IF(A198&lt;&gt;0,INDEX(Coûts, 'PA-Détails'!A198, 3),)</f>
        <v>300</v>
      </c>
      <c r="L198" s="37">
        <f t="shared" ref="L198:P200" si="114">ROUND(+$K198*E198,0)</f>
        <v>3000</v>
      </c>
      <c r="M198" s="36">
        <f t="shared" si="114"/>
        <v>0</v>
      </c>
      <c r="N198" s="36">
        <f t="shared" si="114"/>
        <v>0</v>
      </c>
      <c r="O198" s="36">
        <f t="shared" si="114"/>
        <v>0</v>
      </c>
      <c r="P198" s="268">
        <f t="shared" si="114"/>
        <v>0</v>
      </c>
      <c r="Q198" s="281">
        <f>SUM(L198:P198)</f>
        <v>3000</v>
      </c>
      <c r="R198" s="22"/>
      <c r="S198" s="21"/>
      <c r="T198" s="51"/>
    </row>
    <row r="199" spans="1:20" x14ac:dyDescent="0.2">
      <c r="A199" s="95">
        <v>11</v>
      </c>
      <c r="B199" s="108" t="str">
        <f>IF(A199&lt;&gt;0,INDEX(Coûts,'PA-Détails'!A199, 2),)</f>
        <v>Atelier technique</v>
      </c>
      <c r="C199" s="51"/>
      <c r="D199" s="94" t="str">
        <f>IF(A199&lt;&gt;0,INDEX(Coûts, 'PA-Détails'!A199, 5),)</f>
        <v>Pers / j</v>
      </c>
      <c r="E199" s="96">
        <f>3*20</f>
        <v>60</v>
      </c>
      <c r="F199" s="100"/>
      <c r="G199" s="100"/>
      <c r="H199" s="100"/>
      <c r="I199" s="100"/>
      <c r="J199" s="101">
        <f t="shared" si="88"/>
        <v>60</v>
      </c>
      <c r="K199" s="115">
        <f>IF(A199&lt;&gt;0,INDEX(Coûts, 'PA-Détails'!A199, 3),)</f>
        <v>70</v>
      </c>
      <c r="L199" s="37">
        <f t="shared" si="114"/>
        <v>4200</v>
      </c>
      <c r="M199" s="36">
        <f t="shared" si="114"/>
        <v>0</v>
      </c>
      <c r="N199" s="36">
        <f t="shared" si="114"/>
        <v>0</v>
      </c>
      <c r="O199" s="36">
        <f t="shared" si="114"/>
        <v>0</v>
      </c>
      <c r="P199" s="268">
        <f t="shared" si="114"/>
        <v>0</v>
      </c>
      <c r="Q199" s="281">
        <f>SUM(L199:P199)</f>
        <v>4200</v>
      </c>
      <c r="R199" s="22"/>
      <c r="S199" s="21"/>
      <c r="T199" s="51"/>
    </row>
    <row r="200" spans="1:20" x14ac:dyDescent="0.2">
      <c r="A200" s="95">
        <v>5</v>
      </c>
      <c r="B200" s="108" t="str">
        <f>IF(A200&lt;&gt;0,INDEX(Coûts,'PA-Détails'!A200, 2),)</f>
        <v>Atelier de validation</v>
      </c>
      <c r="C200" s="51"/>
      <c r="D200" s="94" t="str">
        <f>IF(A200&lt;&gt;0,INDEX(Coûts, 'PA-Détails'!A200, 5),)</f>
        <v>Pers / j</v>
      </c>
      <c r="E200" s="96">
        <f>3*20</f>
        <v>60</v>
      </c>
      <c r="F200" s="100"/>
      <c r="G200" s="100"/>
      <c r="H200" s="100"/>
      <c r="I200" s="100"/>
      <c r="J200" s="101">
        <f t="shared" si="88"/>
        <v>60</v>
      </c>
      <c r="K200" s="115">
        <f>IF(A200&lt;&gt;0,INDEX(Coûts, 'PA-Détails'!A200, 3),)</f>
        <v>50</v>
      </c>
      <c r="L200" s="37">
        <f t="shared" si="114"/>
        <v>3000</v>
      </c>
      <c r="M200" s="36">
        <f t="shared" si="114"/>
        <v>0</v>
      </c>
      <c r="N200" s="36">
        <f t="shared" si="114"/>
        <v>0</v>
      </c>
      <c r="O200" s="36">
        <f t="shared" si="114"/>
        <v>0</v>
      </c>
      <c r="P200" s="268">
        <f t="shared" si="114"/>
        <v>0</v>
      </c>
      <c r="Q200" s="281">
        <f>SUM(L200:P200)</f>
        <v>3000</v>
      </c>
      <c r="R200" s="22"/>
      <c r="S200" s="21"/>
      <c r="T200" s="51"/>
    </row>
    <row r="201" spans="1:20" x14ac:dyDescent="0.2">
      <c r="A201" s="20" t="s">
        <v>408</v>
      </c>
      <c r="B201" s="46"/>
      <c r="C201" s="51"/>
      <c r="D201" s="21"/>
      <c r="E201" s="96"/>
      <c r="F201" s="100"/>
      <c r="G201" s="100"/>
      <c r="H201" s="100"/>
      <c r="I201" s="100"/>
      <c r="J201" s="101">
        <f t="shared" si="88"/>
        <v>0</v>
      </c>
      <c r="K201" s="115"/>
      <c r="L201" s="35">
        <f t="shared" ref="L201:Q201" si="115">SUM(L202:L202)</f>
        <v>0</v>
      </c>
      <c r="M201" s="34">
        <f t="shared" si="115"/>
        <v>80000</v>
      </c>
      <c r="N201" s="34">
        <f t="shared" si="115"/>
        <v>80000</v>
      </c>
      <c r="O201" s="34">
        <f t="shared" si="115"/>
        <v>80000</v>
      </c>
      <c r="P201" s="269">
        <f t="shared" si="115"/>
        <v>80000</v>
      </c>
      <c r="Q201" s="280">
        <f t="shared" si="115"/>
        <v>320000</v>
      </c>
      <c r="R201" s="198" t="s">
        <v>763</v>
      </c>
      <c r="S201" s="197" t="s">
        <v>688</v>
      </c>
      <c r="T201" s="51"/>
    </row>
    <row r="202" spans="1:20" x14ac:dyDescent="0.2">
      <c r="A202" s="95">
        <v>59</v>
      </c>
      <c r="B202" s="108" t="str">
        <f>IF(A202&lt;&gt;0,INDEX(Coûts,'PA-Détails'!A202, 2),)</f>
        <v>Acquisition et distribution de plaquettes/brochures/guides/livres</v>
      </c>
      <c r="C202" s="51"/>
      <c r="D202" s="94" t="str">
        <f>IF(A202&lt;&gt;0,INDEX(Coûts, 'PA-Détails'!A202, 5),)</f>
        <v>Unité</v>
      </c>
      <c r="E202" s="96">
        <f>H!E20</f>
        <v>0</v>
      </c>
      <c r="F202" s="100">
        <f>H!F20</f>
        <v>40000</v>
      </c>
      <c r="G202" s="100">
        <f>H!G20</f>
        <v>40000</v>
      </c>
      <c r="H202" s="100">
        <f>H!H20</f>
        <v>40000</v>
      </c>
      <c r="I202" s="100">
        <f>H!I20</f>
        <v>40000</v>
      </c>
      <c r="J202" s="101">
        <f t="shared" si="88"/>
        <v>160000</v>
      </c>
      <c r="K202" s="115">
        <f>IF(A202&lt;&gt;0,INDEX(Coûts, 'PA-Détails'!A202, 3),)</f>
        <v>2</v>
      </c>
      <c r="L202" s="37">
        <f t="shared" ref="L202:P203" si="116">ROUND(+$K202*E202,0)</f>
        <v>0</v>
      </c>
      <c r="M202" s="36">
        <f t="shared" si="116"/>
        <v>80000</v>
      </c>
      <c r="N202" s="36">
        <f t="shared" si="116"/>
        <v>80000</v>
      </c>
      <c r="O202" s="36">
        <f t="shared" si="116"/>
        <v>80000</v>
      </c>
      <c r="P202" s="268">
        <f t="shared" si="116"/>
        <v>80000</v>
      </c>
      <c r="Q202" s="281">
        <f>SUM(L202:P202)</f>
        <v>320000</v>
      </c>
      <c r="R202" s="22"/>
      <c r="S202" s="21"/>
      <c r="T202" s="51"/>
    </row>
    <row r="203" spans="1:20" x14ac:dyDescent="0.2">
      <c r="A203" s="17" t="s">
        <v>409</v>
      </c>
      <c r="B203" s="45"/>
      <c r="C203" s="51"/>
      <c r="D203" s="18"/>
      <c r="E203" s="97"/>
      <c r="F203" s="98"/>
      <c r="G203" s="98"/>
      <c r="H203" s="98"/>
      <c r="I203" s="98"/>
      <c r="J203" s="99">
        <f t="shared" si="88"/>
        <v>0</v>
      </c>
      <c r="K203" s="116"/>
      <c r="L203" s="35">
        <f t="shared" si="116"/>
        <v>0</v>
      </c>
      <c r="M203" s="34">
        <f t="shared" si="116"/>
        <v>0</v>
      </c>
      <c r="N203" s="34">
        <f t="shared" si="116"/>
        <v>0</v>
      </c>
      <c r="O203" s="34">
        <f t="shared" si="116"/>
        <v>0</v>
      </c>
      <c r="P203" s="269">
        <f t="shared" si="116"/>
        <v>0</v>
      </c>
      <c r="Q203" s="279">
        <f>SUM(L203:P203)</f>
        <v>0</v>
      </c>
      <c r="R203" s="19"/>
      <c r="S203" s="18"/>
      <c r="T203" s="51" t="s">
        <v>410</v>
      </c>
    </row>
    <row r="204" spans="1:20" x14ac:dyDescent="0.2">
      <c r="A204" s="20" t="s">
        <v>411</v>
      </c>
      <c r="B204" s="46"/>
      <c r="C204" s="51"/>
      <c r="D204" s="21"/>
      <c r="E204" s="96"/>
      <c r="F204" s="100"/>
      <c r="G204" s="100"/>
      <c r="H204" s="100"/>
      <c r="I204" s="100"/>
      <c r="J204" s="101">
        <f t="shared" si="88"/>
        <v>0</v>
      </c>
      <c r="K204" s="115"/>
      <c r="L204" s="35">
        <f t="shared" ref="L204:Q204" si="117">SUM(L205:L205)</f>
        <v>2188000</v>
      </c>
      <c r="M204" s="34">
        <f t="shared" si="117"/>
        <v>2188000</v>
      </c>
      <c r="N204" s="34">
        <f t="shared" si="117"/>
        <v>2188000</v>
      </c>
      <c r="O204" s="34">
        <f t="shared" si="117"/>
        <v>2188000</v>
      </c>
      <c r="P204" s="269">
        <f t="shared" si="117"/>
        <v>2188000</v>
      </c>
      <c r="Q204" s="280">
        <f t="shared" si="117"/>
        <v>10940000</v>
      </c>
      <c r="R204" s="198" t="s">
        <v>782</v>
      </c>
      <c r="S204" s="197" t="s">
        <v>665</v>
      </c>
      <c r="T204" s="51"/>
    </row>
    <row r="205" spans="1:20" x14ac:dyDescent="0.2">
      <c r="A205" s="95">
        <v>54</v>
      </c>
      <c r="B205" s="108" t="str">
        <f>IF(A205&lt;&gt;0,INDEX(Coûts,'PA-Détails'!A205, 2),)</f>
        <v>Armoire de stockage</v>
      </c>
      <c r="C205" s="51"/>
      <c r="D205" s="94" t="str">
        <f>IF(A205&lt;&gt;0,INDEX(Coûts, 'PA-Détails'!A205, 5),)</f>
        <v>Unité</v>
      </c>
      <c r="E205" s="96">
        <f>H!E22</f>
        <v>10940</v>
      </c>
      <c r="F205" s="100">
        <f>H!F22</f>
        <v>10940</v>
      </c>
      <c r="G205" s="100">
        <f>H!G22</f>
        <v>10940</v>
      </c>
      <c r="H205" s="100">
        <f>H!H22</f>
        <v>10940</v>
      </c>
      <c r="I205" s="100">
        <f>H!I22</f>
        <v>10940</v>
      </c>
      <c r="J205" s="101">
        <f t="shared" si="88"/>
        <v>54700</v>
      </c>
      <c r="K205" s="115">
        <f>IF(A205&lt;&gt;0,INDEX(Coûts, 'PA-Détails'!A205, 3),)</f>
        <v>200</v>
      </c>
      <c r="L205" s="37">
        <f t="shared" ref="L205:P207" si="118">ROUND(+$K205*E205,0)</f>
        <v>2188000</v>
      </c>
      <c r="M205" s="36">
        <f t="shared" si="118"/>
        <v>2188000</v>
      </c>
      <c r="N205" s="36">
        <f t="shared" si="118"/>
        <v>2188000</v>
      </c>
      <c r="O205" s="36">
        <f t="shared" si="118"/>
        <v>2188000</v>
      </c>
      <c r="P205" s="268">
        <f t="shared" si="118"/>
        <v>2188000</v>
      </c>
      <c r="Q205" s="281">
        <f>SUM(L205:P205)</f>
        <v>10940000</v>
      </c>
      <c r="R205" s="22"/>
      <c r="S205" s="21"/>
      <c r="T205" s="51"/>
    </row>
    <row r="206" spans="1:20" x14ac:dyDescent="0.2">
      <c r="A206" s="14" t="s">
        <v>689</v>
      </c>
      <c r="B206" s="44"/>
      <c r="C206" s="112"/>
      <c r="D206" s="15"/>
      <c r="E206" s="102"/>
      <c r="F206" s="103"/>
      <c r="G206" s="103"/>
      <c r="H206" s="103"/>
      <c r="I206" s="103"/>
      <c r="J206" s="104">
        <f t="shared" si="88"/>
        <v>0</v>
      </c>
      <c r="K206" s="145"/>
      <c r="L206" s="33">
        <f t="shared" si="118"/>
        <v>0</v>
      </c>
      <c r="M206" s="32">
        <f t="shared" si="118"/>
        <v>0</v>
      </c>
      <c r="N206" s="32">
        <f t="shared" si="118"/>
        <v>0</v>
      </c>
      <c r="O206" s="32">
        <f t="shared" si="118"/>
        <v>0</v>
      </c>
      <c r="P206" s="267">
        <f t="shared" si="118"/>
        <v>0</v>
      </c>
      <c r="Q206" s="278">
        <f>SUM(L206:P206)</f>
        <v>0</v>
      </c>
      <c r="R206" s="16"/>
      <c r="S206" s="15"/>
      <c r="T206" s="112">
        <v>2</v>
      </c>
    </row>
    <row r="207" spans="1:20" x14ac:dyDescent="0.2">
      <c r="A207" s="17" t="s">
        <v>40</v>
      </c>
      <c r="B207" s="45"/>
      <c r="C207" s="51" t="s">
        <v>412</v>
      </c>
      <c r="D207" s="18"/>
      <c r="E207" s="97"/>
      <c r="F207" s="98"/>
      <c r="G207" s="98"/>
      <c r="H207" s="98"/>
      <c r="I207" s="98"/>
      <c r="J207" s="99">
        <f t="shared" si="88"/>
        <v>0</v>
      </c>
      <c r="K207" s="116"/>
      <c r="L207" s="35">
        <f t="shared" si="118"/>
        <v>0</v>
      </c>
      <c r="M207" s="34">
        <f t="shared" si="118"/>
        <v>0</v>
      </c>
      <c r="N207" s="34">
        <f t="shared" si="118"/>
        <v>0</v>
      </c>
      <c r="O207" s="34">
        <f t="shared" si="118"/>
        <v>0</v>
      </c>
      <c r="P207" s="269">
        <f t="shared" si="118"/>
        <v>0</v>
      </c>
      <c r="Q207" s="279">
        <f>SUM(L207:P207)</f>
        <v>0</v>
      </c>
      <c r="R207" s="19"/>
      <c r="S207" s="18"/>
      <c r="T207" s="51"/>
    </row>
    <row r="208" spans="1:20" x14ac:dyDescent="0.2">
      <c r="A208" s="20" t="s">
        <v>691</v>
      </c>
      <c r="B208" s="46"/>
      <c r="C208" s="51"/>
      <c r="D208" s="21"/>
      <c r="E208" s="96"/>
      <c r="F208" s="100"/>
      <c r="G208" s="100"/>
      <c r="H208" s="100"/>
      <c r="I208" s="100"/>
      <c r="J208" s="101">
        <f t="shared" si="88"/>
        <v>0</v>
      </c>
      <c r="K208" s="115"/>
      <c r="L208" s="35">
        <f t="shared" ref="L208:Q208" si="119">SUM(L209:L209)</f>
        <v>90000</v>
      </c>
      <c r="M208" s="34">
        <f t="shared" si="119"/>
        <v>0</v>
      </c>
      <c r="N208" s="34">
        <f t="shared" si="119"/>
        <v>90000</v>
      </c>
      <c r="O208" s="34">
        <f t="shared" si="119"/>
        <v>0</v>
      </c>
      <c r="P208" s="269">
        <f t="shared" si="119"/>
        <v>90000</v>
      </c>
      <c r="Q208" s="280">
        <f t="shared" si="119"/>
        <v>270000</v>
      </c>
      <c r="R208" s="198" t="s">
        <v>763</v>
      </c>
      <c r="S208" s="197" t="s">
        <v>690</v>
      </c>
      <c r="T208" s="51"/>
    </row>
    <row r="209" spans="1:20" x14ac:dyDescent="0.2">
      <c r="A209" s="95">
        <v>12</v>
      </c>
      <c r="B209" s="108" t="str">
        <f>IF(A209&lt;&gt;0,INDEX(Coûts,'PA-Détails'!A209, 2),)</f>
        <v>Formation - Action et Formation de formateurs</v>
      </c>
      <c r="C209" s="51"/>
      <c r="D209" s="94" t="str">
        <f>IF(A209&lt;&gt;0,INDEX(Coûts, 'PA-Détails'!A209, 5),)</f>
        <v>Pers / j</v>
      </c>
      <c r="E209" s="96">
        <f>30*20</f>
        <v>600</v>
      </c>
      <c r="F209" s="100"/>
      <c r="G209" s="100">
        <f>E209</f>
        <v>600</v>
      </c>
      <c r="H209" s="100"/>
      <c r="I209" s="100">
        <f>G209</f>
        <v>600</v>
      </c>
      <c r="J209" s="101">
        <f t="shared" si="88"/>
        <v>1800</v>
      </c>
      <c r="K209" s="115">
        <f>IF(A209&lt;&gt;0,INDEX(Coûts, 'PA-Détails'!A209, 3),)</f>
        <v>150</v>
      </c>
      <c r="L209" s="37">
        <f t="shared" ref="L209:P210" si="120">ROUND(+$K209*E209,0)</f>
        <v>90000</v>
      </c>
      <c r="M209" s="36">
        <f t="shared" si="120"/>
        <v>0</v>
      </c>
      <c r="N209" s="36">
        <f t="shared" si="120"/>
        <v>90000</v>
      </c>
      <c r="O209" s="36">
        <f t="shared" si="120"/>
        <v>0</v>
      </c>
      <c r="P209" s="268">
        <f t="shared" si="120"/>
        <v>90000</v>
      </c>
      <c r="Q209" s="281">
        <f>SUM(L209:P209)</f>
        <v>270000</v>
      </c>
      <c r="R209" s="22"/>
      <c r="S209" s="21"/>
      <c r="T209" s="51"/>
    </row>
    <row r="210" spans="1:20" x14ac:dyDescent="0.2">
      <c r="A210" s="17" t="s">
        <v>41</v>
      </c>
      <c r="B210" s="45"/>
      <c r="C210" s="51" t="s">
        <v>413</v>
      </c>
      <c r="D210" s="18"/>
      <c r="E210" s="97"/>
      <c r="F210" s="98"/>
      <c r="G210" s="98"/>
      <c r="H210" s="98"/>
      <c r="I210" s="98"/>
      <c r="J210" s="99">
        <f t="shared" si="88"/>
        <v>0</v>
      </c>
      <c r="K210" s="116"/>
      <c r="L210" s="35">
        <f t="shared" si="120"/>
        <v>0</v>
      </c>
      <c r="M210" s="34">
        <f t="shared" si="120"/>
        <v>0</v>
      </c>
      <c r="N210" s="34">
        <f t="shared" si="120"/>
        <v>0</v>
      </c>
      <c r="O210" s="34">
        <f t="shared" si="120"/>
        <v>0</v>
      </c>
      <c r="P210" s="269">
        <f t="shared" si="120"/>
        <v>0</v>
      </c>
      <c r="Q210" s="279">
        <f>SUM(L210:P210)</f>
        <v>0</v>
      </c>
      <c r="R210" s="19"/>
      <c r="S210" s="18"/>
      <c r="T210" s="51"/>
    </row>
    <row r="211" spans="1:20" x14ac:dyDescent="0.2">
      <c r="A211" s="20" t="s">
        <v>1048</v>
      </c>
      <c r="B211" s="46"/>
      <c r="C211" s="51"/>
      <c r="D211" s="21"/>
      <c r="E211" s="96"/>
      <c r="F211" s="100"/>
      <c r="G211" s="100"/>
      <c r="H211" s="100"/>
      <c r="I211" s="100"/>
      <c r="J211" s="101">
        <f t="shared" si="88"/>
        <v>0</v>
      </c>
      <c r="K211" s="115"/>
      <c r="L211" s="35">
        <f t="shared" ref="L211:Q211" si="121">SUM(L212:L213)</f>
        <v>12500</v>
      </c>
      <c r="M211" s="34">
        <f t="shared" si="121"/>
        <v>0</v>
      </c>
      <c r="N211" s="34">
        <f t="shared" si="121"/>
        <v>0</v>
      </c>
      <c r="O211" s="34">
        <f t="shared" si="121"/>
        <v>0</v>
      </c>
      <c r="P211" s="269">
        <f t="shared" si="121"/>
        <v>0</v>
      </c>
      <c r="Q211" s="280">
        <f t="shared" si="121"/>
        <v>12500</v>
      </c>
      <c r="R211" s="198" t="s">
        <v>758</v>
      </c>
      <c r="S211" s="197" t="s">
        <v>690</v>
      </c>
      <c r="T211" s="51"/>
    </row>
    <row r="212" spans="1:20" x14ac:dyDescent="0.2">
      <c r="A212" s="95">
        <v>2</v>
      </c>
      <c r="B212" s="108" t="str">
        <f>IF(A212&lt;&gt;0,INDEX(Coûts,'PA-Détails'!A212, 2),)</f>
        <v>Assistance technique nationale (consultants)</v>
      </c>
      <c r="C212" s="51"/>
      <c r="D212" s="94" t="str">
        <f>IF(A212&lt;&gt;0,INDEX(Coûts, 'PA-Détails'!A212, 5),)</f>
        <v>Pers / j</v>
      </c>
      <c r="E212" s="96">
        <v>25</v>
      </c>
      <c r="F212" s="100"/>
      <c r="G212" s="100"/>
      <c r="H212" s="100"/>
      <c r="I212" s="100"/>
      <c r="J212" s="101">
        <f t="shared" si="88"/>
        <v>25</v>
      </c>
      <c r="K212" s="115">
        <f>IF(A212&lt;&gt;0,INDEX(Coûts, 'PA-Détails'!A212, 3),)</f>
        <v>300</v>
      </c>
      <c r="L212" s="37">
        <f t="shared" ref="L212:P213" si="122">ROUND(+$K212*E212,0)</f>
        <v>7500</v>
      </c>
      <c r="M212" s="36">
        <f t="shared" si="122"/>
        <v>0</v>
      </c>
      <c r="N212" s="36">
        <f t="shared" si="122"/>
        <v>0</v>
      </c>
      <c r="O212" s="36">
        <f t="shared" si="122"/>
        <v>0</v>
      </c>
      <c r="P212" s="268">
        <f t="shared" si="122"/>
        <v>0</v>
      </c>
      <c r="Q212" s="281">
        <f>SUM(L212:P212)</f>
        <v>7500</v>
      </c>
      <c r="R212" s="22"/>
      <c r="S212" s="21"/>
      <c r="T212" s="51"/>
    </row>
    <row r="213" spans="1:20" x14ac:dyDescent="0.2">
      <c r="A213" s="95">
        <v>5</v>
      </c>
      <c r="B213" s="108" t="str">
        <f>IF(A213&lt;&gt;0,INDEX(Coûts,'PA-Détails'!A213, 2),)</f>
        <v>Atelier de validation</v>
      </c>
      <c r="C213" s="51"/>
      <c r="D213" s="94" t="str">
        <f>IF(A213&lt;&gt;0,INDEX(Coûts, 'PA-Détails'!A213, 5),)</f>
        <v>Pers / j</v>
      </c>
      <c r="E213" s="96">
        <v>100</v>
      </c>
      <c r="F213" s="100"/>
      <c r="G213" s="100"/>
      <c r="H213" s="100"/>
      <c r="I213" s="100"/>
      <c r="J213" s="101">
        <f t="shared" si="88"/>
        <v>100</v>
      </c>
      <c r="K213" s="115">
        <f>IF(A213&lt;&gt;0,INDEX(Coûts, 'PA-Détails'!A213, 3),)</f>
        <v>50</v>
      </c>
      <c r="L213" s="37">
        <f t="shared" si="122"/>
        <v>5000</v>
      </c>
      <c r="M213" s="36">
        <f t="shared" si="122"/>
        <v>0</v>
      </c>
      <c r="N213" s="36">
        <f t="shared" si="122"/>
        <v>0</v>
      </c>
      <c r="O213" s="36">
        <f t="shared" si="122"/>
        <v>0</v>
      </c>
      <c r="P213" s="268">
        <f t="shared" si="122"/>
        <v>0</v>
      </c>
      <c r="Q213" s="281">
        <f>SUM(L213:P213)</f>
        <v>5000</v>
      </c>
      <c r="R213" s="22"/>
      <c r="S213" s="21"/>
      <c r="T213" s="51"/>
    </row>
    <row r="214" spans="1:20" x14ac:dyDescent="0.2">
      <c r="A214" s="20" t="s">
        <v>1049</v>
      </c>
      <c r="B214" s="46"/>
      <c r="C214" s="51"/>
      <c r="D214" s="21"/>
      <c r="E214" s="96"/>
      <c r="F214" s="100"/>
      <c r="G214" s="100"/>
      <c r="H214" s="100"/>
      <c r="I214" s="100"/>
      <c r="J214" s="101">
        <f t="shared" si="88"/>
        <v>0</v>
      </c>
      <c r="K214" s="115"/>
      <c r="L214" s="35">
        <f t="shared" ref="L214:Q214" si="123">SUM(L215:L215)</f>
        <v>0</v>
      </c>
      <c r="M214" s="34">
        <f t="shared" si="123"/>
        <v>100000</v>
      </c>
      <c r="N214" s="34">
        <f t="shared" si="123"/>
        <v>0</v>
      </c>
      <c r="O214" s="34">
        <f t="shared" si="123"/>
        <v>0</v>
      </c>
      <c r="P214" s="269">
        <f t="shared" si="123"/>
        <v>0</v>
      </c>
      <c r="Q214" s="280">
        <f t="shared" si="123"/>
        <v>100000</v>
      </c>
      <c r="R214" s="198" t="s">
        <v>758</v>
      </c>
      <c r="S214" s="197" t="s">
        <v>690</v>
      </c>
      <c r="T214" s="51"/>
    </row>
    <row r="215" spans="1:20" x14ac:dyDescent="0.2">
      <c r="A215" s="95">
        <v>59</v>
      </c>
      <c r="B215" s="108" t="str">
        <f>IF(A215&lt;&gt;0,INDEX(Coûts,'PA-Détails'!A215, 2),)</f>
        <v>Acquisition et distribution de plaquettes/brochures/guides/livres</v>
      </c>
      <c r="C215" s="51"/>
      <c r="D215" s="94" t="str">
        <f>IF(A215&lt;&gt;0,INDEX(Coûts, 'PA-Détails'!A215, 5),)</f>
        <v>Unité</v>
      </c>
      <c r="E215" s="96"/>
      <c r="F215" s="100">
        <v>50000</v>
      </c>
      <c r="G215" s="100"/>
      <c r="H215" s="100"/>
      <c r="I215" s="100"/>
      <c r="J215" s="101">
        <f t="shared" si="88"/>
        <v>50000</v>
      </c>
      <c r="K215" s="115">
        <f>IF(A215&lt;&gt;0,INDEX(Coûts, 'PA-Détails'!A215, 3),)</f>
        <v>2</v>
      </c>
      <c r="L215" s="37">
        <f>ROUND(+$K215*E215,0)</f>
        <v>0</v>
      </c>
      <c r="M215" s="36">
        <f>ROUND(+$K215*F215,0)</f>
        <v>100000</v>
      </c>
      <c r="N215" s="36">
        <f>ROUND(+$K215*G215,0)</f>
        <v>0</v>
      </c>
      <c r="O215" s="36">
        <f>ROUND(+$K215*H215,0)</f>
        <v>0</v>
      </c>
      <c r="P215" s="268">
        <f>ROUND(+$K215*I215,0)</f>
        <v>0</v>
      </c>
      <c r="Q215" s="281">
        <f>SUM(L215:P215)</f>
        <v>100000</v>
      </c>
      <c r="R215" s="22"/>
      <c r="S215" s="21"/>
      <c r="T215" s="51"/>
    </row>
    <row r="216" spans="1:20" x14ac:dyDescent="0.2">
      <c r="A216" s="20" t="s">
        <v>414</v>
      </c>
      <c r="B216" s="46"/>
      <c r="C216" s="51"/>
      <c r="D216" s="21"/>
      <c r="E216" s="96"/>
      <c r="F216" s="100"/>
      <c r="G216" s="100"/>
      <c r="H216" s="100"/>
      <c r="I216" s="100"/>
      <c r="J216" s="101">
        <f t="shared" si="88"/>
        <v>0</v>
      </c>
      <c r="K216" s="115"/>
      <c r="L216" s="35">
        <f t="shared" ref="L216:Q216" si="124">SUM(L217:L217)</f>
        <v>0</v>
      </c>
      <c r="M216" s="34">
        <f t="shared" si="124"/>
        <v>90000</v>
      </c>
      <c r="N216" s="34">
        <f t="shared" si="124"/>
        <v>0</v>
      </c>
      <c r="O216" s="34">
        <f t="shared" si="124"/>
        <v>0</v>
      </c>
      <c r="P216" s="269">
        <f t="shared" si="124"/>
        <v>0</v>
      </c>
      <c r="Q216" s="280">
        <f t="shared" si="124"/>
        <v>90000</v>
      </c>
      <c r="R216" s="198" t="s">
        <v>763</v>
      </c>
      <c r="S216" s="197" t="s">
        <v>690</v>
      </c>
      <c r="T216" s="51"/>
    </row>
    <row r="217" spans="1:20" x14ac:dyDescent="0.2">
      <c r="A217" s="95">
        <v>12</v>
      </c>
      <c r="B217" s="108" t="str">
        <f>IF(A217&lt;&gt;0,INDEX(Coûts,'PA-Détails'!A217, 2),)</f>
        <v>Formation - Action et Formation de formateurs</v>
      </c>
      <c r="C217" s="51"/>
      <c r="D217" s="94" t="str">
        <f>IF(A217&lt;&gt;0,INDEX(Coûts, 'PA-Détails'!A217, 5),)</f>
        <v>Pers / j</v>
      </c>
      <c r="E217" s="96"/>
      <c r="F217" s="100">
        <f>30*20</f>
        <v>600</v>
      </c>
      <c r="G217" s="100"/>
      <c r="H217" s="100"/>
      <c r="I217" s="100"/>
      <c r="J217" s="101">
        <f t="shared" si="88"/>
        <v>600</v>
      </c>
      <c r="K217" s="115">
        <f>IF(A217&lt;&gt;0,INDEX(Coûts, 'PA-Détails'!A217, 3),)</f>
        <v>150</v>
      </c>
      <c r="L217" s="37">
        <f t="shared" ref="L217:P218" si="125">ROUND(+$K217*E217,0)</f>
        <v>0</v>
      </c>
      <c r="M217" s="36">
        <f t="shared" si="125"/>
        <v>90000</v>
      </c>
      <c r="N217" s="36">
        <f t="shared" si="125"/>
        <v>0</v>
      </c>
      <c r="O217" s="36">
        <f t="shared" si="125"/>
        <v>0</v>
      </c>
      <c r="P217" s="268">
        <f t="shared" si="125"/>
        <v>0</v>
      </c>
      <c r="Q217" s="281">
        <f>SUM(L217:P217)</f>
        <v>90000</v>
      </c>
      <c r="R217" s="22"/>
      <c r="S217" s="21"/>
      <c r="T217" s="51"/>
    </row>
    <row r="218" spans="1:20" x14ac:dyDescent="0.2">
      <c r="A218" s="17" t="s">
        <v>42</v>
      </c>
      <c r="B218" s="45"/>
      <c r="C218" s="51" t="s">
        <v>415</v>
      </c>
      <c r="D218" s="18"/>
      <c r="E218" s="97"/>
      <c r="F218" s="98"/>
      <c r="G218" s="98"/>
      <c r="H218" s="98"/>
      <c r="I218" s="98"/>
      <c r="J218" s="99">
        <f t="shared" si="88"/>
        <v>0</v>
      </c>
      <c r="K218" s="116"/>
      <c r="L218" s="35">
        <f t="shared" si="125"/>
        <v>0</v>
      </c>
      <c r="M218" s="34">
        <f t="shared" si="125"/>
        <v>0</v>
      </c>
      <c r="N218" s="34">
        <f t="shared" si="125"/>
        <v>0</v>
      </c>
      <c r="O218" s="34">
        <f t="shared" si="125"/>
        <v>0</v>
      </c>
      <c r="P218" s="269">
        <f t="shared" si="125"/>
        <v>0</v>
      </c>
      <c r="Q218" s="279">
        <f>SUM(L218:P218)</f>
        <v>0</v>
      </c>
      <c r="R218" s="19"/>
      <c r="S218" s="18"/>
      <c r="T218" s="51"/>
    </row>
    <row r="219" spans="1:20" x14ac:dyDescent="0.2">
      <c r="A219" s="20" t="s">
        <v>1050</v>
      </c>
      <c r="B219" s="46"/>
      <c r="C219" s="51"/>
      <c r="D219" s="21"/>
      <c r="E219" s="96"/>
      <c r="F219" s="100"/>
      <c r="G219" s="100"/>
      <c r="H219" s="100"/>
      <c r="I219" s="100"/>
      <c r="J219" s="101">
        <f t="shared" ref="J219:J282" si="126">SUM(E219:I219)</f>
        <v>0</v>
      </c>
      <c r="K219" s="115"/>
      <c r="L219" s="35">
        <f t="shared" ref="L219:Q219" si="127">SUM(L220:L221)</f>
        <v>11000</v>
      </c>
      <c r="M219" s="34">
        <f t="shared" si="127"/>
        <v>0</v>
      </c>
      <c r="N219" s="34">
        <f t="shared" si="127"/>
        <v>0</v>
      </c>
      <c r="O219" s="34">
        <f t="shared" si="127"/>
        <v>0</v>
      </c>
      <c r="P219" s="269">
        <f t="shared" si="127"/>
        <v>0</v>
      </c>
      <c r="Q219" s="280">
        <f t="shared" si="127"/>
        <v>11000</v>
      </c>
      <c r="R219" s="198" t="s">
        <v>758</v>
      </c>
      <c r="S219" s="197" t="s">
        <v>690</v>
      </c>
      <c r="T219" s="51"/>
    </row>
    <row r="220" spans="1:20" x14ac:dyDescent="0.2">
      <c r="A220" s="95">
        <v>2</v>
      </c>
      <c r="B220" s="108" t="str">
        <f>IF(A220&lt;&gt;0,INDEX(Coûts,'PA-Détails'!A220, 2),)</f>
        <v>Assistance technique nationale (consultants)</v>
      </c>
      <c r="C220" s="51"/>
      <c r="D220" s="94" t="str">
        <f>IF(A220&lt;&gt;0,INDEX(Coûts, 'PA-Détails'!A220, 5),)</f>
        <v>Pers / j</v>
      </c>
      <c r="E220" s="96">
        <v>20</v>
      </c>
      <c r="F220" s="100"/>
      <c r="G220" s="100"/>
      <c r="H220" s="100"/>
      <c r="I220" s="100"/>
      <c r="J220" s="101">
        <f t="shared" si="126"/>
        <v>20</v>
      </c>
      <c r="K220" s="115">
        <f>IF(A220&lt;&gt;0,INDEX(Coûts, 'PA-Détails'!A220, 3),)</f>
        <v>300</v>
      </c>
      <c r="L220" s="37">
        <f t="shared" ref="L220:P221" si="128">ROUND(+$K220*E220,0)</f>
        <v>6000</v>
      </c>
      <c r="M220" s="36">
        <f t="shared" si="128"/>
        <v>0</v>
      </c>
      <c r="N220" s="36">
        <f t="shared" si="128"/>
        <v>0</v>
      </c>
      <c r="O220" s="36">
        <f t="shared" si="128"/>
        <v>0</v>
      </c>
      <c r="P220" s="268">
        <f t="shared" si="128"/>
        <v>0</v>
      </c>
      <c r="Q220" s="281">
        <f>SUM(L220:P220)</f>
        <v>6000</v>
      </c>
      <c r="R220" s="22"/>
      <c r="S220" s="21"/>
      <c r="T220" s="51"/>
    </row>
    <row r="221" spans="1:20" x14ac:dyDescent="0.2">
      <c r="A221" s="95">
        <v>5</v>
      </c>
      <c r="B221" s="108" t="str">
        <f>IF(A221&lt;&gt;0,INDEX(Coûts,'PA-Détails'!A221, 2),)</f>
        <v>Atelier de validation</v>
      </c>
      <c r="C221" s="51"/>
      <c r="D221" s="94" t="str">
        <f>IF(A221&lt;&gt;0,INDEX(Coûts, 'PA-Détails'!A221, 5),)</f>
        <v>Pers / j</v>
      </c>
      <c r="E221" s="96">
        <v>100</v>
      </c>
      <c r="F221" s="100"/>
      <c r="G221" s="100"/>
      <c r="H221" s="100"/>
      <c r="I221" s="100"/>
      <c r="J221" s="101">
        <f t="shared" si="126"/>
        <v>100</v>
      </c>
      <c r="K221" s="115">
        <f>IF(A221&lt;&gt;0,INDEX(Coûts, 'PA-Détails'!A221, 3),)</f>
        <v>50</v>
      </c>
      <c r="L221" s="37">
        <f t="shared" si="128"/>
        <v>5000</v>
      </c>
      <c r="M221" s="36">
        <f t="shared" si="128"/>
        <v>0</v>
      </c>
      <c r="N221" s="36">
        <f t="shared" si="128"/>
        <v>0</v>
      </c>
      <c r="O221" s="36">
        <f t="shared" si="128"/>
        <v>0</v>
      </c>
      <c r="P221" s="268">
        <f t="shared" si="128"/>
        <v>0</v>
      </c>
      <c r="Q221" s="281">
        <f>SUM(L221:P221)</f>
        <v>5000</v>
      </c>
      <c r="R221" s="22"/>
      <c r="S221" s="21"/>
      <c r="T221" s="51"/>
    </row>
    <row r="222" spans="1:20" x14ac:dyDescent="0.2">
      <c r="A222" s="20" t="s">
        <v>1600</v>
      </c>
      <c r="B222" s="46"/>
      <c r="C222" s="51"/>
      <c r="D222" s="21"/>
      <c r="E222" s="96"/>
      <c r="F222" s="100"/>
      <c r="G222" s="100"/>
      <c r="H222" s="100"/>
      <c r="I222" s="100"/>
      <c r="J222" s="101">
        <f t="shared" si="126"/>
        <v>0</v>
      </c>
      <c r="K222" s="115"/>
      <c r="L222" s="35">
        <f t="shared" ref="L222:Q222" si="129">SUM(L223:L223)</f>
        <v>0</v>
      </c>
      <c r="M222" s="34">
        <f t="shared" si="129"/>
        <v>100000</v>
      </c>
      <c r="N222" s="34">
        <f t="shared" si="129"/>
        <v>0</v>
      </c>
      <c r="O222" s="34">
        <f t="shared" si="129"/>
        <v>0</v>
      </c>
      <c r="P222" s="269">
        <f t="shared" si="129"/>
        <v>0</v>
      </c>
      <c r="Q222" s="280">
        <f t="shared" si="129"/>
        <v>100000</v>
      </c>
      <c r="R222" s="198" t="s">
        <v>758</v>
      </c>
      <c r="S222" s="197" t="s">
        <v>690</v>
      </c>
      <c r="T222" s="51"/>
    </row>
    <row r="223" spans="1:20" x14ac:dyDescent="0.2">
      <c r="A223" s="95">
        <v>59</v>
      </c>
      <c r="B223" s="108" t="str">
        <f>IF(A223&lt;&gt;0,INDEX(Coûts,'PA-Détails'!A223, 2),)</f>
        <v>Acquisition et distribution de plaquettes/brochures/guides/livres</v>
      </c>
      <c r="C223" s="51"/>
      <c r="D223" s="94" t="str">
        <f>IF(A223&lt;&gt;0,INDEX(Coûts, 'PA-Détails'!A223, 5),)</f>
        <v>Unité</v>
      </c>
      <c r="E223" s="96"/>
      <c r="F223" s="100">
        <v>50000</v>
      </c>
      <c r="G223" s="100"/>
      <c r="H223" s="100"/>
      <c r="I223" s="100"/>
      <c r="J223" s="101">
        <f t="shared" si="126"/>
        <v>50000</v>
      </c>
      <c r="K223" s="115">
        <f>IF(A223&lt;&gt;0,INDEX(Coûts, 'PA-Détails'!A223, 3),)</f>
        <v>2</v>
      </c>
      <c r="L223" s="37">
        <f>ROUND(+$K223*E223,0)</f>
        <v>0</v>
      </c>
      <c r="M223" s="36">
        <f>ROUND(+$K223*F223,0)</f>
        <v>100000</v>
      </c>
      <c r="N223" s="36">
        <f>ROUND(+$K223*G223,0)</f>
        <v>0</v>
      </c>
      <c r="O223" s="36">
        <f>ROUND(+$K223*H223,0)</f>
        <v>0</v>
      </c>
      <c r="P223" s="268">
        <f>ROUND(+$K223*I223,0)</f>
        <v>0</v>
      </c>
      <c r="Q223" s="281">
        <f>SUM(L223:P223)</f>
        <v>100000</v>
      </c>
      <c r="R223" s="22"/>
      <c r="S223" s="21"/>
      <c r="T223" s="51"/>
    </row>
    <row r="224" spans="1:20" x14ac:dyDescent="0.2">
      <c r="A224" s="20" t="s">
        <v>414</v>
      </c>
      <c r="B224" s="46"/>
      <c r="C224" s="51"/>
      <c r="D224" s="21"/>
      <c r="E224" s="96"/>
      <c r="F224" s="100"/>
      <c r="G224" s="100"/>
      <c r="H224" s="100"/>
      <c r="I224" s="100"/>
      <c r="J224" s="101">
        <f t="shared" si="126"/>
        <v>0</v>
      </c>
      <c r="K224" s="115"/>
      <c r="L224" s="35">
        <f t="shared" ref="L224:Q224" si="130">SUM(L225:L225)</f>
        <v>0</v>
      </c>
      <c r="M224" s="34">
        <f t="shared" si="130"/>
        <v>90000</v>
      </c>
      <c r="N224" s="34">
        <f t="shared" si="130"/>
        <v>0</v>
      </c>
      <c r="O224" s="34">
        <f t="shared" si="130"/>
        <v>0</v>
      </c>
      <c r="P224" s="269">
        <f t="shared" si="130"/>
        <v>0</v>
      </c>
      <c r="Q224" s="280">
        <f t="shared" si="130"/>
        <v>90000</v>
      </c>
      <c r="R224" s="198" t="s">
        <v>763</v>
      </c>
      <c r="S224" s="197" t="s">
        <v>690</v>
      </c>
      <c r="T224" s="51"/>
    </row>
    <row r="225" spans="1:26" x14ac:dyDescent="0.2">
      <c r="A225" s="95">
        <v>12</v>
      </c>
      <c r="B225" s="108" t="str">
        <f>IF(A225&lt;&gt;0,INDEX(Coûts,'PA-Détails'!A225, 2),)</f>
        <v>Formation - Action et Formation de formateurs</v>
      </c>
      <c r="C225" s="51"/>
      <c r="D225" s="94" t="str">
        <f>IF(A225&lt;&gt;0,INDEX(Coûts, 'PA-Détails'!A225, 5),)</f>
        <v>Pers / j</v>
      </c>
      <c r="E225" s="96"/>
      <c r="F225" s="100">
        <f>30*20</f>
        <v>600</v>
      </c>
      <c r="G225" s="100"/>
      <c r="H225" s="100"/>
      <c r="I225" s="100"/>
      <c r="J225" s="101">
        <f t="shared" si="126"/>
        <v>600</v>
      </c>
      <c r="K225" s="115">
        <f>IF(A225&lt;&gt;0,INDEX(Coûts, 'PA-Détails'!A225, 3),)</f>
        <v>150</v>
      </c>
      <c r="L225" s="37">
        <f t="shared" ref="L225:P226" si="131">ROUND(+$K225*E225,0)</f>
        <v>0</v>
      </c>
      <c r="M225" s="36">
        <f t="shared" si="131"/>
        <v>90000</v>
      </c>
      <c r="N225" s="36">
        <f t="shared" si="131"/>
        <v>0</v>
      </c>
      <c r="O225" s="36">
        <f t="shared" si="131"/>
        <v>0</v>
      </c>
      <c r="P225" s="268">
        <f t="shared" si="131"/>
        <v>0</v>
      </c>
      <c r="Q225" s="281">
        <f>SUM(L225:P225)</f>
        <v>90000</v>
      </c>
      <c r="R225" s="22"/>
      <c r="S225" s="21"/>
      <c r="T225" s="51"/>
    </row>
    <row r="226" spans="1:26" x14ac:dyDescent="0.2">
      <c r="A226" s="17" t="s">
        <v>1052</v>
      </c>
      <c r="B226" s="45"/>
      <c r="C226" s="51"/>
      <c r="D226" s="18"/>
      <c r="E226" s="97"/>
      <c r="F226" s="98"/>
      <c r="G226" s="98"/>
      <c r="H226" s="98"/>
      <c r="I226" s="98"/>
      <c r="J226" s="99">
        <f t="shared" si="126"/>
        <v>0</v>
      </c>
      <c r="K226" s="116"/>
      <c r="L226" s="35">
        <f t="shared" si="131"/>
        <v>0</v>
      </c>
      <c r="M226" s="34">
        <f t="shared" si="131"/>
        <v>0</v>
      </c>
      <c r="N226" s="34">
        <f t="shared" si="131"/>
        <v>0</v>
      </c>
      <c r="O226" s="34">
        <f t="shared" si="131"/>
        <v>0</v>
      </c>
      <c r="P226" s="269">
        <f t="shared" si="131"/>
        <v>0</v>
      </c>
      <c r="Q226" s="279">
        <f>SUM(L226:P226)</f>
        <v>0</v>
      </c>
      <c r="R226" s="19"/>
      <c r="S226" s="18"/>
      <c r="T226" s="51"/>
    </row>
    <row r="227" spans="1:26" x14ac:dyDescent="0.2">
      <c r="A227" s="20" t="s">
        <v>416</v>
      </c>
      <c r="B227" s="46"/>
      <c r="C227" s="51" t="s">
        <v>693</v>
      </c>
      <c r="D227" s="21"/>
      <c r="E227" s="96"/>
      <c r="F227" s="100"/>
      <c r="G227" s="100"/>
      <c r="H227" s="100"/>
      <c r="I227" s="100"/>
      <c r="J227" s="101">
        <f t="shared" si="126"/>
        <v>0</v>
      </c>
      <c r="K227" s="115"/>
      <c r="L227" s="35">
        <f t="shared" ref="L227:Q227" si="132">SUM(L228:L229)</f>
        <v>11000</v>
      </c>
      <c r="M227" s="34">
        <f t="shared" si="132"/>
        <v>0</v>
      </c>
      <c r="N227" s="34">
        <f t="shared" si="132"/>
        <v>0</v>
      </c>
      <c r="O227" s="34">
        <f t="shared" si="132"/>
        <v>0</v>
      </c>
      <c r="P227" s="269">
        <f t="shared" si="132"/>
        <v>0</v>
      </c>
      <c r="Q227" s="280">
        <f t="shared" si="132"/>
        <v>11000</v>
      </c>
      <c r="R227" s="198" t="s">
        <v>752</v>
      </c>
      <c r="S227" s="197" t="s">
        <v>690</v>
      </c>
      <c r="T227" s="51"/>
    </row>
    <row r="228" spans="1:26" x14ac:dyDescent="0.2">
      <c r="A228" s="95">
        <v>2</v>
      </c>
      <c r="B228" s="108" t="str">
        <f>IF(A228&lt;&gt;0,INDEX(Coûts,'PA-Détails'!A228, 2),)</f>
        <v>Assistance technique nationale (consultants)</v>
      </c>
      <c r="C228" s="51"/>
      <c r="D228" s="94" t="str">
        <f>IF(A228&lt;&gt;0,INDEX(Coûts, 'PA-Détails'!A228, 5),)</f>
        <v>Pers / j</v>
      </c>
      <c r="E228" s="96">
        <v>20</v>
      </c>
      <c r="F228" s="100"/>
      <c r="G228" s="100"/>
      <c r="H228" s="100"/>
      <c r="I228" s="100"/>
      <c r="J228" s="101">
        <f t="shared" si="126"/>
        <v>20</v>
      </c>
      <c r="K228" s="115">
        <f>IF(A228&lt;&gt;0,INDEX(Coûts, 'PA-Détails'!A228, 3),)</f>
        <v>300</v>
      </c>
      <c r="L228" s="37">
        <f t="shared" ref="L228:P229" si="133">ROUND(+$K228*E228,0)</f>
        <v>6000</v>
      </c>
      <c r="M228" s="36">
        <f t="shared" si="133"/>
        <v>0</v>
      </c>
      <c r="N228" s="36">
        <f t="shared" si="133"/>
        <v>0</v>
      </c>
      <c r="O228" s="36">
        <f t="shared" si="133"/>
        <v>0</v>
      </c>
      <c r="P228" s="268">
        <f t="shared" si="133"/>
        <v>0</v>
      </c>
      <c r="Q228" s="281">
        <f>SUM(L228:P228)</f>
        <v>6000</v>
      </c>
      <c r="R228" s="22"/>
      <c r="S228" s="21"/>
      <c r="T228" s="51"/>
    </row>
    <row r="229" spans="1:26" x14ac:dyDescent="0.2">
      <c r="A229" s="95">
        <v>5</v>
      </c>
      <c r="B229" s="108" t="str">
        <f>IF(A229&lt;&gt;0,INDEX(Coûts,'PA-Détails'!A229, 2),)</f>
        <v>Atelier de validation</v>
      </c>
      <c r="C229" s="51"/>
      <c r="D229" s="94" t="str">
        <f>IF(A229&lt;&gt;0,INDEX(Coûts, 'PA-Détails'!A229, 5),)</f>
        <v>Pers / j</v>
      </c>
      <c r="E229" s="96">
        <v>100</v>
      </c>
      <c r="F229" s="100"/>
      <c r="G229" s="100"/>
      <c r="H229" s="100"/>
      <c r="I229" s="100"/>
      <c r="J229" s="101">
        <f t="shared" si="126"/>
        <v>100</v>
      </c>
      <c r="K229" s="115">
        <f>IF(A229&lt;&gt;0,INDEX(Coûts, 'PA-Détails'!A229, 3),)</f>
        <v>50</v>
      </c>
      <c r="L229" s="37">
        <f t="shared" si="133"/>
        <v>5000</v>
      </c>
      <c r="M229" s="36">
        <f t="shared" si="133"/>
        <v>0</v>
      </c>
      <c r="N229" s="36">
        <f t="shared" si="133"/>
        <v>0</v>
      </c>
      <c r="O229" s="36">
        <f t="shared" si="133"/>
        <v>0</v>
      </c>
      <c r="P229" s="268">
        <f t="shared" si="133"/>
        <v>0</v>
      </c>
      <c r="Q229" s="281">
        <f>SUM(L229:P229)</f>
        <v>5000</v>
      </c>
      <c r="R229" s="22"/>
      <c r="S229" s="21"/>
      <c r="T229" s="51"/>
    </row>
    <row r="230" spans="1:26" x14ac:dyDescent="0.2">
      <c r="A230" s="20" t="s">
        <v>1601</v>
      </c>
      <c r="B230" s="46"/>
      <c r="C230" s="51" t="s">
        <v>693</v>
      </c>
      <c r="D230" s="21"/>
      <c r="E230" s="96"/>
      <c r="F230" s="100"/>
      <c r="G230" s="100"/>
      <c r="H230" s="100"/>
      <c r="I230" s="100"/>
      <c r="J230" s="101">
        <f t="shared" si="126"/>
        <v>0</v>
      </c>
      <c r="K230" s="115"/>
      <c r="L230" s="35">
        <f t="shared" ref="L230:Q230" si="134">SUM(L231:L231)</f>
        <v>0</v>
      </c>
      <c r="M230" s="34">
        <f t="shared" si="134"/>
        <v>0</v>
      </c>
      <c r="N230" s="34">
        <f t="shared" si="134"/>
        <v>0</v>
      </c>
      <c r="O230" s="34">
        <f t="shared" si="134"/>
        <v>0</v>
      </c>
      <c r="P230" s="269">
        <f t="shared" si="134"/>
        <v>0</v>
      </c>
      <c r="Q230" s="280">
        <f t="shared" si="134"/>
        <v>0</v>
      </c>
      <c r="R230" s="198" t="s">
        <v>752</v>
      </c>
      <c r="S230" s="197" t="s">
        <v>663</v>
      </c>
      <c r="T230" s="51"/>
    </row>
    <row r="231" spans="1:26" x14ac:dyDescent="0.2">
      <c r="A231" s="95">
        <v>300</v>
      </c>
      <c r="B231" s="108" t="str">
        <f>IF(A231&lt;&gt;0,INDEX(Coûts,'PA-Détails'!A231, 2),)</f>
        <v>Fonctionnement des services</v>
      </c>
      <c r="C231" s="51"/>
      <c r="D231" s="94">
        <f>IF(A231&lt;&gt;0,INDEX(Coûts, 'PA-Détails'!A231, 5),)</f>
        <v>0</v>
      </c>
      <c r="E231" s="96">
        <v>1</v>
      </c>
      <c r="F231" s="100">
        <v>1</v>
      </c>
      <c r="G231" s="100">
        <v>1</v>
      </c>
      <c r="H231" s="100">
        <v>1</v>
      </c>
      <c r="I231" s="100">
        <v>1</v>
      </c>
      <c r="J231" s="101">
        <f t="shared" si="126"/>
        <v>5</v>
      </c>
      <c r="K231" s="115">
        <f>IF(A231&lt;&gt;0,INDEX(Coûts, 'PA-Détails'!A231, 3),)</f>
        <v>0</v>
      </c>
      <c r="L231" s="37">
        <f t="shared" ref="L231:P233" si="135">ROUND(+$K231*E231,0)</f>
        <v>0</v>
      </c>
      <c r="M231" s="36">
        <f t="shared" si="135"/>
        <v>0</v>
      </c>
      <c r="N231" s="36">
        <f t="shared" si="135"/>
        <v>0</v>
      </c>
      <c r="O231" s="36">
        <f t="shared" si="135"/>
        <v>0</v>
      </c>
      <c r="P231" s="268">
        <f t="shared" si="135"/>
        <v>0</v>
      </c>
      <c r="Q231" s="281">
        <f>SUM(L231:P231)</f>
        <v>0</v>
      </c>
      <c r="R231" s="22"/>
      <c r="S231" s="21"/>
      <c r="T231" s="51"/>
    </row>
    <row r="232" spans="1:26" x14ac:dyDescent="0.2">
      <c r="A232" s="14" t="s">
        <v>910</v>
      </c>
      <c r="B232" s="44"/>
      <c r="C232" s="112"/>
      <c r="D232" s="15"/>
      <c r="E232" s="102"/>
      <c r="F232" s="103"/>
      <c r="G232" s="103"/>
      <c r="H232" s="103"/>
      <c r="I232" s="103"/>
      <c r="J232" s="104">
        <f t="shared" si="126"/>
        <v>0</v>
      </c>
      <c r="K232" s="145"/>
      <c r="L232" s="33">
        <f t="shared" si="135"/>
        <v>0</v>
      </c>
      <c r="M232" s="32">
        <f t="shared" si="135"/>
        <v>0</v>
      </c>
      <c r="N232" s="32">
        <f t="shared" si="135"/>
        <v>0</v>
      </c>
      <c r="O232" s="32">
        <f t="shared" si="135"/>
        <v>0</v>
      </c>
      <c r="P232" s="267">
        <f t="shared" si="135"/>
        <v>0</v>
      </c>
      <c r="Q232" s="278">
        <f>SUM(L232:P232)</f>
        <v>0</v>
      </c>
      <c r="R232" s="16"/>
      <c r="S232" s="15"/>
      <c r="T232" s="112">
        <v>2</v>
      </c>
    </row>
    <row r="233" spans="1:26" s="162" customFormat="1" x14ac:dyDescent="0.2">
      <c r="A233" s="122" t="s">
        <v>43</v>
      </c>
      <c r="B233" s="152"/>
      <c r="C233" s="153" t="s">
        <v>418</v>
      </c>
      <c r="D233" s="155"/>
      <c r="E233" s="97"/>
      <c r="F233" s="98"/>
      <c r="G233" s="98"/>
      <c r="H233" s="98"/>
      <c r="I233" s="98"/>
      <c r="J233" s="99">
        <f t="shared" si="126"/>
        <v>0</v>
      </c>
      <c r="K233" s="208"/>
      <c r="L233" s="161">
        <f t="shared" si="135"/>
        <v>0</v>
      </c>
      <c r="M233" s="157">
        <f t="shared" si="135"/>
        <v>0</v>
      </c>
      <c r="N233" s="157">
        <f t="shared" si="135"/>
        <v>0</v>
      </c>
      <c r="O233" s="157">
        <f t="shared" si="135"/>
        <v>0</v>
      </c>
      <c r="P233" s="270">
        <f t="shared" si="135"/>
        <v>0</v>
      </c>
      <c r="Q233" s="284">
        <f>SUM(L233:P233)</f>
        <v>0</v>
      </c>
      <c r="R233" s="227"/>
      <c r="S233" s="155"/>
      <c r="T233" s="153"/>
      <c r="U233" s="653"/>
      <c r="V233" s="572"/>
      <c r="W233" s="572"/>
      <c r="X233" s="572"/>
      <c r="Y233" s="572"/>
      <c r="Z233" s="572"/>
    </row>
    <row r="234" spans="1:26" s="162" customFormat="1" x14ac:dyDescent="0.2">
      <c r="A234" s="123" t="s">
        <v>902</v>
      </c>
      <c r="B234" s="202"/>
      <c r="C234" s="153"/>
      <c r="D234" s="203"/>
      <c r="E234" s="96"/>
      <c r="F234" s="100"/>
      <c r="G234" s="100"/>
      <c r="H234" s="100"/>
      <c r="I234" s="100"/>
      <c r="J234" s="101">
        <f t="shared" si="126"/>
        <v>0</v>
      </c>
      <c r="K234" s="94"/>
      <c r="L234" s="35">
        <f t="shared" ref="L234:Q234" si="136">SUM(L235:L236)</f>
        <v>5100</v>
      </c>
      <c r="M234" s="34">
        <f t="shared" si="136"/>
        <v>0</v>
      </c>
      <c r="N234" s="34">
        <f t="shared" si="136"/>
        <v>0</v>
      </c>
      <c r="O234" s="34">
        <f t="shared" si="136"/>
        <v>0</v>
      </c>
      <c r="P234" s="269">
        <f t="shared" si="136"/>
        <v>0</v>
      </c>
      <c r="Q234" s="280">
        <f t="shared" si="136"/>
        <v>5100</v>
      </c>
      <c r="R234" s="169" t="s">
        <v>1423</v>
      </c>
      <c r="S234" s="94" t="s">
        <v>665</v>
      </c>
      <c r="T234" s="153"/>
      <c r="U234" s="653"/>
      <c r="V234" s="572"/>
      <c r="W234" s="572"/>
      <c r="X234" s="572"/>
      <c r="Y234" s="572"/>
      <c r="Z234" s="572"/>
    </row>
    <row r="235" spans="1:26" x14ac:dyDescent="0.2">
      <c r="A235" s="95">
        <v>2</v>
      </c>
      <c r="B235" s="108" t="str">
        <f>IF(A235&lt;&gt;0,INDEX(Coûts,'PA-Détails'!A235, 2),)</f>
        <v>Assistance technique nationale (consultants)</v>
      </c>
      <c r="C235" s="51"/>
      <c r="D235" s="94" t="str">
        <f>IF(A235&lt;&gt;0,INDEX(Coûts, 'PA-Détails'!A235, 5),)</f>
        <v>Pers / j</v>
      </c>
      <c r="E235" s="96">
        <v>10</v>
      </c>
      <c r="F235" s="100"/>
      <c r="G235" s="100"/>
      <c r="H235" s="100"/>
      <c r="I235" s="100"/>
      <c r="J235" s="101">
        <f t="shared" si="126"/>
        <v>10</v>
      </c>
      <c r="K235" s="115">
        <f>IF(A235&lt;&gt;0,INDEX(Coûts, 'PA-Détails'!A235, 3),)</f>
        <v>300</v>
      </c>
      <c r="L235" s="37">
        <f t="shared" ref="L235:P236" si="137">ROUND(+$K235*E235,0)</f>
        <v>3000</v>
      </c>
      <c r="M235" s="36">
        <f t="shared" si="137"/>
        <v>0</v>
      </c>
      <c r="N235" s="36">
        <f t="shared" si="137"/>
        <v>0</v>
      </c>
      <c r="O235" s="36">
        <f t="shared" si="137"/>
        <v>0</v>
      </c>
      <c r="P235" s="268">
        <f t="shared" si="137"/>
        <v>0</v>
      </c>
      <c r="Q235" s="281">
        <f>SUM(L235:P235)</f>
        <v>3000</v>
      </c>
      <c r="R235" s="22"/>
      <c r="S235" s="21"/>
      <c r="T235" s="51"/>
    </row>
    <row r="236" spans="1:26" x14ac:dyDescent="0.2">
      <c r="A236" s="95">
        <v>11</v>
      </c>
      <c r="B236" s="108" t="str">
        <f>IF(A236&lt;&gt;0,INDEX(Coûts,'PA-Détails'!A236, 2),)</f>
        <v>Atelier technique</v>
      </c>
      <c r="C236" s="51"/>
      <c r="D236" s="94" t="str">
        <f>IF(A236&lt;&gt;0,INDEX(Coûts, 'PA-Détails'!A236, 5),)</f>
        <v>Pers / j</v>
      </c>
      <c r="E236" s="96">
        <v>30</v>
      </c>
      <c r="F236" s="100"/>
      <c r="G236" s="100"/>
      <c r="H236" s="100"/>
      <c r="I236" s="100"/>
      <c r="J236" s="101">
        <f t="shared" si="126"/>
        <v>30</v>
      </c>
      <c r="K236" s="115">
        <f>IF(A236&lt;&gt;0,INDEX(Coûts, 'PA-Détails'!A236, 3),)</f>
        <v>70</v>
      </c>
      <c r="L236" s="37">
        <f t="shared" si="137"/>
        <v>2100</v>
      </c>
      <c r="M236" s="36">
        <f t="shared" si="137"/>
        <v>0</v>
      </c>
      <c r="N236" s="36">
        <f t="shared" si="137"/>
        <v>0</v>
      </c>
      <c r="O236" s="36">
        <f t="shared" si="137"/>
        <v>0</v>
      </c>
      <c r="P236" s="268">
        <f t="shared" si="137"/>
        <v>0</v>
      </c>
      <c r="Q236" s="281">
        <f>SUM(L236:P236)</f>
        <v>2100</v>
      </c>
      <c r="R236" s="22"/>
      <c r="S236" s="21"/>
      <c r="T236" s="51"/>
    </row>
    <row r="237" spans="1:26" s="162" customFormat="1" x14ac:dyDescent="0.2">
      <c r="A237" s="123" t="s">
        <v>903</v>
      </c>
      <c r="B237" s="202"/>
      <c r="C237" s="153"/>
      <c r="D237" s="203"/>
      <c r="E237" s="96"/>
      <c r="F237" s="100"/>
      <c r="G237" s="100"/>
      <c r="H237" s="100"/>
      <c r="I237" s="100"/>
      <c r="J237" s="101">
        <f t="shared" si="126"/>
        <v>0</v>
      </c>
      <c r="K237" s="94"/>
      <c r="L237" s="35">
        <f t="shared" ref="L237:Q237" si="138">SUM(L238:L238)</f>
        <v>0</v>
      </c>
      <c r="M237" s="34">
        <f t="shared" si="138"/>
        <v>2250000</v>
      </c>
      <c r="N237" s="34">
        <f t="shared" si="138"/>
        <v>2250000</v>
      </c>
      <c r="O237" s="34">
        <f t="shared" si="138"/>
        <v>2250000</v>
      </c>
      <c r="P237" s="269">
        <f t="shared" si="138"/>
        <v>2250000</v>
      </c>
      <c r="Q237" s="280">
        <f t="shared" si="138"/>
        <v>9000000</v>
      </c>
      <c r="R237" s="169" t="s">
        <v>1423</v>
      </c>
      <c r="S237" s="94" t="s">
        <v>665</v>
      </c>
      <c r="T237" s="153"/>
      <c r="U237" s="653"/>
      <c r="V237" s="572"/>
      <c r="W237" s="572"/>
      <c r="X237" s="572"/>
      <c r="Y237" s="572"/>
      <c r="Z237" s="572"/>
    </row>
    <row r="238" spans="1:26" x14ac:dyDescent="0.2">
      <c r="A238" s="95">
        <v>75</v>
      </c>
      <c r="B238" s="108" t="str">
        <f>IF(A238&lt;&gt;0,INDEX(Coûts,'PA-Détails'!A238, 2),)</f>
        <v>Construction de latrines (bloc de 2 cabines)</v>
      </c>
      <c r="C238" s="51"/>
      <c r="D238" s="94" t="str">
        <f>IF(A238&lt;&gt;0,INDEX(Coûts, 'PA-Détails'!A238, 5),)</f>
        <v>Forfait/école</v>
      </c>
      <c r="E238" s="96">
        <f>H!E119</f>
        <v>0</v>
      </c>
      <c r="F238" s="100">
        <f>H!F119</f>
        <v>1500</v>
      </c>
      <c r="G238" s="100">
        <f>H!G119</f>
        <v>1500</v>
      </c>
      <c r="H238" s="100">
        <f>H!H119</f>
        <v>1500</v>
      </c>
      <c r="I238" s="100">
        <f>H!I119</f>
        <v>1500</v>
      </c>
      <c r="J238" s="101">
        <f t="shared" si="126"/>
        <v>6000</v>
      </c>
      <c r="K238" s="115">
        <f>IF(A238&lt;&gt;0,INDEX(Coûts, 'PA-Détails'!A238, 3),)</f>
        <v>1500</v>
      </c>
      <c r="L238" s="37">
        <f t="shared" ref="L238:P239" si="139">ROUND(+$K238*E238,0)</f>
        <v>0</v>
      </c>
      <c r="M238" s="36">
        <f t="shared" si="139"/>
        <v>2250000</v>
      </c>
      <c r="N238" s="36">
        <f t="shared" si="139"/>
        <v>2250000</v>
      </c>
      <c r="O238" s="36">
        <f t="shared" si="139"/>
        <v>2250000</v>
      </c>
      <c r="P238" s="268">
        <f t="shared" si="139"/>
        <v>2250000</v>
      </c>
      <c r="Q238" s="281">
        <f>SUM(L238:P238)</f>
        <v>9000000</v>
      </c>
      <c r="R238" s="22"/>
      <c r="S238" s="21"/>
      <c r="T238" s="51"/>
    </row>
    <row r="239" spans="1:26" s="162" customFormat="1" x14ac:dyDescent="0.2">
      <c r="A239" s="122" t="s">
        <v>44</v>
      </c>
      <c r="B239" s="152"/>
      <c r="C239" s="153" t="s">
        <v>419</v>
      </c>
      <c r="D239" s="155"/>
      <c r="E239" s="97"/>
      <c r="F239" s="98"/>
      <c r="G239" s="98"/>
      <c r="H239" s="98"/>
      <c r="I239" s="98"/>
      <c r="J239" s="99">
        <f t="shared" si="126"/>
        <v>0</v>
      </c>
      <c r="K239" s="208"/>
      <c r="L239" s="161">
        <f t="shared" si="139"/>
        <v>0</v>
      </c>
      <c r="M239" s="157">
        <f t="shared" si="139"/>
        <v>0</v>
      </c>
      <c r="N239" s="157">
        <f t="shared" si="139"/>
        <v>0</v>
      </c>
      <c r="O239" s="157">
        <f t="shared" si="139"/>
        <v>0</v>
      </c>
      <c r="P239" s="270">
        <f t="shared" si="139"/>
        <v>0</v>
      </c>
      <c r="Q239" s="284">
        <f>SUM(L239:P239)</f>
        <v>0</v>
      </c>
      <c r="R239" s="227"/>
      <c r="S239" s="155"/>
      <c r="T239" s="153"/>
      <c r="U239" s="653"/>
      <c r="V239" s="572"/>
      <c r="W239" s="572"/>
      <c r="X239" s="572"/>
      <c r="Y239" s="572"/>
      <c r="Z239" s="572"/>
    </row>
    <row r="240" spans="1:26" s="162" customFormat="1" x14ac:dyDescent="0.2">
      <c r="A240" s="123" t="s">
        <v>904</v>
      </c>
      <c r="B240" s="202"/>
      <c r="C240" s="153"/>
      <c r="D240" s="203"/>
      <c r="E240" s="96"/>
      <c r="F240" s="100"/>
      <c r="G240" s="100"/>
      <c r="H240" s="100"/>
      <c r="I240" s="100"/>
      <c r="J240" s="101">
        <f t="shared" si="126"/>
        <v>0</v>
      </c>
      <c r="K240" s="94"/>
      <c r="L240" s="35">
        <f t="shared" ref="L240:Q240" si="140">SUM(L241:L242)</f>
        <v>5100</v>
      </c>
      <c r="M240" s="34">
        <f t="shared" si="140"/>
        <v>0</v>
      </c>
      <c r="N240" s="34">
        <f t="shared" si="140"/>
        <v>0</v>
      </c>
      <c r="O240" s="34">
        <f t="shared" si="140"/>
        <v>0</v>
      </c>
      <c r="P240" s="269">
        <f t="shared" si="140"/>
        <v>0</v>
      </c>
      <c r="Q240" s="280">
        <f t="shared" si="140"/>
        <v>5100</v>
      </c>
      <c r="R240" s="169" t="s">
        <v>1423</v>
      </c>
      <c r="S240" s="94" t="s">
        <v>665</v>
      </c>
      <c r="T240" s="153"/>
      <c r="U240" s="653"/>
      <c r="V240" s="572"/>
      <c r="W240" s="572"/>
      <c r="X240" s="572"/>
      <c r="Y240" s="572"/>
      <c r="Z240" s="572"/>
    </row>
    <row r="241" spans="1:26" x14ac:dyDescent="0.2">
      <c r="A241" s="95">
        <v>2</v>
      </c>
      <c r="B241" s="108" t="str">
        <f>IF(A241&lt;&gt;0,INDEX(Coûts,'PA-Détails'!A241, 2),)</f>
        <v>Assistance technique nationale (consultants)</v>
      </c>
      <c r="C241" s="51"/>
      <c r="D241" s="94" t="str">
        <f>IF(A241&lt;&gt;0,INDEX(Coûts, 'PA-Détails'!A241, 5),)</f>
        <v>Pers / j</v>
      </c>
      <c r="E241" s="96">
        <v>10</v>
      </c>
      <c r="F241" s="100"/>
      <c r="G241" s="100"/>
      <c r="H241" s="100"/>
      <c r="I241" s="100"/>
      <c r="J241" s="101">
        <f t="shared" si="126"/>
        <v>10</v>
      </c>
      <c r="K241" s="115">
        <f>IF(A241&lt;&gt;0,INDEX(Coûts, 'PA-Détails'!A241, 3),)</f>
        <v>300</v>
      </c>
      <c r="L241" s="37">
        <f t="shared" ref="L241:P242" si="141">ROUND(+$K241*E241,0)</f>
        <v>3000</v>
      </c>
      <c r="M241" s="36">
        <f t="shared" si="141"/>
        <v>0</v>
      </c>
      <c r="N241" s="36">
        <f t="shared" si="141"/>
        <v>0</v>
      </c>
      <c r="O241" s="36">
        <f t="shared" si="141"/>
        <v>0</v>
      </c>
      <c r="P241" s="268">
        <f t="shared" si="141"/>
        <v>0</v>
      </c>
      <c r="Q241" s="281">
        <f>SUM(L241:P241)</f>
        <v>3000</v>
      </c>
      <c r="R241" s="22"/>
      <c r="S241" s="21"/>
      <c r="T241" s="51"/>
    </row>
    <row r="242" spans="1:26" x14ac:dyDescent="0.2">
      <c r="A242" s="95">
        <v>11</v>
      </c>
      <c r="B242" s="108" t="str">
        <f>IF(A242&lt;&gt;0,INDEX(Coûts,'PA-Détails'!A242, 2),)</f>
        <v>Atelier technique</v>
      </c>
      <c r="C242" s="51"/>
      <c r="D242" s="94" t="str">
        <f>IF(A242&lt;&gt;0,INDEX(Coûts, 'PA-Détails'!A242, 5),)</f>
        <v>Pers / j</v>
      </c>
      <c r="E242" s="96">
        <v>30</v>
      </c>
      <c r="F242" s="100"/>
      <c r="G242" s="100"/>
      <c r="H242" s="100"/>
      <c r="I242" s="100"/>
      <c r="J242" s="101">
        <f t="shared" si="126"/>
        <v>30</v>
      </c>
      <c r="K242" s="115">
        <f>IF(A242&lt;&gt;0,INDEX(Coûts, 'PA-Détails'!A242, 3),)</f>
        <v>70</v>
      </c>
      <c r="L242" s="37">
        <f t="shared" si="141"/>
        <v>2100</v>
      </c>
      <c r="M242" s="36">
        <f t="shared" si="141"/>
        <v>0</v>
      </c>
      <c r="N242" s="36">
        <f t="shared" si="141"/>
        <v>0</v>
      </c>
      <c r="O242" s="36">
        <f t="shared" si="141"/>
        <v>0</v>
      </c>
      <c r="P242" s="268">
        <f t="shared" si="141"/>
        <v>0</v>
      </c>
      <c r="Q242" s="281">
        <f>SUM(L242:P242)</f>
        <v>2100</v>
      </c>
      <c r="R242" s="22"/>
      <c r="S242" s="21"/>
      <c r="T242" s="51"/>
    </row>
    <row r="243" spans="1:26" s="162" customFormat="1" x14ac:dyDescent="0.2">
      <c r="A243" s="123" t="s">
        <v>907</v>
      </c>
      <c r="B243" s="202"/>
      <c r="C243" s="153"/>
      <c r="D243" s="203"/>
      <c r="E243" s="96"/>
      <c r="F243" s="100"/>
      <c r="G243" s="100"/>
      <c r="H243" s="100"/>
      <c r="I243" s="100"/>
      <c r="J243" s="101">
        <f t="shared" si="126"/>
        <v>0</v>
      </c>
      <c r="K243" s="94"/>
      <c r="L243" s="35">
        <f t="shared" ref="L243:Q243" si="142">SUM(L244:L244)</f>
        <v>0</v>
      </c>
      <c r="M243" s="34">
        <f t="shared" si="142"/>
        <v>2800000</v>
      </c>
      <c r="N243" s="34">
        <f t="shared" si="142"/>
        <v>2800000</v>
      </c>
      <c r="O243" s="34">
        <f t="shared" si="142"/>
        <v>2800000</v>
      </c>
      <c r="P243" s="269">
        <f t="shared" si="142"/>
        <v>2800000</v>
      </c>
      <c r="Q243" s="280">
        <f t="shared" si="142"/>
        <v>11200000</v>
      </c>
      <c r="R243" s="169" t="s">
        <v>1423</v>
      </c>
      <c r="S243" s="203"/>
      <c r="T243" s="153"/>
      <c r="U243" s="653"/>
      <c r="V243" s="572"/>
      <c r="W243" s="572"/>
      <c r="X243" s="572"/>
      <c r="Y243" s="572"/>
      <c r="Z243" s="572"/>
    </row>
    <row r="244" spans="1:26" x14ac:dyDescent="0.2">
      <c r="A244" s="95">
        <v>76</v>
      </c>
      <c r="B244" s="108" t="str">
        <f>IF(A244&lt;&gt;0,INDEX(Coûts,'PA-Détails'!A244, 2),)</f>
        <v>Installation de point d'eau</v>
      </c>
      <c r="C244" s="51"/>
      <c r="D244" s="94" t="str">
        <f>IF(A244&lt;&gt;0,INDEX(Coûts, 'PA-Détails'!A244, 5),)</f>
        <v>Forfait/école</v>
      </c>
      <c r="E244" s="96">
        <f>H!E125</f>
        <v>0</v>
      </c>
      <c r="F244" s="100">
        <f>H!F125</f>
        <v>2800</v>
      </c>
      <c r="G244" s="100">
        <f>H!G125</f>
        <v>2800</v>
      </c>
      <c r="H244" s="100">
        <f>H!H125</f>
        <v>2800</v>
      </c>
      <c r="I244" s="100">
        <f>H!I125</f>
        <v>2800</v>
      </c>
      <c r="J244" s="101">
        <f t="shared" si="126"/>
        <v>11200</v>
      </c>
      <c r="K244" s="115">
        <f>IF(A244&lt;&gt;0,INDEX(Coûts, 'PA-Détails'!A244, 3),)</f>
        <v>1000</v>
      </c>
      <c r="L244" s="37">
        <f t="shared" ref="L244:P245" si="143">ROUND(+$K244*E244,0)</f>
        <v>0</v>
      </c>
      <c r="M244" s="36">
        <f t="shared" si="143"/>
        <v>2800000</v>
      </c>
      <c r="N244" s="36">
        <f t="shared" si="143"/>
        <v>2800000</v>
      </c>
      <c r="O244" s="36">
        <f t="shared" si="143"/>
        <v>2800000</v>
      </c>
      <c r="P244" s="268">
        <f t="shared" si="143"/>
        <v>2800000</v>
      </c>
      <c r="Q244" s="281">
        <f>SUM(L244:P244)</f>
        <v>11200000</v>
      </c>
      <c r="R244" s="169"/>
      <c r="S244" s="21"/>
      <c r="T244" s="51"/>
    </row>
    <row r="245" spans="1:26" s="162" customFormat="1" x14ac:dyDescent="0.2">
      <c r="A245" s="122" t="s">
        <v>45</v>
      </c>
      <c r="B245" s="152"/>
      <c r="C245" s="153" t="s">
        <v>420</v>
      </c>
      <c r="D245" s="155"/>
      <c r="E245" s="97"/>
      <c r="F245" s="98"/>
      <c r="G245" s="98"/>
      <c r="H245" s="98"/>
      <c r="I245" s="98"/>
      <c r="J245" s="99">
        <f t="shared" si="126"/>
        <v>0</v>
      </c>
      <c r="K245" s="208"/>
      <c r="L245" s="161">
        <f t="shared" si="143"/>
        <v>0</v>
      </c>
      <c r="M245" s="157">
        <f t="shared" si="143"/>
        <v>0</v>
      </c>
      <c r="N245" s="157">
        <f t="shared" si="143"/>
        <v>0</v>
      </c>
      <c r="O245" s="157">
        <f t="shared" si="143"/>
        <v>0</v>
      </c>
      <c r="P245" s="270">
        <f t="shared" si="143"/>
        <v>0</v>
      </c>
      <c r="Q245" s="284">
        <f>SUM(L245:P245)</f>
        <v>0</v>
      </c>
      <c r="R245" s="227"/>
      <c r="S245" s="155"/>
      <c r="T245" s="153"/>
      <c r="U245" s="653"/>
      <c r="V245" s="572"/>
      <c r="W245" s="572"/>
      <c r="X245" s="572"/>
      <c r="Y245" s="572"/>
      <c r="Z245" s="572"/>
    </row>
    <row r="246" spans="1:26" s="162" customFormat="1" x14ac:dyDescent="0.2">
      <c r="A246" s="123" t="s">
        <v>905</v>
      </c>
      <c r="B246" s="202"/>
      <c r="C246" s="153"/>
      <c r="D246" s="203"/>
      <c r="E246" s="96"/>
      <c r="F246" s="100"/>
      <c r="G246" s="100"/>
      <c r="H246" s="100"/>
      <c r="I246" s="100"/>
      <c r="J246" s="101">
        <f t="shared" si="126"/>
        <v>0</v>
      </c>
      <c r="K246" s="94"/>
      <c r="L246" s="35">
        <f t="shared" ref="L246:Q246" si="144">SUM(L247:L248)</f>
        <v>5100</v>
      </c>
      <c r="M246" s="34">
        <f t="shared" si="144"/>
        <v>0</v>
      </c>
      <c r="N246" s="34">
        <f t="shared" si="144"/>
        <v>0</v>
      </c>
      <c r="O246" s="34">
        <f t="shared" si="144"/>
        <v>0</v>
      </c>
      <c r="P246" s="269">
        <f t="shared" si="144"/>
        <v>0</v>
      </c>
      <c r="Q246" s="280">
        <f t="shared" si="144"/>
        <v>5100</v>
      </c>
      <c r="R246" s="169" t="s">
        <v>1423</v>
      </c>
      <c r="S246" s="94" t="s">
        <v>665</v>
      </c>
      <c r="T246" s="153"/>
      <c r="U246" s="653"/>
      <c r="V246" s="572"/>
      <c r="W246" s="572"/>
      <c r="X246" s="572"/>
      <c r="Y246" s="572"/>
      <c r="Z246" s="572"/>
    </row>
    <row r="247" spans="1:26" x14ac:dyDescent="0.2">
      <c r="A247" s="95">
        <v>2</v>
      </c>
      <c r="B247" s="108" t="str">
        <f>IF(A247&lt;&gt;0,INDEX(Coûts,'PA-Détails'!A247, 2),)</f>
        <v>Assistance technique nationale (consultants)</v>
      </c>
      <c r="C247" s="51"/>
      <c r="D247" s="94" t="str">
        <f>IF(A247&lt;&gt;0,INDEX(Coûts, 'PA-Détails'!A247, 5),)</f>
        <v>Pers / j</v>
      </c>
      <c r="E247" s="96">
        <v>10</v>
      </c>
      <c r="F247" s="100"/>
      <c r="G247" s="100"/>
      <c r="H247" s="100"/>
      <c r="I247" s="100"/>
      <c r="J247" s="101">
        <f t="shared" si="126"/>
        <v>10</v>
      </c>
      <c r="K247" s="115">
        <f>IF(A247&lt;&gt;0,INDEX(Coûts, 'PA-Détails'!A247, 3),)</f>
        <v>300</v>
      </c>
      <c r="L247" s="37">
        <f t="shared" ref="L247:P248" si="145">ROUND(+$K247*E247,0)</f>
        <v>3000</v>
      </c>
      <c r="M247" s="36">
        <f t="shared" si="145"/>
        <v>0</v>
      </c>
      <c r="N247" s="36">
        <f t="shared" si="145"/>
        <v>0</v>
      </c>
      <c r="O247" s="36">
        <f t="shared" si="145"/>
        <v>0</v>
      </c>
      <c r="P247" s="268">
        <f t="shared" si="145"/>
        <v>0</v>
      </c>
      <c r="Q247" s="281">
        <f>SUM(L247:P247)</f>
        <v>3000</v>
      </c>
      <c r="R247" s="22"/>
      <c r="S247" s="21"/>
      <c r="T247" s="51"/>
    </row>
    <row r="248" spans="1:26" x14ac:dyDescent="0.2">
      <c r="A248" s="95">
        <v>11</v>
      </c>
      <c r="B248" s="108" t="str">
        <f>IF(A248&lt;&gt;0,INDEX(Coûts,'PA-Détails'!A248, 2),)</f>
        <v>Atelier technique</v>
      </c>
      <c r="C248" s="51"/>
      <c r="D248" s="94" t="str">
        <f>IF(A248&lt;&gt;0,INDEX(Coûts, 'PA-Détails'!A248, 5),)</f>
        <v>Pers / j</v>
      </c>
      <c r="E248" s="96">
        <v>30</v>
      </c>
      <c r="F248" s="100"/>
      <c r="G248" s="100"/>
      <c r="H248" s="100"/>
      <c r="I248" s="100"/>
      <c r="J248" s="101">
        <f t="shared" si="126"/>
        <v>30</v>
      </c>
      <c r="K248" s="115">
        <f>IF(A248&lt;&gt;0,INDEX(Coûts, 'PA-Détails'!A248, 3),)</f>
        <v>70</v>
      </c>
      <c r="L248" s="37">
        <f t="shared" si="145"/>
        <v>2100</v>
      </c>
      <c r="M248" s="36">
        <f t="shared" si="145"/>
        <v>0</v>
      </c>
      <c r="N248" s="36">
        <f t="shared" si="145"/>
        <v>0</v>
      </c>
      <c r="O248" s="36">
        <f t="shared" si="145"/>
        <v>0</v>
      </c>
      <c r="P248" s="268">
        <f t="shared" si="145"/>
        <v>0</v>
      </c>
      <c r="Q248" s="281">
        <f>SUM(L248:P248)</f>
        <v>2100</v>
      </c>
      <c r="R248" s="22"/>
      <c r="S248" s="21"/>
      <c r="T248" s="51"/>
    </row>
    <row r="249" spans="1:26" s="162" customFormat="1" x14ac:dyDescent="0.2">
      <c r="A249" s="123" t="s">
        <v>1053</v>
      </c>
      <c r="B249" s="202"/>
      <c r="C249" s="153"/>
      <c r="D249" s="203"/>
      <c r="E249" s="96">
        <f>H!E122</f>
        <v>0</v>
      </c>
      <c r="F249" s="100"/>
      <c r="G249" s="100"/>
      <c r="H249" s="100"/>
      <c r="I249" s="100"/>
      <c r="J249" s="101">
        <f t="shared" si="126"/>
        <v>0</v>
      </c>
      <c r="K249" s="94"/>
      <c r="L249" s="35">
        <f t="shared" ref="L249:Q249" si="146">SUM(L250:L250)</f>
        <v>0</v>
      </c>
      <c r="M249" s="34">
        <f t="shared" si="146"/>
        <v>2200000</v>
      </c>
      <c r="N249" s="34">
        <f t="shared" si="146"/>
        <v>2200000</v>
      </c>
      <c r="O249" s="34">
        <f t="shared" si="146"/>
        <v>2200000</v>
      </c>
      <c r="P249" s="269">
        <f t="shared" si="146"/>
        <v>2200000</v>
      </c>
      <c r="Q249" s="280">
        <f t="shared" si="146"/>
        <v>8800000</v>
      </c>
      <c r="R249" s="169" t="s">
        <v>1423</v>
      </c>
      <c r="S249" s="203"/>
      <c r="T249" s="153"/>
      <c r="U249" s="653"/>
      <c r="V249" s="572"/>
      <c r="W249" s="572"/>
      <c r="X249" s="572"/>
      <c r="Y249" s="572"/>
      <c r="Z249" s="572"/>
    </row>
    <row r="250" spans="1:26" x14ac:dyDescent="0.2">
      <c r="A250" s="95">
        <v>76</v>
      </c>
      <c r="B250" s="108" t="str">
        <f>IF(A250&lt;&gt;0,INDEX(Coûts,'PA-Détails'!A250, 2),)</f>
        <v>Installation de point d'eau</v>
      </c>
      <c r="C250" s="51"/>
      <c r="D250" s="94" t="str">
        <f>IF(A250&lt;&gt;0,INDEX(Coûts, 'PA-Détails'!A250, 5),)</f>
        <v>Forfait/école</v>
      </c>
      <c r="E250" s="96">
        <f>H!E122</f>
        <v>0</v>
      </c>
      <c r="F250" s="100">
        <f>H!F122</f>
        <v>2200</v>
      </c>
      <c r="G250" s="100">
        <f>H!G122</f>
        <v>2200</v>
      </c>
      <c r="H250" s="100">
        <f>H!H122</f>
        <v>2200</v>
      </c>
      <c r="I250" s="100">
        <f>H!I122</f>
        <v>2200</v>
      </c>
      <c r="J250" s="101">
        <f t="shared" si="126"/>
        <v>8800</v>
      </c>
      <c r="K250" s="115">
        <f>IF(A250&lt;&gt;0,INDEX(Coûts, 'PA-Détails'!A250, 3),)</f>
        <v>1000</v>
      </c>
      <c r="L250" s="37">
        <f t="shared" ref="L250:P251" si="147">ROUND(+$K250*E250,0)</f>
        <v>0</v>
      </c>
      <c r="M250" s="36">
        <f t="shared" si="147"/>
        <v>2200000</v>
      </c>
      <c r="N250" s="36">
        <f t="shared" si="147"/>
        <v>2200000</v>
      </c>
      <c r="O250" s="36">
        <f t="shared" si="147"/>
        <v>2200000</v>
      </c>
      <c r="P250" s="268">
        <f t="shared" si="147"/>
        <v>2200000</v>
      </c>
      <c r="Q250" s="281">
        <f>SUM(L250:P250)</f>
        <v>8800000</v>
      </c>
      <c r="R250" s="22"/>
      <c r="S250" s="21"/>
      <c r="T250" s="51"/>
    </row>
    <row r="251" spans="1:26" s="162" customFormat="1" x14ac:dyDescent="0.2">
      <c r="A251" s="122" t="s">
        <v>46</v>
      </c>
      <c r="B251" s="152"/>
      <c r="C251" s="153" t="s">
        <v>421</v>
      </c>
      <c r="D251" s="155"/>
      <c r="E251" s="97"/>
      <c r="F251" s="98"/>
      <c r="G251" s="98"/>
      <c r="H251" s="98"/>
      <c r="I251" s="98"/>
      <c r="J251" s="99">
        <f t="shared" si="126"/>
        <v>0</v>
      </c>
      <c r="K251" s="208"/>
      <c r="L251" s="161">
        <f t="shared" si="147"/>
        <v>0</v>
      </c>
      <c r="M251" s="157">
        <f t="shared" si="147"/>
        <v>0</v>
      </c>
      <c r="N251" s="157">
        <f t="shared" si="147"/>
        <v>0</v>
      </c>
      <c r="O251" s="157">
        <f t="shared" si="147"/>
        <v>0</v>
      </c>
      <c r="P251" s="270">
        <f t="shared" si="147"/>
        <v>0</v>
      </c>
      <c r="Q251" s="284">
        <f>SUM(L251:P251)</f>
        <v>0</v>
      </c>
      <c r="R251" s="227"/>
      <c r="S251" s="155"/>
      <c r="T251" s="153"/>
      <c r="U251" s="653"/>
      <c r="V251" s="572"/>
      <c r="W251" s="572"/>
      <c r="X251" s="572"/>
      <c r="Y251" s="572"/>
      <c r="Z251" s="572"/>
    </row>
    <row r="252" spans="1:26" s="162" customFormat="1" x14ac:dyDescent="0.2">
      <c r="A252" s="123" t="s">
        <v>906</v>
      </c>
      <c r="B252" s="202"/>
      <c r="C252" s="153"/>
      <c r="D252" s="203"/>
      <c r="E252" s="96"/>
      <c r="F252" s="100"/>
      <c r="G252" s="100"/>
      <c r="H252" s="100"/>
      <c r="I252" s="100"/>
      <c r="J252" s="101">
        <f t="shared" si="126"/>
        <v>0</v>
      </c>
      <c r="K252" s="94"/>
      <c r="L252" s="35">
        <f t="shared" ref="L252:Q252" si="148">SUM(L253:L254)</f>
        <v>5100</v>
      </c>
      <c r="M252" s="34">
        <f t="shared" si="148"/>
        <v>0</v>
      </c>
      <c r="N252" s="34">
        <f t="shared" si="148"/>
        <v>0</v>
      </c>
      <c r="O252" s="34">
        <f t="shared" si="148"/>
        <v>0</v>
      </c>
      <c r="P252" s="269">
        <f t="shared" si="148"/>
        <v>0</v>
      </c>
      <c r="Q252" s="280">
        <f t="shared" si="148"/>
        <v>5100</v>
      </c>
      <c r="R252" s="169" t="s">
        <v>1423</v>
      </c>
      <c r="S252" s="94" t="s">
        <v>665</v>
      </c>
      <c r="T252" s="153"/>
      <c r="U252" s="653"/>
      <c r="V252" s="572"/>
      <c r="W252" s="572"/>
      <c r="X252" s="572"/>
      <c r="Y252" s="572"/>
      <c r="Z252" s="572"/>
    </row>
    <row r="253" spans="1:26" x14ac:dyDescent="0.2">
      <c r="A253" s="95">
        <v>2</v>
      </c>
      <c r="B253" s="108" t="str">
        <f>IF(A253&lt;&gt;0,INDEX(Coûts,'PA-Détails'!A253, 2),)</f>
        <v>Assistance technique nationale (consultants)</v>
      </c>
      <c r="C253" s="51"/>
      <c r="D253" s="94" t="str">
        <f>IF(A253&lt;&gt;0,INDEX(Coûts, 'PA-Détails'!A253, 5),)</f>
        <v>Pers / j</v>
      </c>
      <c r="E253" s="96">
        <v>10</v>
      </c>
      <c r="F253" s="100"/>
      <c r="G253" s="100"/>
      <c r="H253" s="100"/>
      <c r="I253" s="100"/>
      <c r="J253" s="101">
        <f t="shared" si="126"/>
        <v>10</v>
      </c>
      <c r="K253" s="115">
        <f>IF(A253&lt;&gt;0,INDEX(Coûts, 'PA-Détails'!A253, 3),)</f>
        <v>300</v>
      </c>
      <c r="L253" s="37">
        <f t="shared" ref="L253:P254" si="149">ROUND(+$K253*E253,0)</f>
        <v>3000</v>
      </c>
      <c r="M253" s="36">
        <f t="shared" si="149"/>
        <v>0</v>
      </c>
      <c r="N253" s="36">
        <f t="shared" si="149"/>
        <v>0</v>
      </c>
      <c r="O253" s="36">
        <f t="shared" si="149"/>
        <v>0</v>
      </c>
      <c r="P253" s="268">
        <f t="shared" si="149"/>
        <v>0</v>
      </c>
      <c r="Q253" s="281">
        <f>SUM(L253:P253)</f>
        <v>3000</v>
      </c>
      <c r="R253" s="22"/>
      <c r="S253" s="21"/>
      <c r="T253" s="51"/>
    </row>
    <row r="254" spans="1:26" x14ac:dyDescent="0.2">
      <c r="A254" s="95">
        <v>11</v>
      </c>
      <c r="B254" s="108" t="str">
        <f>IF(A254&lt;&gt;0,INDEX(Coûts,'PA-Détails'!A254, 2),)</f>
        <v>Atelier technique</v>
      </c>
      <c r="C254" s="51"/>
      <c r="D254" s="94" t="str">
        <f>IF(A254&lt;&gt;0,INDEX(Coûts, 'PA-Détails'!A254, 5),)</f>
        <v>Pers / j</v>
      </c>
      <c r="E254" s="96">
        <v>30</v>
      </c>
      <c r="F254" s="100"/>
      <c r="G254" s="100"/>
      <c r="H254" s="100"/>
      <c r="I254" s="100"/>
      <c r="J254" s="101">
        <f t="shared" si="126"/>
        <v>30</v>
      </c>
      <c r="K254" s="115">
        <f>IF(A254&lt;&gt;0,INDEX(Coûts, 'PA-Détails'!A254, 3),)</f>
        <v>70</v>
      </c>
      <c r="L254" s="37">
        <f t="shared" si="149"/>
        <v>2100</v>
      </c>
      <c r="M254" s="36">
        <f t="shared" si="149"/>
        <v>0</v>
      </c>
      <c r="N254" s="36">
        <f t="shared" si="149"/>
        <v>0</v>
      </c>
      <c r="O254" s="36">
        <f t="shared" si="149"/>
        <v>0</v>
      </c>
      <c r="P254" s="268">
        <f t="shared" si="149"/>
        <v>0</v>
      </c>
      <c r="Q254" s="281">
        <f>SUM(L254:P254)</f>
        <v>2100</v>
      </c>
      <c r="R254" s="22"/>
      <c r="S254" s="21"/>
      <c r="T254" s="51"/>
    </row>
    <row r="255" spans="1:26" s="162" customFormat="1" x14ac:dyDescent="0.2">
      <c r="A255" s="123" t="s">
        <v>908</v>
      </c>
      <c r="B255" s="202"/>
      <c r="C255" s="153"/>
      <c r="D255" s="203"/>
      <c r="E255" s="96"/>
      <c r="F255" s="100"/>
      <c r="G255" s="100"/>
      <c r="H255" s="100"/>
      <c r="I255" s="100"/>
      <c r="J255" s="101">
        <f t="shared" si="126"/>
        <v>0</v>
      </c>
      <c r="K255" s="94"/>
      <c r="L255" s="35">
        <f t="shared" ref="L255:Q255" si="150">SUM(L256:L256)</f>
        <v>0</v>
      </c>
      <c r="M255" s="34">
        <f t="shared" si="150"/>
        <v>2400000</v>
      </c>
      <c r="N255" s="34">
        <f t="shared" si="150"/>
        <v>2400000</v>
      </c>
      <c r="O255" s="34">
        <f t="shared" si="150"/>
        <v>2400000</v>
      </c>
      <c r="P255" s="269">
        <f t="shared" si="150"/>
        <v>2400000</v>
      </c>
      <c r="Q255" s="280">
        <f t="shared" si="150"/>
        <v>9600000</v>
      </c>
      <c r="R255" s="169" t="s">
        <v>1423</v>
      </c>
      <c r="S255" s="203"/>
      <c r="T255" s="153"/>
      <c r="U255" s="653"/>
      <c r="V255" s="572"/>
      <c r="W255" s="572"/>
      <c r="X255" s="572"/>
      <c r="Y255" s="572"/>
      <c r="Z255" s="572"/>
    </row>
    <row r="256" spans="1:26" x14ac:dyDescent="0.2">
      <c r="A256" s="95">
        <v>77</v>
      </c>
      <c r="B256" s="108" t="str">
        <f>IF(A256&lt;&gt;0,INDEX(Coûts,'PA-Détails'!A256, 2),)</f>
        <v>Installation électrique</v>
      </c>
      <c r="C256" s="51"/>
      <c r="D256" s="94" t="str">
        <f>IF(A256&lt;&gt;0,INDEX(Coûts, 'PA-Détails'!A256, 5),)</f>
        <v>Forfait/école</v>
      </c>
      <c r="E256" s="96">
        <f>H!E128</f>
        <v>0</v>
      </c>
      <c r="F256" s="100">
        <f>H!F128</f>
        <v>2400</v>
      </c>
      <c r="G256" s="100">
        <f>H!G128</f>
        <v>2400</v>
      </c>
      <c r="H256" s="100">
        <f>H!H128</f>
        <v>2400</v>
      </c>
      <c r="I256" s="100">
        <f>H!I128</f>
        <v>2400</v>
      </c>
      <c r="J256" s="101">
        <f t="shared" si="126"/>
        <v>9600</v>
      </c>
      <c r="K256" s="115">
        <f>IF(A256&lt;&gt;0,INDEX(Coûts, 'PA-Détails'!A256, 3),)</f>
        <v>1000</v>
      </c>
      <c r="L256" s="37">
        <f t="shared" ref="L256:P257" si="151">ROUND(+$K256*E256,0)</f>
        <v>0</v>
      </c>
      <c r="M256" s="36">
        <f t="shared" si="151"/>
        <v>2400000</v>
      </c>
      <c r="N256" s="36">
        <f t="shared" si="151"/>
        <v>2400000</v>
      </c>
      <c r="O256" s="36">
        <f t="shared" si="151"/>
        <v>2400000</v>
      </c>
      <c r="P256" s="268">
        <f t="shared" si="151"/>
        <v>2400000</v>
      </c>
      <c r="Q256" s="281">
        <f>SUM(L256:P256)</f>
        <v>9600000</v>
      </c>
      <c r="R256" s="22"/>
      <c r="S256" s="21"/>
      <c r="T256" s="51"/>
    </row>
    <row r="257" spans="1:20" x14ac:dyDescent="0.2">
      <c r="A257" s="17" t="s">
        <v>47</v>
      </c>
      <c r="B257" s="45"/>
      <c r="C257" s="51" t="s">
        <v>692</v>
      </c>
      <c r="D257" s="18"/>
      <c r="E257" s="97"/>
      <c r="F257" s="98"/>
      <c r="G257" s="98"/>
      <c r="H257" s="98"/>
      <c r="I257" s="98"/>
      <c r="J257" s="99">
        <f t="shared" si="126"/>
        <v>0</v>
      </c>
      <c r="K257" s="116"/>
      <c r="L257" s="35">
        <f t="shared" si="151"/>
        <v>0</v>
      </c>
      <c r="M257" s="34">
        <f t="shared" si="151"/>
        <v>0</v>
      </c>
      <c r="N257" s="34">
        <f t="shared" si="151"/>
        <v>0</v>
      </c>
      <c r="O257" s="34">
        <f t="shared" si="151"/>
        <v>0</v>
      </c>
      <c r="P257" s="269">
        <f t="shared" si="151"/>
        <v>0</v>
      </c>
      <c r="Q257" s="279">
        <f>SUM(L257:P257)</f>
        <v>0</v>
      </c>
      <c r="R257" s="19"/>
      <c r="S257" s="18"/>
      <c r="T257" s="51"/>
    </row>
    <row r="258" spans="1:20" x14ac:dyDescent="0.2">
      <c r="A258" s="20" t="s">
        <v>422</v>
      </c>
      <c r="B258" s="46"/>
      <c r="C258" s="51"/>
      <c r="D258" s="21"/>
      <c r="E258" s="96"/>
      <c r="F258" s="100"/>
      <c r="G258" s="100"/>
      <c r="H258" s="100"/>
      <c r="I258" s="100"/>
      <c r="J258" s="101">
        <f t="shared" si="126"/>
        <v>0</v>
      </c>
      <c r="K258" s="115"/>
      <c r="L258" s="35">
        <f t="shared" ref="L258:Q258" si="152">SUM(L259:L260)</f>
        <v>7000</v>
      </c>
      <c r="M258" s="34">
        <f t="shared" si="152"/>
        <v>0</v>
      </c>
      <c r="N258" s="34">
        <f t="shared" si="152"/>
        <v>0</v>
      </c>
      <c r="O258" s="34">
        <f t="shared" si="152"/>
        <v>0</v>
      </c>
      <c r="P258" s="269">
        <f t="shared" si="152"/>
        <v>0</v>
      </c>
      <c r="Q258" s="280">
        <f t="shared" si="152"/>
        <v>7000</v>
      </c>
      <c r="R258" s="198" t="s">
        <v>783</v>
      </c>
      <c r="S258" s="115" t="s">
        <v>663</v>
      </c>
      <c r="T258" s="51"/>
    </row>
    <row r="259" spans="1:20" x14ac:dyDescent="0.2">
      <c r="A259" s="95">
        <v>2</v>
      </c>
      <c r="B259" s="108" t="str">
        <f>IF(A259&lt;&gt;0,INDEX(Coûts,'PA-Détails'!A259, 2),)</f>
        <v>Assistance technique nationale (consultants)</v>
      </c>
      <c r="C259" s="51"/>
      <c r="D259" s="94" t="str">
        <f>IF(A259&lt;&gt;0,INDEX(Coûts, 'PA-Détails'!A259, 5),)</f>
        <v>Pers / j</v>
      </c>
      <c r="E259" s="96">
        <v>15</v>
      </c>
      <c r="F259" s="100"/>
      <c r="G259" s="100"/>
      <c r="H259" s="100"/>
      <c r="I259" s="100"/>
      <c r="J259" s="101">
        <f t="shared" si="126"/>
        <v>15</v>
      </c>
      <c r="K259" s="115">
        <f>IF(A259&lt;&gt;0,INDEX(Coûts, 'PA-Détails'!A259, 3),)</f>
        <v>300</v>
      </c>
      <c r="L259" s="37">
        <f t="shared" ref="L259:P260" si="153">ROUND(+$K259*E259,0)</f>
        <v>4500</v>
      </c>
      <c r="M259" s="36">
        <f t="shared" si="153"/>
        <v>0</v>
      </c>
      <c r="N259" s="36">
        <f t="shared" si="153"/>
        <v>0</v>
      </c>
      <c r="O259" s="36">
        <f t="shared" si="153"/>
        <v>0</v>
      </c>
      <c r="P259" s="268">
        <f t="shared" si="153"/>
        <v>0</v>
      </c>
      <c r="Q259" s="281">
        <f>SUM(L259:P259)</f>
        <v>4500</v>
      </c>
      <c r="R259" s="22"/>
      <c r="S259" s="21"/>
      <c r="T259" s="51"/>
    </row>
    <row r="260" spans="1:20" x14ac:dyDescent="0.2">
      <c r="A260" s="95">
        <v>5</v>
      </c>
      <c r="B260" s="108" t="str">
        <f>IF(A260&lt;&gt;0,INDEX(Coûts,'PA-Détails'!A260, 2),)</f>
        <v>Atelier de validation</v>
      </c>
      <c r="C260" s="51"/>
      <c r="D260" s="94" t="str">
        <f>IF(A260&lt;&gt;0,INDEX(Coûts, 'PA-Détails'!A260, 5),)</f>
        <v>Pers / j</v>
      </c>
      <c r="E260" s="96">
        <v>50</v>
      </c>
      <c r="F260" s="100"/>
      <c r="G260" s="100"/>
      <c r="H260" s="100"/>
      <c r="I260" s="100"/>
      <c r="J260" s="101">
        <f t="shared" si="126"/>
        <v>50</v>
      </c>
      <c r="K260" s="115">
        <f>IF(A260&lt;&gt;0,INDEX(Coûts, 'PA-Détails'!A260, 3),)</f>
        <v>50</v>
      </c>
      <c r="L260" s="37">
        <f t="shared" si="153"/>
        <v>2500</v>
      </c>
      <c r="M260" s="36">
        <f t="shared" si="153"/>
        <v>0</v>
      </c>
      <c r="N260" s="36">
        <f t="shared" si="153"/>
        <v>0</v>
      </c>
      <c r="O260" s="36">
        <f t="shared" si="153"/>
        <v>0</v>
      </c>
      <c r="P260" s="268">
        <f t="shared" si="153"/>
        <v>0</v>
      </c>
      <c r="Q260" s="281">
        <f>SUM(L260:P260)</f>
        <v>2500</v>
      </c>
      <c r="R260" s="22"/>
      <c r="S260" s="21"/>
      <c r="T260" s="51"/>
    </row>
    <row r="261" spans="1:20" x14ac:dyDescent="0.2">
      <c r="A261" s="20" t="s">
        <v>423</v>
      </c>
      <c r="B261" s="46"/>
      <c r="C261" s="51"/>
      <c r="D261" s="21"/>
      <c r="E261" s="96"/>
      <c r="F261" s="100"/>
      <c r="G261" s="100"/>
      <c r="H261" s="100"/>
      <c r="I261" s="100"/>
      <c r="J261" s="101">
        <f t="shared" si="126"/>
        <v>0</v>
      </c>
      <c r="K261" s="115"/>
      <c r="L261" s="35">
        <f t="shared" ref="L261:Q261" si="154">SUM(L262:L262)</f>
        <v>2339050</v>
      </c>
      <c r="M261" s="34">
        <f t="shared" si="154"/>
        <v>2465400</v>
      </c>
      <c r="N261" s="34">
        <f t="shared" si="154"/>
        <v>2576550</v>
      </c>
      <c r="O261" s="34">
        <f t="shared" si="154"/>
        <v>2668300</v>
      </c>
      <c r="P261" s="269">
        <f t="shared" si="154"/>
        <v>2735750</v>
      </c>
      <c r="Q261" s="280">
        <f t="shared" si="154"/>
        <v>12785050</v>
      </c>
      <c r="R261" s="198" t="s">
        <v>783</v>
      </c>
      <c r="S261" s="115" t="s">
        <v>663</v>
      </c>
      <c r="T261" s="51"/>
    </row>
    <row r="262" spans="1:20" x14ac:dyDescent="0.2">
      <c r="A262" s="95">
        <v>51</v>
      </c>
      <c r="B262" s="108" t="str">
        <f>IF(A262&lt;&gt;0,INDEX(Coûts,'PA-Détails'!A262, 2),)</f>
        <v>Kit d'équipements sportifs</v>
      </c>
      <c r="C262" s="51"/>
      <c r="D262" s="94" t="str">
        <f>IF(A262&lt;&gt;0,INDEX(Coûts, 'PA-Détails'!A262, 5),)</f>
        <v>Forfait</v>
      </c>
      <c r="E262" s="96">
        <f>H!E21/2</f>
        <v>23390.5</v>
      </c>
      <c r="F262" s="100">
        <f>H!F21/2</f>
        <v>24654</v>
      </c>
      <c r="G262" s="100">
        <f>H!G21/2</f>
        <v>25765.5</v>
      </c>
      <c r="H262" s="100">
        <f>H!H21/2</f>
        <v>26683</v>
      </c>
      <c r="I262" s="100">
        <f>H!I21/2</f>
        <v>27357.5</v>
      </c>
      <c r="J262" s="101">
        <f t="shared" si="126"/>
        <v>127850.5</v>
      </c>
      <c r="K262" s="115">
        <f>IF(A262&lt;&gt;0,INDEX(Coûts, 'PA-Détails'!A262, 3),)</f>
        <v>100</v>
      </c>
      <c r="L262" s="37">
        <f t="shared" ref="L262:P263" si="155">ROUND(+$K262*E262,0)</f>
        <v>2339050</v>
      </c>
      <c r="M262" s="36">
        <f t="shared" si="155"/>
        <v>2465400</v>
      </c>
      <c r="N262" s="36">
        <f t="shared" si="155"/>
        <v>2576550</v>
      </c>
      <c r="O262" s="36">
        <f t="shared" si="155"/>
        <v>2668300</v>
      </c>
      <c r="P262" s="268">
        <f t="shared" si="155"/>
        <v>2735750</v>
      </c>
      <c r="Q262" s="281">
        <f>SUM(L262:P262)</f>
        <v>12785050</v>
      </c>
      <c r="R262" s="22"/>
      <c r="S262" s="21"/>
      <c r="T262" s="51"/>
    </row>
    <row r="263" spans="1:20" x14ac:dyDescent="0.2">
      <c r="A263" s="17" t="s">
        <v>48</v>
      </c>
      <c r="B263" s="45"/>
      <c r="C263" s="51" t="s">
        <v>909</v>
      </c>
      <c r="D263" s="18"/>
      <c r="E263" s="97"/>
      <c r="F263" s="98"/>
      <c r="G263" s="98"/>
      <c r="H263" s="98"/>
      <c r="I263" s="98"/>
      <c r="J263" s="99">
        <f t="shared" si="126"/>
        <v>0</v>
      </c>
      <c r="K263" s="116"/>
      <c r="L263" s="35">
        <f t="shared" si="155"/>
        <v>0</v>
      </c>
      <c r="M263" s="34">
        <f t="shared" si="155"/>
        <v>0</v>
      </c>
      <c r="N263" s="34">
        <f t="shared" si="155"/>
        <v>0</v>
      </c>
      <c r="O263" s="34">
        <f t="shared" si="155"/>
        <v>0</v>
      </c>
      <c r="P263" s="269">
        <f t="shared" si="155"/>
        <v>0</v>
      </c>
      <c r="Q263" s="279">
        <f>SUM(L263:P263)</f>
        <v>0</v>
      </c>
      <c r="R263" s="19"/>
      <c r="S263" s="18"/>
      <c r="T263" s="51"/>
    </row>
    <row r="264" spans="1:20" x14ac:dyDescent="0.2">
      <c r="A264" s="20" t="s">
        <v>911</v>
      </c>
      <c r="B264" s="46"/>
      <c r="C264" s="51"/>
      <c r="D264" s="21"/>
      <c r="E264" s="96"/>
      <c r="F264" s="100"/>
      <c r="G264" s="100"/>
      <c r="H264" s="100"/>
      <c r="I264" s="100"/>
      <c r="J264" s="101">
        <f t="shared" si="126"/>
        <v>0</v>
      </c>
      <c r="K264" s="115"/>
      <c r="L264" s="35">
        <f t="shared" ref="L264:Q264" si="156">SUM(L265:L266)</f>
        <v>8500</v>
      </c>
      <c r="M264" s="34">
        <f t="shared" si="156"/>
        <v>0</v>
      </c>
      <c r="N264" s="34">
        <f t="shared" si="156"/>
        <v>0</v>
      </c>
      <c r="O264" s="34">
        <f t="shared" si="156"/>
        <v>0</v>
      </c>
      <c r="P264" s="269">
        <f t="shared" si="156"/>
        <v>0</v>
      </c>
      <c r="Q264" s="280">
        <f t="shared" si="156"/>
        <v>8500</v>
      </c>
      <c r="R264" s="39" t="s">
        <v>758</v>
      </c>
      <c r="S264" s="115" t="s">
        <v>665</v>
      </c>
      <c r="T264" s="51"/>
    </row>
    <row r="265" spans="1:20" x14ac:dyDescent="0.2">
      <c r="A265" s="95">
        <v>2</v>
      </c>
      <c r="B265" s="108" t="str">
        <f>IF(A265&lt;&gt;0,INDEX(Coûts,'PA-Détails'!A265, 2),)</f>
        <v>Assistance technique nationale (consultants)</v>
      </c>
      <c r="C265" s="51"/>
      <c r="D265" s="94" t="str">
        <f>IF(A265&lt;&gt;0,INDEX(Coûts, 'PA-Détails'!A265, 5),)</f>
        <v>Pers / j</v>
      </c>
      <c r="E265" s="96">
        <v>20</v>
      </c>
      <c r="F265" s="100"/>
      <c r="G265" s="100"/>
      <c r="H265" s="100"/>
      <c r="I265" s="100"/>
      <c r="J265" s="101">
        <f t="shared" si="126"/>
        <v>20</v>
      </c>
      <c r="K265" s="115">
        <f>IF(A265&lt;&gt;0,INDEX(Coûts, 'PA-Détails'!A265, 3),)</f>
        <v>300</v>
      </c>
      <c r="L265" s="37">
        <f t="shared" ref="L265:P266" si="157">ROUND(+$K265*E265,0)</f>
        <v>6000</v>
      </c>
      <c r="M265" s="36">
        <f t="shared" si="157"/>
        <v>0</v>
      </c>
      <c r="N265" s="36">
        <f t="shared" si="157"/>
        <v>0</v>
      </c>
      <c r="O265" s="36">
        <f t="shared" si="157"/>
        <v>0</v>
      </c>
      <c r="P265" s="268">
        <f t="shared" si="157"/>
        <v>0</v>
      </c>
      <c r="Q265" s="281">
        <f>SUM(L265:P265)</f>
        <v>6000</v>
      </c>
      <c r="R265" s="22"/>
      <c r="S265" s="21"/>
      <c r="T265" s="51"/>
    </row>
    <row r="266" spans="1:20" x14ac:dyDescent="0.2">
      <c r="A266" s="95">
        <v>5</v>
      </c>
      <c r="B266" s="108" t="str">
        <f>IF(A266&lt;&gt;0,INDEX(Coûts,'PA-Détails'!A266, 2),)</f>
        <v>Atelier de validation</v>
      </c>
      <c r="C266" s="51"/>
      <c r="D266" s="94" t="str">
        <f>IF(A266&lt;&gt;0,INDEX(Coûts, 'PA-Détails'!A266, 5),)</f>
        <v>Pers / j</v>
      </c>
      <c r="E266" s="96">
        <v>50</v>
      </c>
      <c r="F266" s="100"/>
      <c r="G266" s="100"/>
      <c r="H266" s="100"/>
      <c r="I266" s="100"/>
      <c r="J266" s="101">
        <f t="shared" si="126"/>
        <v>50</v>
      </c>
      <c r="K266" s="115">
        <f>IF(A266&lt;&gt;0,INDEX(Coûts, 'PA-Détails'!A266, 3),)</f>
        <v>50</v>
      </c>
      <c r="L266" s="37">
        <f t="shared" si="157"/>
        <v>2500</v>
      </c>
      <c r="M266" s="36">
        <f t="shared" si="157"/>
        <v>0</v>
      </c>
      <c r="N266" s="36">
        <f t="shared" si="157"/>
        <v>0</v>
      </c>
      <c r="O266" s="36">
        <f t="shared" si="157"/>
        <v>0</v>
      </c>
      <c r="P266" s="268">
        <f t="shared" si="157"/>
        <v>0</v>
      </c>
      <c r="Q266" s="281">
        <f>SUM(L266:P266)</f>
        <v>2500</v>
      </c>
      <c r="R266" s="22"/>
      <c r="S266" s="21"/>
      <c r="T266" s="51"/>
    </row>
    <row r="267" spans="1:20" x14ac:dyDescent="0.2">
      <c r="A267" s="20" t="s">
        <v>1054</v>
      </c>
      <c r="B267" s="46"/>
      <c r="C267" s="51"/>
      <c r="D267" s="21"/>
      <c r="E267" s="96"/>
      <c r="F267" s="100"/>
      <c r="G267" s="100"/>
      <c r="H267" s="100"/>
      <c r="I267" s="100"/>
      <c r="J267" s="101">
        <f t="shared" si="126"/>
        <v>0</v>
      </c>
      <c r="K267" s="115"/>
      <c r="L267" s="35">
        <f t="shared" ref="L267:Q267" si="158">SUM(L268:L270)</f>
        <v>28000</v>
      </c>
      <c r="M267" s="34">
        <f t="shared" si="158"/>
        <v>0</v>
      </c>
      <c r="N267" s="34">
        <f t="shared" si="158"/>
        <v>0</v>
      </c>
      <c r="O267" s="34">
        <f t="shared" si="158"/>
        <v>0</v>
      </c>
      <c r="P267" s="269">
        <f t="shared" si="158"/>
        <v>0</v>
      </c>
      <c r="Q267" s="280">
        <f t="shared" si="158"/>
        <v>28000</v>
      </c>
      <c r="R267" s="39" t="s">
        <v>758</v>
      </c>
      <c r="S267" s="115" t="s">
        <v>665</v>
      </c>
      <c r="T267" s="51"/>
    </row>
    <row r="268" spans="1:20" x14ac:dyDescent="0.2">
      <c r="A268" s="95">
        <v>2</v>
      </c>
      <c r="B268" s="108" t="str">
        <f>IF(A268&lt;&gt;0,INDEX(Coûts,'PA-Détails'!A268, 2),)</f>
        <v>Assistance technique nationale (consultants)</v>
      </c>
      <c r="C268" s="51"/>
      <c r="D268" s="94" t="str">
        <f>IF(A268&lt;&gt;0,INDEX(Coûts, 'PA-Détails'!A268, 5),)</f>
        <v>Pers / j</v>
      </c>
      <c r="E268" s="96">
        <v>10</v>
      </c>
      <c r="F268" s="100"/>
      <c r="G268" s="100"/>
      <c r="H268" s="100"/>
      <c r="I268" s="100"/>
      <c r="J268" s="101">
        <f t="shared" si="126"/>
        <v>10</v>
      </c>
      <c r="K268" s="115">
        <f>IF(A268&lt;&gt;0,INDEX(Coûts, 'PA-Détails'!A268, 3),)</f>
        <v>300</v>
      </c>
      <c r="L268" s="37">
        <f t="shared" ref="L268:P270" si="159">ROUND(+$K268*E268,0)</f>
        <v>3000</v>
      </c>
      <c r="M268" s="36">
        <f t="shared" si="159"/>
        <v>0</v>
      </c>
      <c r="N268" s="36">
        <f t="shared" si="159"/>
        <v>0</v>
      </c>
      <c r="O268" s="36">
        <f t="shared" si="159"/>
        <v>0</v>
      </c>
      <c r="P268" s="268">
        <f t="shared" si="159"/>
        <v>0</v>
      </c>
      <c r="Q268" s="281">
        <f>SUM(L268:P268)</f>
        <v>3000</v>
      </c>
      <c r="R268" s="22"/>
      <c r="S268" s="21"/>
      <c r="T268" s="51"/>
    </row>
    <row r="269" spans="1:20" x14ac:dyDescent="0.2">
      <c r="A269" s="95">
        <v>5</v>
      </c>
      <c r="B269" s="108" t="str">
        <f>IF(A269&lt;&gt;0,INDEX(Coûts,'PA-Détails'!A269, 2),)</f>
        <v>Atelier de validation</v>
      </c>
      <c r="C269" s="51"/>
      <c r="D269" s="94" t="str">
        <f>IF(A269&lt;&gt;0,INDEX(Coûts, 'PA-Détails'!A269, 5),)</f>
        <v>Pers / j</v>
      </c>
      <c r="E269" s="96">
        <v>50</v>
      </c>
      <c r="F269" s="100"/>
      <c r="G269" s="100"/>
      <c r="H269" s="100"/>
      <c r="I269" s="100"/>
      <c r="J269" s="101">
        <f t="shared" si="126"/>
        <v>50</v>
      </c>
      <c r="K269" s="115">
        <f>IF(A269&lt;&gt;0,INDEX(Coûts, 'PA-Détails'!A269, 3),)</f>
        <v>50</v>
      </c>
      <c r="L269" s="37">
        <f t="shared" si="159"/>
        <v>2500</v>
      </c>
      <c r="M269" s="36">
        <f t="shared" si="159"/>
        <v>0</v>
      </c>
      <c r="N269" s="36">
        <f t="shared" si="159"/>
        <v>0</v>
      </c>
      <c r="O269" s="36">
        <f t="shared" si="159"/>
        <v>0</v>
      </c>
      <c r="P269" s="268">
        <f t="shared" si="159"/>
        <v>0</v>
      </c>
      <c r="Q269" s="281">
        <f>SUM(L269:P269)</f>
        <v>2500</v>
      </c>
      <c r="R269" s="22"/>
      <c r="S269" s="21"/>
      <c r="T269" s="51"/>
    </row>
    <row r="270" spans="1:20" x14ac:dyDescent="0.2">
      <c r="A270" s="95">
        <v>12</v>
      </c>
      <c r="B270" s="108" t="str">
        <f>IF(A270&lt;&gt;0,INDEX(Coûts,'PA-Détails'!A270, 2),)</f>
        <v>Formation - Action et Formation de formateurs</v>
      </c>
      <c r="C270" s="51"/>
      <c r="D270" s="94" t="str">
        <f>IF(A270&lt;&gt;0,INDEX(Coûts, 'PA-Détails'!A270, 5),)</f>
        <v>Pers / j</v>
      </c>
      <c r="E270" s="96">
        <f>30*5</f>
        <v>150</v>
      </c>
      <c r="F270" s="100"/>
      <c r="G270" s="100"/>
      <c r="H270" s="100"/>
      <c r="I270" s="100"/>
      <c r="J270" s="101">
        <f t="shared" si="126"/>
        <v>150</v>
      </c>
      <c r="K270" s="115">
        <f>IF(A270&lt;&gt;0,INDEX(Coûts, 'PA-Détails'!A270, 3),)</f>
        <v>150</v>
      </c>
      <c r="L270" s="37">
        <f t="shared" si="159"/>
        <v>22500</v>
      </c>
      <c r="M270" s="36">
        <f t="shared" si="159"/>
        <v>0</v>
      </c>
      <c r="N270" s="36">
        <f t="shared" si="159"/>
        <v>0</v>
      </c>
      <c r="O270" s="36">
        <f t="shared" si="159"/>
        <v>0</v>
      </c>
      <c r="P270" s="268">
        <f t="shared" si="159"/>
        <v>0</v>
      </c>
      <c r="Q270" s="281">
        <f>SUM(L270:P270)</f>
        <v>22500</v>
      </c>
      <c r="R270" s="22"/>
      <c r="S270" s="21"/>
      <c r="T270" s="51"/>
    </row>
    <row r="271" spans="1:20" x14ac:dyDescent="0.2">
      <c r="A271" s="20" t="s">
        <v>424</v>
      </c>
      <c r="B271" s="46"/>
      <c r="C271" s="51"/>
      <c r="D271" s="21"/>
      <c r="E271" s="96"/>
      <c r="F271" s="100"/>
      <c r="G271" s="100"/>
      <c r="H271" s="100"/>
      <c r="I271" s="100"/>
      <c r="J271" s="101">
        <f t="shared" si="126"/>
        <v>0</v>
      </c>
      <c r="K271" s="115"/>
      <c r="L271" s="35">
        <f t="shared" ref="L271:Q271" si="160">SUM(L272:L272)</f>
        <v>935620</v>
      </c>
      <c r="M271" s="34">
        <f t="shared" si="160"/>
        <v>986160</v>
      </c>
      <c r="N271" s="34">
        <f t="shared" si="160"/>
        <v>1030620</v>
      </c>
      <c r="O271" s="34">
        <f t="shared" si="160"/>
        <v>1067320</v>
      </c>
      <c r="P271" s="269">
        <f t="shared" si="160"/>
        <v>1094300</v>
      </c>
      <c r="Q271" s="280">
        <f t="shared" si="160"/>
        <v>5114020</v>
      </c>
      <c r="R271" s="39" t="s">
        <v>758</v>
      </c>
      <c r="S271" s="115" t="s">
        <v>665</v>
      </c>
      <c r="T271" s="51"/>
    </row>
    <row r="272" spans="1:20" x14ac:dyDescent="0.2">
      <c r="A272" s="95">
        <v>59</v>
      </c>
      <c r="B272" s="108" t="str">
        <f>IF(A272&lt;&gt;0,INDEX(Coûts,'PA-Détails'!A272, 2),)</f>
        <v>Acquisition et distribution de plaquettes/brochures/guides/livres</v>
      </c>
      <c r="C272" s="51"/>
      <c r="D272" s="94" t="str">
        <f>IF(A272&lt;&gt;0,INDEX(Coûts, 'PA-Détails'!A272, 5),)</f>
        <v>Unité</v>
      </c>
      <c r="E272" s="96">
        <f>H!E21*10</f>
        <v>467810</v>
      </c>
      <c r="F272" s="100">
        <f>H!F21*10</f>
        <v>493080</v>
      </c>
      <c r="G272" s="100">
        <f>H!G21*10</f>
        <v>515310</v>
      </c>
      <c r="H272" s="100">
        <f>H!H21*10</f>
        <v>533660</v>
      </c>
      <c r="I272" s="100">
        <f>H!I21*10</f>
        <v>547150</v>
      </c>
      <c r="J272" s="101">
        <f t="shared" si="126"/>
        <v>2557010</v>
      </c>
      <c r="K272" s="115">
        <f>IF(A272&lt;&gt;0,INDEX(Coûts, 'PA-Détails'!A272, 3),)</f>
        <v>2</v>
      </c>
      <c r="L272" s="37">
        <f t="shared" ref="L272:P274" si="161">ROUND(+$K272*E272,0)</f>
        <v>935620</v>
      </c>
      <c r="M272" s="36">
        <f t="shared" si="161"/>
        <v>986160</v>
      </c>
      <c r="N272" s="36">
        <f t="shared" si="161"/>
        <v>1030620</v>
      </c>
      <c r="O272" s="36">
        <f t="shared" si="161"/>
        <v>1067320</v>
      </c>
      <c r="P272" s="268">
        <f t="shared" si="161"/>
        <v>1094300</v>
      </c>
      <c r="Q272" s="281">
        <f>SUM(L272:P272)</f>
        <v>5114020</v>
      </c>
      <c r="R272" s="22"/>
      <c r="S272" s="21"/>
      <c r="T272" s="51"/>
    </row>
    <row r="273" spans="1:20" x14ac:dyDescent="0.2">
      <c r="A273" s="14" t="s">
        <v>1357</v>
      </c>
      <c r="B273" s="44"/>
      <c r="C273" s="112"/>
      <c r="D273" s="15"/>
      <c r="E273" s="102"/>
      <c r="F273" s="103"/>
      <c r="G273" s="103"/>
      <c r="H273" s="103"/>
      <c r="I273" s="103"/>
      <c r="J273" s="104">
        <f t="shared" si="126"/>
        <v>0</v>
      </c>
      <c r="K273" s="145"/>
      <c r="L273" s="33">
        <f t="shared" si="161"/>
        <v>0</v>
      </c>
      <c r="M273" s="32">
        <f t="shared" si="161"/>
        <v>0</v>
      </c>
      <c r="N273" s="32">
        <f t="shared" si="161"/>
        <v>0</v>
      </c>
      <c r="O273" s="32">
        <f t="shared" si="161"/>
        <v>0</v>
      </c>
      <c r="P273" s="267">
        <f t="shared" si="161"/>
        <v>0</v>
      </c>
      <c r="Q273" s="278">
        <f>SUM(L273:P273)</f>
        <v>0</v>
      </c>
      <c r="R273" s="16"/>
      <c r="S273" s="15"/>
      <c r="T273" s="112">
        <v>2</v>
      </c>
    </row>
    <row r="274" spans="1:20" x14ac:dyDescent="0.2">
      <c r="A274" s="17" t="s">
        <v>425</v>
      </c>
      <c r="B274" s="45"/>
      <c r="C274" s="51" t="s">
        <v>426</v>
      </c>
      <c r="D274" s="18"/>
      <c r="E274" s="97"/>
      <c r="F274" s="98"/>
      <c r="G274" s="98"/>
      <c r="H274" s="98"/>
      <c r="I274" s="98"/>
      <c r="J274" s="99">
        <f t="shared" si="126"/>
        <v>0</v>
      </c>
      <c r="K274" s="116"/>
      <c r="L274" s="35">
        <f t="shared" si="161"/>
        <v>0</v>
      </c>
      <c r="M274" s="34">
        <f t="shared" si="161"/>
        <v>0</v>
      </c>
      <c r="N274" s="34">
        <f t="shared" si="161"/>
        <v>0</v>
      </c>
      <c r="O274" s="34">
        <f t="shared" si="161"/>
        <v>0</v>
      </c>
      <c r="P274" s="269">
        <f t="shared" si="161"/>
        <v>0</v>
      </c>
      <c r="Q274" s="279">
        <f>SUM(L274:P274)</f>
        <v>0</v>
      </c>
      <c r="R274" s="19"/>
      <c r="S274" s="18"/>
      <c r="T274" s="51"/>
    </row>
    <row r="275" spans="1:20" x14ac:dyDescent="0.2">
      <c r="A275" s="20" t="s">
        <v>696</v>
      </c>
      <c r="B275" s="46"/>
      <c r="C275" s="51"/>
      <c r="D275" s="21"/>
      <c r="E275" s="96"/>
      <c r="F275" s="100"/>
      <c r="G275" s="100"/>
      <c r="H275" s="100"/>
      <c r="I275" s="100"/>
      <c r="J275" s="101">
        <f t="shared" si="126"/>
        <v>0</v>
      </c>
      <c r="K275" s="115"/>
      <c r="L275" s="35">
        <f t="shared" ref="L275:Q275" si="162">SUM(L276:L277)</f>
        <v>16000</v>
      </c>
      <c r="M275" s="34">
        <f t="shared" si="162"/>
        <v>16000</v>
      </c>
      <c r="N275" s="34">
        <f t="shared" si="162"/>
        <v>0</v>
      </c>
      <c r="O275" s="34">
        <f t="shared" si="162"/>
        <v>0</v>
      </c>
      <c r="P275" s="269">
        <f t="shared" si="162"/>
        <v>0</v>
      </c>
      <c r="Q275" s="280">
        <f t="shared" si="162"/>
        <v>32000</v>
      </c>
      <c r="R275" s="198" t="s">
        <v>763</v>
      </c>
      <c r="S275" s="147" t="s">
        <v>697</v>
      </c>
      <c r="T275" s="51"/>
    </row>
    <row r="276" spans="1:20" x14ac:dyDescent="0.2">
      <c r="A276" s="95">
        <v>2</v>
      </c>
      <c r="B276" s="108" t="str">
        <f>IF(A276&lt;&gt;0,INDEX(Coûts,'PA-Détails'!A276, 2),)</f>
        <v>Assistance technique nationale (consultants)</v>
      </c>
      <c r="C276" s="51"/>
      <c r="D276" s="94" t="str">
        <f>IF(A276&lt;&gt;0,INDEX(Coûts, 'PA-Détails'!A276, 5),)</f>
        <v>Pers / j</v>
      </c>
      <c r="E276" s="96">
        <f>2*15</f>
        <v>30</v>
      </c>
      <c r="F276" s="100">
        <f>2*15</f>
        <v>30</v>
      </c>
      <c r="G276" s="100"/>
      <c r="H276" s="100"/>
      <c r="I276" s="100"/>
      <c r="J276" s="101">
        <f t="shared" si="126"/>
        <v>60</v>
      </c>
      <c r="K276" s="115">
        <f>IF(A276&lt;&gt;0,INDEX(Coûts, 'PA-Détails'!A276, 3),)</f>
        <v>300</v>
      </c>
      <c r="L276" s="37">
        <f t="shared" ref="L276:P277" si="163">ROUND(+$K276*E276,0)</f>
        <v>9000</v>
      </c>
      <c r="M276" s="36">
        <f t="shared" si="163"/>
        <v>9000</v>
      </c>
      <c r="N276" s="36">
        <f t="shared" si="163"/>
        <v>0</v>
      </c>
      <c r="O276" s="36">
        <f t="shared" si="163"/>
        <v>0</v>
      </c>
      <c r="P276" s="268">
        <f t="shared" si="163"/>
        <v>0</v>
      </c>
      <c r="Q276" s="281">
        <f>SUM(L276:P276)</f>
        <v>18000</v>
      </c>
      <c r="R276" s="22"/>
      <c r="S276" s="21"/>
      <c r="T276" s="51"/>
    </row>
    <row r="277" spans="1:20" x14ac:dyDescent="0.2">
      <c r="A277" s="95">
        <v>11</v>
      </c>
      <c r="B277" s="108" t="str">
        <f>IF(A277&lt;&gt;0,INDEX(Coûts,'PA-Détails'!A277, 2),)</f>
        <v>Atelier technique</v>
      </c>
      <c r="C277" s="51"/>
      <c r="D277" s="94" t="str">
        <f>IF(A277&lt;&gt;0,INDEX(Coûts, 'PA-Détails'!A277, 5),)</f>
        <v>Pers / j</v>
      </c>
      <c r="E277" s="96">
        <f>2*50</f>
        <v>100</v>
      </c>
      <c r="F277" s="100">
        <f>2*50</f>
        <v>100</v>
      </c>
      <c r="G277" s="100"/>
      <c r="H277" s="100"/>
      <c r="I277" s="100"/>
      <c r="J277" s="101">
        <f t="shared" si="126"/>
        <v>200</v>
      </c>
      <c r="K277" s="115">
        <f>IF(A277&lt;&gt;0,INDEX(Coûts, 'PA-Détails'!A277, 3),)</f>
        <v>70</v>
      </c>
      <c r="L277" s="37">
        <f t="shared" si="163"/>
        <v>7000</v>
      </c>
      <c r="M277" s="36">
        <f t="shared" si="163"/>
        <v>7000</v>
      </c>
      <c r="N277" s="36">
        <f t="shared" si="163"/>
        <v>0</v>
      </c>
      <c r="O277" s="36">
        <f t="shared" si="163"/>
        <v>0</v>
      </c>
      <c r="P277" s="268">
        <f t="shared" si="163"/>
        <v>0</v>
      </c>
      <c r="Q277" s="281">
        <f>SUM(L277:P277)</f>
        <v>14000</v>
      </c>
      <c r="R277" s="22"/>
      <c r="S277" s="21"/>
      <c r="T277" s="51"/>
    </row>
    <row r="278" spans="1:20" x14ac:dyDescent="0.2">
      <c r="A278" s="20" t="s">
        <v>427</v>
      </c>
      <c r="B278" s="46"/>
      <c r="C278" s="51"/>
      <c r="D278" s="21"/>
      <c r="E278" s="96"/>
      <c r="F278" s="100"/>
      <c r="G278" s="100"/>
      <c r="H278" s="100"/>
      <c r="I278" s="100"/>
      <c r="J278" s="101">
        <f t="shared" si="126"/>
        <v>0</v>
      </c>
      <c r="K278" s="115"/>
      <c r="L278" s="35">
        <f t="shared" ref="L278:Q278" si="164">SUM(L279:L280)</f>
        <v>400000</v>
      </c>
      <c r="M278" s="34">
        <f t="shared" si="164"/>
        <v>10000</v>
      </c>
      <c r="N278" s="34">
        <f t="shared" si="164"/>
        <v>10000</v>
      </c>
      <c r="O278" s="34">
        <f t="shared" si="164"/>
        <v>0</v>
      </c>
      <c r="P278" s="269">
        <f t="shared" si="164"/>
        <v>0</v>
      </c>
      <c r="Q278" s="280">
        <f t="shared" si="164"/>
        <v>420000</v>
      </c>
      <c r="R278" s="198" t="s">
        <v>763</v>
      </c>
      <c r="S278" s="147" t="s">
        <v>428</v>
      </c>
      <c r="T278" s="51"/>
    </row>
    <row r="279" spans="1:20" x14ac:dyDescent="0.2">
      <c r="A279" s="95">
        <v>60</v>
      </c>
      <c r="B279" s="108" t="str">
        <f>IF(A279&lt;&gt;0,INDEX(Coûts,'PA-Détails'!A279, 2),)</f>
        <v>Numérisation de modules de formation (PROSEB)</v>
      </c>
      <c r="C279" s="51"/>
      <c r="D279" s="94" t="str">
        <f>IF(A279&lt;&gt;0,INDEX(Coûts, 'PA-Détails'!A279, 5),)</f>
        <v>Forfait</v>
      </c>
      <c r="E279" s="96">
        <v>10</v>
      </c>
      <c r="F279" s="100"/>
      <c r="G279" s="100"/>
      <c r="H279" s="100"/>
      <c r="I279" s="100"/>
      <c r="J279" s="101">
        <f t="shared" si="126"/>
        <v>10</v>
      </c>
      <c r="K279" s="115">
        <f>IF(A279&lt;&gt;0,INDEX(Coûts, 'PA-Détails'!A279, 3),)</f>
        <v>40000</v>
      </c>
      <c r="L279" s="37">
        <f t="shared" ref="L279:P280" si="165">ROUND(+$K279*E279,0)</f>
        <v>400000</v>
      </c>
      <c r="M279" s="36">
        <f t="shared" si="165"/>
        <v>0</v>
      </c>
      <c r="N279" s="36">
        <f t="shared" si="165"/>
        <v>0</v>
      </c>
      <c r="O279" s="36">
        <f t="shared" si="165"/>
        <v>0</v>
      </c>
      <c r="P279" s="268">
        <f t="shared" si="165"/>
        <v>0</v>
      </c>
      <c r="Q279" s="281">
        <f>SUM(L279:P279)</f>
        <v>400000</v>
      </c>
      <c r="R279" s="22"/>
      <c r="S279" s="21"/>
      <c r="T279" s="51"/>
    </row>
    <row r="280" spans="1:20" x14ac:dyDescent="0.2">
      <c r="A280" s="95">
        <v>61</v>
      </c>
      <c r="B280" s="108" t="str">
        <f>IF(A280&lt;&gt;0,INDEX(Coûts,'PA-Détails'!A280, 2),)</f>
        <v>Numérisation de modules de formation</v>
      </c>
      <c r="C280" s="51"/>
      <c r="D280" s="94" t="str">
        <f>IF(A280&lt;&gt;0,INDEX(Coûts, 'PA-Détails'!A280, 5),)</f>
        <v>Forfait</v>
      </c>
      <c r="E280" s="96"/>
      <c r="F280" s="100">
        <v>2</v>
      </c>
      <c r="G280" s="100">
        <v>2</v>
      </c>
      <c r="H280" s="100"/>
      <c r="I280" s="100"/>
      <c r="J280" s="101">
        <f t="shared" si="126"/>
        <v>4</v>
      </c>
      <c r="K280" s="115">
        <f>IF(A280&lt;&gt;0,INDEX(Coûts, 'PA-Détails'!A280, 3),)</f>
        <v>5000</v>
      </c>
      <c r="L280" s="37">
        <f t="shared" si="165"/>
        <v>0</v>
      </c>
      <c r="M280" s="36">
        <f t="shared" si="165"/>
        <v>10000</v>
      </c>
      <c r="N280" s="36">
        <f t="shared" si="165"/>
        <v>10000</v>
      </c>
      <c r="O280" s="36">
        <f t="shared" si="165"/>
        <v>0</v>
      </c>
      <c r="P280" s="268">
        <f t="shared" si="165"/>
        <v>0</v>
      </c>
      <c r="Q280" s="281">
        <f>SUM(L280:P280)</f>
        <v>20000</v>
      </c>
      <c r="R280" s="22"/>
      <c r="S280" s="21"/>
      <c r="T280" s="51"/>
    </row>
    <row r="281" spans="1:20" x14ac:dyDescent="0.2">
      <c r="A281" s="20" t="s">
        <v>1055</v>
      </c>
      <c r="B281" s="46"/>
      <c r="C281" s="51"/>
      <c r="D281" s="21"/>
      <c r="E281" s="96"/>
      <c r="F281" s="100"/>
      <c r="G281" s="100"/>
      <c r="H281" s="100"/>
      <c r="I281" s="100"/>
      <c r="J281" s="101">
        <f t="shared" si="126"/>
        <v>0</v>
      </c>
      <c r="K281" s="115"/>
      <c r="L281" s="35">
        <f t="shared" ref="L281:Q281" si="166">SUM(L282:L283)</f>
        <v>16000</v>
      </c>
      <c r="M281" s="34">
        <f t="shared" si="166"/>
        <v>0</v>
      </c>
      <c r="N281" s="34">
        <f t="shared" si="166"/>
        <v>0</v>
      </c>
      <c r="O281" s="34">
        <f t="shared" si="166"/>
        <v>0</v>
      </c>
      <c r="P281" s="269">
        <f t="shared" si="166"/>
        <v>0</v>
      </c>
      <c r="Q281" s="280">
        <f t="shared" si="166"/>
        <v>16000</v>
      </c>
      <c r="R281" s="198" t="s">
        <v>664</v>
      </c>
      <c r="S281" s="147" t="s">
        <v>428</v>
      </c>
      <c r="T281" s="51"/>
    </row>
    <row r="282" spans="1:20" x14ac:dyDescent="0.2">
      <c r="A282" s="95">
        <v>2</v>
      </c>
      <c r="B282" s="108" t="str">
        <f>IF(A282&lt;&gt;0,INDEX(Coûts,'PA-Détails'!A282, 2),)</f>
        <v>Assistance technique nationale (consultants)</v>
      </c>
      <c r="C282" s="51"/>
      <c r="D282" s="94" t="str">
        <f>IF(A282&lt;&gt;0,INDEX(Coûts, 'PA-Détails'!A282, 5),)</f>
        <v>Pers / j</v>
      </c>
      <c r="E282" s="96">
        <f>2*15</f>
        <v>30</v>
      </c>
      <c r="F282" s="100"/>
      <c r="G282" s="100"/>
      <c r="H282" s="100"/>
      <c r="I282" s="100"/>
      <c r="J282" s="101">
        <f t="shared" si="126"/>
        <v>30</v>
      </c>
      <c r="K282" s="115">
        <f>IF(A282&lt;&gt;0,INDEX(Coûts, 'PA-Détails'!A282, 3),)</f>
        <v>300</v>
      </c>
      <c r="L282" s="37">
        <f t="shared" ref="L282:P283" si="167">ROUND(+$K282*E282,0)</f>
        <v>9000</v>
      </c>
      <c r="M282" s="36">
        <f t="shared" si="167"/>
        <v>0</v>
      </c>
      <c r="N282" s="36">
        <f t="shared" si="167"/>
        <v>0</v>
      </c>
      <c r="O282" s="36">
        <f t="shared" si="167"/>
        <v>0</v>
      </c>
      <c r="P282" s="268">
        <f t="shared" si="167"/>
        <v>0</v>
      </c>
      <c r="Q282" s="281">
        <f>SUM(L282:P282)</f>
        <v>9000</v>
      </c>
      <c r="R282" s="22"/>
      <c r="S282" s="21"/>
      <c r="T282" s="51"/>
    </row>
    <row r="283" spans="1:20" x14ac:dyDescent="0.2">
      <c r="A283" s="95">
        <v>11</v>
      </c>
      <c r="B283" s="108" t="str">
        <f>IF(A283&lt;&gt;0,INDEX(Coûts,'PA-Détails'!A283, 2),)</f>
        <v>Atelier technique</v>
      </c>
      <c r="C283" s="51"/>
      <c r="D283" s="94" t="str">
        <f>IF(A283&lt;&gt;0,INDEX(Coûts, 'PA-Détails'!A283, 5),)</f>
        <v>Pers / j</v>
      </c>
      <c r="E283" s="96">
        <f>2*50</f>
        <v>100</v>
      </c>
      <c r="F283" s="100"/>
      <c r="G283" s="100"/>
      <c r="H283" s="100"/>
      <c r="I283" s="100"/>
      <c r="J283" s="101">
        <f t="shared" ref="J283:J376" si="168">SUM(E283:I283)</f>
        <v>100</v>
      </c>
      <c r="K283" s="115">
        <f>IF(A283&lt;&gt;0,INDEX(Coûts, 'PA-Détails'!A283, 3),)</f>
        <v>70</v>
      </c>
      <c r="L283" s="37">
        <f t="shared" si="167"/>
        <v>7000</v>
      </c>
      <c r="M283" s="36">
        <f t="shared" si="167"/>
        <v>0</v>
      </c>
      <c r="N283" s="36">
        <f t="shared" si="167"/>
        <v>0</v>
      </c>
      <c r="O283" s="36">
        <f t="shared" si="167"/>
        <v>0</v>
      </c>
      <c r="P283" s="268">
        <f t="shared" si="167"/>
        <v>0</v>
      </c>
      <c r="Q283" s="281">
        <f>SUM(L283:P283)</f>
        <v>7000</v>
      </c>
      <c r="R283" s="22"/>
      <c r="S283" s="21"/>
      <c r="T283" s="51"/>
    </row>
    <row r="284" spans="1:20" x14ac:dyDescent="0.2">
      <c r="A284" s="20" t="s">
        <v>429</v>
      </c>
      <c r="B284" s="46"/>
      <c r="C284" s="51"/>
      <c r="D284" s="21"/>
      <c r="E284" s="96"/>
      <c r="F284" s="100"/>
      <c r="G284" s="100"/>
      <c r="H284" s="100"/>
      <c r="I284" s="100"/>
      <c r="J284" s="101">
        <f t="shared" si="168"/>
        <v>0</v>
      </c>
      <c r="K284" s="115"/>
      <c r="L284" s="35">
        <f t="shared" ref="L284:Q284" si="169">SUM(L285:L285)</f>
        <v>0</v>
      </c>
      <c r="M284" s="34">
        <f t="shared" si="169"/>
        <v>115000</v>
      </c>
      <c r="N284" s="34">
        <f t="shared" si="169"/>
        <v>0</v>
      </c>
      <c r="O284" s="34">
        <f t="shared" si="169"/>
        <v>0</v>
      </c>
      <c r="P284" s="269">
        <f t="shared" si="169"/>
        <v>0</v>
      </c>
      <c r="Q284" s="280">
        <f t="shared" si="169"/>
        <v>115000</v>
      </c>
      <c r="R284" s="198" t="s">
        <v>784</v>
      </c>
      <c r="S284" s="147" t="s">
        <v>698</v>
      </c>
      <c r="T284" s="51"/>
    </row>
    <row r="285" spans="1:20" x14ac:dyDescent="0.2">
      <c r="A285" s="95">
        <v>62</v>
      </c>
      <c r="B285" s="108" t="str">
        <f>IF(A285&lt;&gt;0,INDEX(Coûts,'PA-Détails'!A285, 2),)</f>
        <v>Dotation à la création de CRESD</v>
      </c>
      <c r="C285" s="51"/>
      <c r="D285" s="94" t="str">
        <f>IF(A285&lt;&gt;0,INDEX(Coûts, 'PA-Détails'!A285, 5),)</f>
        <v>Forfait</v>
      </c>
      <c r="E285" s="96"/>
      <c r="F285" s="100">
        <v>23</v>
      </c>
      <c r="G285" s="100"/>
      <c r="H285" s="100"/>
      <c r="I285" s="100"/>
      <c r="J285" s="101">
        <f t="shared" si="168"/>
        <v>23</v>
      </c>
      <c r="K285" s="115">
        <f>IF(A285&lt;&gt;0,INDEX(Coûts, 'PA-Détails'!A285, 3),)</f>
        <v>5000</v>
      </c>
      <c r="L285" s="37">
        <f>ROUND(+$K285*E285,0)</f>
        <v>0</v>
      </c>
      <c r="M285" s="36">
        <f>ROUND(+$K285*F285,0)</f>
        <v>115000</v>
      </c>
      <c r="N285" s="36">
        <f>ROUND(+$K285*G285,0)</f>
        <v>0</v>
      </c>
      <c r="O285" s="36">
        <f>ROUND(+$K285*H285,0)</f>
        <v>0</v>
      </c>
      <c r="P285" s="268">
        <f>ROUND(+$K285*I285,0)</f>
        <v>0</v>
      </c>
      <c r="Q285" s="281">
        <f>SUM(L285:P285)</f>
        <v>115000</v>
      </c>
      <c r="R285" s="22"/>
      <c r="S285" s="21"/>
      <c r="T285" s="51"/>
    </row>
    <row r="286" spans="1:20" x14ac:dyDescent="0.2">
      <c r="A286" s="20" t="s">
        <v>430</v>
      </c>
      <c r="B286" s="46"/>
      <c r="C286" s="51"/>
      <c r="D286" s="21"/>
      <c r="E286" s="96"/>
      <c r="F286" s="100"/>
      <c r="G286" s="100"/>
      <c r="H286" s="100"/>
      <c r="I286" s="100"/>
      <c r="J286" s="101">
        <f t="shared" si="168"/>
        <v>0</v>
      </c>
      <c r="K286" s="115"/>
      <c r="L286" s="35">
        <f t="shared" ref="L286:Q286" si="170">SUM(L287:L287)</f>
        <v>165000</v>
      </c>
      <c r="M286" s="34">
        <f t="shared" si="170"/>
        <v>165000</v>
      </c>
      <c r="N286" s="34">
        <f t="shared" si="170"/>
        <v>165000</v>
      </c>
      <c r="O286" s="34">
        <f t="shared" si="170"/>
        <v>165000</v>
      </c>
      <c r="P286" s="269">
        <f t="shared" si="170"/>
        <v>165000</v>
      </c>
      <c r="Q286" s="280">
        <f t="shared" si="170"/>
        <v>825000</v>
      </c>
      <c r="R286" s="198" t="s">
        <v>785</v>
      </c>
      <c r="S286" s="147" t="s">
        <v>699</v>
      </c>
      <c r="T286" s="51"/>
    </row>
    <row r="287" spans="1:20" x14ac:dyDescent="0.2">
      <c r="A287" s="95">
        <v>8</v>
      </c>
      <c r="B287" s="108" t="str">
        <f>IF(A287&lt;&gt;0,INDEX(Coûts,'PA-Détails'!A287, 2),)</f>
        <v>Formation</v>
      </c>
      <c r="C287" s="51"/>
      <c r="D287" s="94" t="str">
        <f>IF(A287&lt;&gt;0,INDEX(Coûts, 'PA-Détails'!A287, 5),)</f>
        <v>Pers / j</v>
      </c>
      <c r="E287" s="96">
        <f>30*50</f>
        <v>1500</v>
      </c>
      <c r="F287" s="100">
        <f>E287</f>
        <v>1500</v>
      </c>
      <c r="G287" s="100">
        <f>F287</f>
        <v>1500</v>
      </c>
      <c r="H287" s="100">
        <f>G287</f>
        <v>1500</v>
      </c>
      <c r="I287" s="100">
        <f>H287</f>
        <v>1500</v>
      </c>
      <c r="J287" s="101">
        <f t="shared" si="168"/>
        <v>7500</v>
      </c>
      <c r="K287" s="115">
        <f>IF(A287&lt;&gt;0,INDEX(Coûts, 'PA-Détails'!A287, 3),)</f>
        <v>110</v>
      </c>
      <c r="L287" s="37">
        <f>ROUND(+$K287*E287,0)</f>
        <v>165000</v>
      </c>
      <c r="M287" s="36">
        <f>ROUND(+$K287*F287,0)</f>
        <v>165000</v>
      </c>
      <c r="N287" s="36">
        <f>ROUND(+$K287*G287,0)</f>
        <v>165000</v>
      </c>
      <c r="O287" s="36">
        <f>ROUND(+$K287*H287,0)</f>
        <v>165000</v>
      </c>
      <c r="P287" s="268">
        <f>ROUND(+$K287*I287,0)</f>
        <v>165000</v>
      </c>
      <c r="Q287" s="281">
        <f>SUM(L287:P287)</f>
        <v>825000</v>
      </c>
      <c r="R287" s="22"/>
      <c r="S287" s="21"/>
      <c r="T287" s="51"/>
    </row>
    <row r="288" spans="1:20" x14ac:dyDescent="0.2">
      <c r="A288" s="20" t="s">
        <v>695</v>
      </c>
      <c r="B288" s="46"/>
      <c r="C288" s="51"/>
      <c r="D288" s="21"/>
      <c r="E288" s="96"/>
      <c r="F288" s="100"/>
      <c r="G288" s="100"/>
      <c r="H288" s="100"/>
      <c r="I288" s="100"/>
      <c r="J288" s="101">
        <f t="shared" si="168"/>
        <v>0</v>
      </c>
      <c r="K288" s="115"/>
      <c r="L288" s="35">
        <f t="shared" ref="L288:Q288" si="171">SUM(L289:L289)</f>
        <v>225000</v>
      </c>
      <c r="M288" s="34">
        <f t="shared" si="171"/>
        <v>225000</v>
      </c>
      <c r="N288" s="34">
        <f t="shared" si="171"/>
        <v>225000</v>
      </c>
      <c r="O288" s="34">
        <f t="shared" si="171"/>
        <v>225000</v>
      </c>
      <c r="P288" s="269">
        <f t="shared" si="171"/>
        <v>225000</v>
      </c>
      <c r="Q288" s="280">
        <f t="shared" si="171"/>
        <v>1125000</v>
      </c>
      <c r="R288" s="198" t="s">
        <v>785</v>
      </c>
      <c r="S288" s="147" t="s">
        <v>699</v>
      </c>
      <c r="T288" s="51"/>
    </row>
    <row r="289" spans="1:26" x14ac:dyDescent="0.2">
      <c r="A289" s="95">
        <v>12</v>
      </c>
      <c r="B289" s="108" t="str">
        <f>IF(A289&lt;&gt;0,INDEX(Coûts,'PA-Détails'!A289, 2),)</f>
        <v>Formation - Action et Formation de formateurs</v>
      </c>
      <c r="C289" s="51"/>
      <c r="D289" s="94" t="str">
        <f>IF(A289&lt;&gt;0,INDEX(Coûts, 'PA-Détails'!A289, 5),)</f>
        <v>Pers / j</v>
      </c>
      <c r="E289" s="96">
        <f>30*50</f>
        <v>1500</v>
      </c>
      <c r="F289" s="100">
        <f>30*50</f>
        <v>1500</v>
      </c>
      <c r="G289" s="100">
        <f>30*50</f>
        <v>1500</v>
      </c>
      <c r="H289" s="100">
        <f>30*50</f>
        <v>1500</v>
      </c>
      <c r="I289" s="100">
        <f>30*50</f>
        <v>1500</v>
      </c>
      <c r="J289" s="101">
        <f t="shared" si="168"/>
        <v>7500</v>
      </c>
      <c r="K289" s="115">
        <f>IF(A289&lt;&gt;0,INDEX(Coûts, 'PA-Détails'!A289, 3),)</f>
        <v>150</v>
      </c>
      <c r="L289" s="37">
        <f t="shared" ref="L289:P290" si="172">ROUND(+$K289*E289,0)</f>
        <v>225000</v>
      </c>
      <c r="M289" s="36">
        <f t="shared" si="172"/>
        <v>225000</v>
      </c>
      <c r="N289" s="36">
        <f t="shared" si="172"/>
        <v>225000</v>
      </c>
      <c r="O289" s="36">
        <f t="shared" si="172"/>
        <v>225000</v>
      </c>
      <c r="P289" s="268">
        <f t="shared" si="172"/>
        <v>225000</v>
      </c>
      <c r="Q289" s="281">
        <f>SUM(L289:P289)</f>
        <v>1125000</v>
      </c>
      <c r="R289" s="22"/>
      <c r="S289" s="21"/>
      <c r="T289" s="51"/>
    </row>
    <row r="290" spans="1:26" x14ac:dyDescent="0.2">
      <c r="A290" s="17" t="s">
        <v>49</v>
      </c>
      <c r="B290" s="45"/>
      <c r="C290" s="51" t="s">
        <v>431</v>
      </c>
      <c r="D290" s="18"/>
      <c r="E290" s="97"/>
      <c r="F290" s="98"/>
      <c r="G290" s="98"/>
      <c r="H290" s="98"/>
      <c r="I290" s="98"/>
      <c r="J290" s="99">
        <f t="shared" si="168"/>
        <v>0</v>
      </c>
      <c r="K290" s="116"/>
      <c r="L290" s="35">
        <f t="shared" si="172"/>
        <v>0</v>
      </c>
      <c r="M290" s="34">
        <f t="shared" si="172"/>
        <v>0</v>
      </c>
      <c r="N290" s="34">
        <f t="shared" si="172"/>
        <v>0</v>
      </c>
      <c r="O290" s="34">
        <f t="shared" si="172"/>
        <v>0</v>
      </c>
      <c r="P290" s="269">
        <f t="shared" si="172"/>
        <v>0</v>
      </c>
      <c r="Q290" s="279">
        <f>SUM(L290:P290)</f>
        <v>0</v>
      </c>
      <c r="R290" s="19"/>
      <c r="S290" s="18"/>
      <c r="T290" s="51"/>
    </row>
    <row r="291" spans="1:26" x14ac:dyDescent="0.2">
      <c r="A291" s="20" t="s">
        <v>1057</v>
      </c>
      <c r="B291" s="46"/>
      <c r="C291" s="51"/>
      <c r="D291" s="21"/>
      <c r="E291" s="96"/>
      <c r="F291" s="100"/>
      <c r="G291" s="100"/>
      <c r="H291" s="100"/>
      <c r="I291" s="100"/>
      <c r="J291" s="101">
        <f t="shared" si="168"/>
        <v>0</v>
      </c>
      <c r="K291" s="115"/>
      <c r="L291" s="35">
        <f t="shared" ref="L291:Q291" si="173">SUM(L292:L292)</f>
        <v>857652</v>
      </c>
      <c r="M291" s="34">
        <f t="shared" si="173"/>
        <v>903980</v>
      </c>
      <c r="N291" s="34">
        <f t="shared" si="173"/>
        <v>944735</v>
      </c>
      <c r="O291" s="34">
        <f t="shared" si="173"/>
        <v>978377</v>
      </c>
      <c r="P291" s="269">
        <f t="shared" si="173"/>
        <v>1003108</v>
      </c>
      <c r="Q291" s="280">
        <f t="shared" si="173"/>
        <v>4687852</v>
      </c>
      <c r="R291" s="39" t="s">
        <v>784</v>
      </c>
      <c r="S291" s="115" t="s">
        <v>663</v>
      </c>
      <c r="T291" s="51"/>
    </row>
    <row r="292" spans="1:26" x14ac:dyDescent="0.2">
      <c r="A292" s="95">
        <v>8</v>
      </c>
      <c r="B292" s="108" t="str">
        <f>IF(A292&lt;&gt;0,INDEX(Coûts,'PA-Détails'!A292, 2),)</f>
        <v>Formation</v>
      </c>
      <c r="C292" s="51"/>
      <c r="D292" s="94" t="str">
        <f>IF(A292&lt;&gt;0,INDEX(Coûts, 'PA-Détails'!A292, 5),)</f>
        <v>Pers / j</v>
      </c>
      <c r="E292" s="96">
        <f>H!E21/30*5</f>
        <v>7796.833333333333</v>
      </c>
      <c r="F292" s="100">
        <f>H!F21/30*5</f>
        <v>8218</v>
      </c>
      <c r="G292" s="100">
        <f>H!G21/30*5</f>
        <v>8588.5</v>
      </c>
      <c r="H292" s="100">
        <f>H!H21/30*5</f>
        <v>8894.3333333333321</v>
      </c>
      <c r="I292" s="100">
        <f>H!I21/30*5</f>
        <v>9119.1666666666661</v>
      </c>
      <c r="J292" s="101">
        <f t="shared" si="168"/>
        <v>42616.833333333328</v>
      </c>
      <c r="K292" s="115">
        <f>IF(A292&lt;&gt;0,INDEX(Coûts, 'PA-Détails'!A292, 3),)</f>
        <v>110</v>
      </c>
      <c r="L292" s="37">
        <f t="shared" ref="L292:P293" si="174">ROUND(+$K292*E292,0)</f>
        <v>857652</v>
      </c>
      <c r="M292" s="36">
        <f t="shared" si="174"/>
        <v>903980</v>
      </c>
      <c r="N292" s="36">
        <f t="shared" si="174"/>
        <v>944735</v>
      </c>
      <c r="O292" s="36">
        <f t="shared" si="174"/>
        <v>978377</v>
      </c>
      <c r="P292" s="268">
        <f t="shared" si="174"/>
        <v>1003108</v>
      </c>
      <c r="Q292" s="281">
        <f>SUM(L292:P292)</f>
        <v>4687852</v>
      </c>
      <c r="R292" s="22"/>
      <c r="S292" s="21"/>
      <c r="T292" s="51"/>
    </row>
    <row r="293" spans="1:26" x14ac:dyDescent="0.2">
      <c r="A293" s="17" t="s">
        <v>50</v>
      </c>
      <c r="B293" s="45"/>
      <c r="C293" s="51" t="s">
        <v>432</v>
      </c>
      <c r="D293" s="18"/>
      <c r="E293" s="97"/>
      <c r="F293" s="98"/>
      <c r="G293" s="98"/>
      <c r="H293" s="98"/>
      <c r="I293" s="98"/>
      <c r="J293" s="99">
        <f t="shared" si="168"/>
        <v>0</v>
      </c>
      <c r="K293" s="116"/>
      <c r="L293" s="35">
        <f t="shared" si="174"/>
        <v>0</v>
      </c>
      <c r="M293" s="34">
        <f t="shared" si="174"/>
        <v>0</v>
      </c>
      <c r="N293" s="34">
        <f t="shared" si="174"/>
        <v>0</v>
      </c>
      <c r="O293" s="34">
        <f t="shared" si="174"/>
        <v>0</v>
      </c>
      <c r="P293" s="269">
        <f t="shared" si="174"/>
        <v>0</v>
      </c>
      <c r="Q293" s="279">
        <f>SUM(L293:P293)</f>
        <v>0</v>
      </c>
      <c r="R293" s="19"/>
      <c r="S293" s="18"/>
      <c r="T293" s="51"/>
    </row>
    <row r="294" spans="1:26" x14ac:dyDescent="0.2">
      <c r="A294" s="20" t="s">
        <v>1058</v>
      </c>
      <c r="B294" s="46"/>
      <c r="C294" s="51"/>
      <c r="D294" s="21"/>
      <c r="E294" s="96"/>
      <c r="F294" s="100"/>
      <c r="G294" s="100"/>
      <c r="H294" s="100"/>
      <c r="I294" s="100"/>
      <c r="J294" s="101">
        <f t="shared" si="168"/>
        <v>0</v>
      </c>
      <c r="K294" s="115"/>
      <c r="L294" s="35">
        <f t="shared" ref="L294:Q294" si="175">SUM(L295:L296)</f>
        <v>16000</v>
      </c>
      <c r="M294" s="34">
        <f t="shared" si="175"/>
        <v>0</v>
      </c>
      <c r="N294" s="34">
        <f t="shared" si="175"/>
        <v>0</v>
      </c>
      <c r="O294" s="34">
        <f t="shared" si="175"/>
        <v>0</v>
      </c>
      <c r="P294" s="269">
        <f t="shared" si="175"/>
        <v>0</v>
      </c>
      <c r="Q294" s="280">
        <f t="shared" si="175"/>
        <v>16000</v>
      </c>
      <c r="R294" s="39" t="s">
        <v>675</v>
      </c>
      <c r="S294" s="115" t="s">
        <v>663</v>
      </c>
      <c r="T294" s="51"/>
    </row>
    <row r="295" spans="1:26" x14ac:dyDescent="0.2">
      <c r="A295" s="95">
        <v>2</v>
      </c>
      <c r="B295" s="108" t="str">
        <f>IF(A295&lt;&gt;0,INDEX(Coûts,'PA-Détails'!A295, 2),)</f>
        <v>Assistance technique nationale (consultants)</v>
      </c>
      <c r="C295" s="51"/>
      <c r="D295" s="94" t="str">
        <f>IF(A295&lt;&gt;0,INDEX(Coûts, 'PA-Détails'!A295, 5),)</f>
        <v>Pers / j</v>
      </c>
      <c r="E295" s="96">
        <f>2*15</f>
        <v>30</v>
      </c>
      <c r="F295" s="100"/>
      <c r="G295" s="100"/>
      <c r="H295" s="100"/>
      <c r="I295" s="100"/>
      <c r="J295" s="101">
        <f t="shared" si="168"/>
        <v>30</v>
      </c>
      <c r="K295" s="115">
        <f>IF(A295&lt;&gt;0,INDEX(Coûts, 'PA-Détails'!A295, 3),)</f>
        <v>300</v>
      </c>
      <c r="L295" s="37">
        <f t="shared" ref="L295:P298" si="176">ROUND(+$K295*E295,0)</f>
        <v>9000</v>
      </c>
      <c r="M295" s="36">
        <f t="shared" si="176"/>
        <v>0</v>
      </c>
      <c r="N295" s="36">
        <f t="shared" si="176"/>
        <v>0</v>
      </c>
      <c r="O295" s="36">
        <f t="shared" si="176"/>
        <v>0</v>
      </c>
      <c r="P295" s="268">
        <f t="shared" si="176"/>
        <v>0</v>
      </c>
      <c r="Q295" s="281">
        <f>SUM(L295:P295)</f>
        <v>9000</v>
      </c>
      <c r="R295" s="22"/>
      <c r="S295" s="21"/>
      <c r="T295" s="51"/>
    </row>
    <row r="296" spans="1:26" x14ac:dyDescent="0.2">
      <c r="A296" s="95">
        <v>11</v>
      </c>
      <c r="B296" s="108" t="str">
        <f>IF(A296&lt;&gt;0,INDEX(Coûts,'PA-Détails'!A296, 2),)</f>
        <v>Atelier technique</v>
      </c>
      <c r="C296" s="51"/>
      <c r="D296" s="94" t="str">
        <f>IF(A296&lt;&gt;0,INDEX(Coûts, 'PA-Détails'!A296, 5),)</f>
        <v>Pers / j</v>
      </c>
      <c r="E296" s="96">
        <f>2*50</f>
        <v>100</v>
      </c>
      <c r="F296" s="100"/>
      <c r="G296" s="100"/>
      <c r="H296" s="100"/>
      <c r="I296" s="100"/>
      <c r="J296" s="101">
        <f t="shared" si="168"/>
        <v>100</v>
      </c>
      <c r="K296" s="115">
        <f>IF(A296&lt;&gt;0,INDEX(Coûts, 'PA-Détails'!A296, 3),)</f>
        <v>70</v>
      </c>
      <c r="L296" s="37">
        <f t="shared" si="176"/>
        <v>7000</v>
      </c>
      <c r="M296" s="36">
        <f t="shared" si="176"/>
        <v>0</v>
      </c>
      <c r="N296" s="36">
        <f t="shared" si="176"/>
        <v>0</v>
      </c>
      <c r="O296" s="36">
        <f t="shared" si="176"/>
        <v>0</v>
      </c>
      <c r="P296" s="268">
        <f t="shared" si="176"/>
        <v>0</v>
      </c>
      <c r="Q296" s="281">
        <f>SUM(L296:P296)</f>
        <v>7000</v>
      </c>
      <c r="R296" s="22"/>
      <c r="S296" s="21"/>
      <c r="T296" s="51"/>
    </row>
    <row r="297" spans="1:26" x14ac:dyDescent="0.2">
      <c r="A297" s="20" t="s">
        <v>433</v>
      </c>
      <c r="B297" s="46"/>
      <c r="C297" s="51"/>
      <c r="D297" s="21"/>
      <c r="E297" s="96"/>
      <c r="F297" s="100"/>
      <c r="G297" s="100"/>
      <c r="H297" s="100"/>
      <c r="I297" s="100"/>
      <c r="J297" s="101">
        <f t="shared" si="168"/>
        <v>0</v>
      </c>
      <c r="K297" s="115"/>
      <c r="L297" s="37">
        <f t="shared" si="176"/>
        <v>0</v>
      </c>
      <c r="M297" s="36">
        <f t="shared" si="176"/>
        <v>0</v>
      </c>
      <c r="N297" s="36">
        <f t="shared" si="176"/>
        <v>0</v>
      </c>
      <c r="O297" s="36">
        <f t="shared" si="176"/>
        <v>0</v>
      </c>
      <c r="P297" s="268">
        <f t="shared" si="176"/>
        <v>0</v>
      </c>
      <c r="Q297" s="281">
        <f>SUM(L297:P297)</f>
        <v>0</v>
      </c>
      <c r="R297" s="39" t="s">
        <v>675</v>
      </c>
      <c r="S297" s="115" t="s">
        <v>663</v>
      </c>
      <c r="T297" s="51"/>
    </row>
    <row r="298" spans="1:26" x14ac:dyDescent="0.2">
      <c r="A298" s="17" t="s">
        <v>434</v>
      </c>
      <c r="B298" s="45"/>
      <c r="C298" s="51"/>
      <c r="D298" s="18"/>
      <c r="E298" s="97"/>
      <c r="F298" s="98"/>
      <c r="G298" s="98"/>
      <c r="H298" s="98"/>
      <c r="I298" s="98"/>
      <c r="J298" s="99">
        <f t="shared" si="168"/>
        <v>0</v>
      </c>
      <c r="K298" s="116"/>
      <c r="L298" s="35">
        <f t="shared" si="176"/>
        <v>0</v>
      </c>
      <c r="M298" s="34">
        <f t="shared" si="176"/>
        <v>0</v>
      </c>
      <c r="N298" s="34">
        <f t="shared" si="176"/>
        <v>0</v>
      </c>
      <c r="O298" s="34">
        <f t="shared" si="176"/>
        <v>0</v>
      </c>
      <c r="P298" s="269">
        <f t="shared" si="176"/>
        <v>0</v>
      </c>
      <c r="Q298" s="279">
        <f>SUM(L298:P298)</f>
        <v>0</v>
      </c>
      <c r="R298" s="19"/>
      <c r="S298" s="18"/>
      <c r="T298" s="51"/>
    </row>
    <row r="299" spans="1:26" x14ac:dyDescent="0.2">
      <c r="A299" s="20" t="s">
        <v>1059</v>
      </c>
      <c r="B299" s="46"/>
      <c r="C299" s="51"/>
      <c r="D299" s="21"/>
      <c r="E299" s="96"/>
      <c r="F299" s="100"/>
      <c r="G299" s="100"/>
      <c r="H299" s="100"/>
      <c r="I299" s="100"/>
      <c r="J299" s="101">
        <f t="shared" si="168"/>
        <v>0</v>
      </c>
      <c r="K299" s="115"/>
      <c r="L299" s="35">
        <f t="shared" ref="L299:Q299" si="177">SUM(L300:L301)</f>
        <v>7000</v>
      </c>
      <c r="M299" s="34">
        <f t="shared" si="177"/>
        <v>0</v>
      </c>
      <c r="N299" s="34">
        <f t="shared" si="177"/>
        <v>0</v>
      </c>
      <c r="O299" s="34">
        <f t="shared" si="177"/>
        <v>0</v>
      </c>
      <c r="P299" s="269">
        <f t="shared" si="177"/>
        <v>0</v>
      </c>
      <c r="Q299" s="280">
        <f t="shared" si="177"/>
        <v>7000</v>
      </c>
      <c r="R299" s="39" t="s">
        <v>752</v>
      </c>
      <c r="S299" s="115" t="s">
        <v>665</v>
      </c>
      <c r="T299" s="51"/>
    </row>
    <row r="300" spans="1:26" x14ac:dyDescent="0.2">
      <c r="A300" s="95">
        <v>2</v>
      </c>
      <c r="B300" s="108" t="str">
        <f>IF(A300&lt;&gt;0,INDEX(Coûts,'PA-Détails'!A300, 2),)</f>
        <v>Assistance technique nationale (consultants)</v>
      </c>
      <c r="C300" s="51"/>
      <c r="D300" s="94" t="str">
        <f>IF(A300&lt;&gt;0,INDEX(Coûts, 'PA-Détails'!A300, 5),)</f>
        <v>Pers / j</v>
      </c>
      <c r="E300" s="96">
        <v>15</v>
      </c>
      <c r="F300" s="100"/>
      <c r="G300" s="100"/>
      <c r="H300" s="100"/>
      <c r="I300" s="100"/>
      <c r="J300" s="101">
        <f t="shared" si="168"/>
        <v>15</v>
      </c>
      <c r="K300" s="115">
        <f>IF(A300&lt;&gt;0,INDEX(Coûts, 'PA-Détails'!A300, 3),)</f>
        <v>300</v>
      </c>
      <c r="L300" s="37">
        <f t="shared" ref="L300:P333" si="178">ROUND(+$K300*E300,0)</f>
        <v>4500</v>
      </c>
      <c r="M300" s="36">
        <f t="shared" si="178"/>
        <v>0</v>
      </c>
      <c r="N300" s="36">
        <f t="shared" si="178"/>
        <v>0</v>
      </c>
      <c r="O300" s="36">
        <f t="shared" si="178"/>
        <v>0</v>
      </c>
      <c r="P300" s="268">
        <f t="shared" si="178"/>
        <v>0</v>
      </c>
      <c r="Q300" s="281">
        <f>SUM(L300:P300)</f>
        <v>4500</v>
      </c>
      <c r="R300" s="22"/>
      <c r="S300" s="21"/>
      <c r="T300" s="51"/>
    </row>
    <row r="301" spans="1:26" x14ac:dyDescent="0.2">
      <c r="A301" s="95">
        <v>5</v>
      </c>
      <c r="B301" s="108" t="str">
        <f>IF(A301&lt;&gt;0,INDEX(Coûts,'PA-Détails'!A301, 2),)</f>
        <v>Atelier de validation</v>
      </c>
      <c r="C301" s="51"/>
      <c r="D301" s="94" t="str">
        <f>IF(A301&lt;&gt;0,INDEX(Coûts, 'PA-Détails'!A301, 5),)</f>
        <v>Pers / j</v>
      </c>
      <c r="E301" s="96">
        <v>50</v>
      </c>
      <c r="F301" s="100"/>
      <c r="G301" s="100"/>
      <c r="H301" s="100"/>
      <c r="I301" s="100"/>
      <c r="J301" s="101">
        <f t="shared" si="168"/>
        <v>50</v>
      </c>
      <c r="K301" s="115">
        <f>IF(A301&lt;&gt;0,INDEX(Coûts, 'PA-Détails'!A301, 3),)</f>
        <v>50</v>
      </c>
      <c r="L301" s="37">
        <f t="shared" si="178"/>
        <v>2500</v>
      </c>
      <c r="M301" s="36">
        <f t="shared" si="178"/>
        <v>0</v>
      </c>
      <c r="N301" s="36">
        <f t="shared" si="178"/>
        <v>0</v>
      </c>
      <c r="O301" s="36">
        <f t="shared" si="178"/>
        <v>0</v>
      </c>
      <c r="P301" s="268">
        <f t="shared" si="178"/>
        <v>0</v>
      </c>
      <c r="Q301" s="281">
        <f>SUM(L301:P301)</f>
        <v>2500</v>
      </c>
      <c r="R301" s="22"/>
      <c r="S301" s="21"/>
      <c r="T301" s="51"/>
    </row>
    <row r="302" spans="1:26" x14ac:dyDescent="0.2">
      <c r="A302" s="14" t="s">
        <v>1358</v>
      </c>
      <c r="B302" s="44"/>
      <c r="C302" s="112"/>
      <c r="D302" s="15"/>
      <c r="E302" s="102"/>
      <c r="F302" s="103"/>
      <c r="G302" s="103"/>
      <c r="H302" s="103"/>
      <c r="I302" s="103"/>
      <c r="J302" s="104">
        <f t="shared" ref="J302:J310" si="179">SUM(E302:I302)</f>
        <v>0</v>
      </c>
      <c r="K302" s="145"/>
      <c r="L302" s="33">
        <f t="shared" ref="L302:P303" si="180">ROUND(+$K302*E302,0)</f>
        <v>0</v>
      </c>
      <c r="M302" s="32">
        <f t="shared" si="180"/>
        <v>0</v>
      </c>
      <c r="N302" s="32">
        <f t="shared" si="180"/>
        <v>0</v>
      </c>
      <c r="O302" s="32">
        <f t="shared" si="180"/>
        <v>0</v>
      </c>
      <c r="P302" s="267">
        <f t="shared" si="180"/>
        <v>0</v>
      </c>
      <c r="Q302" s="278">
        <f>SUM(L302:P302)</f>
        <v>0</v>
      </c>
      <c r="R302" s="178"/>
      <c r="S302" s="179"/>
      <c r="T302" s="49">
        <v>3</v>
      </c>
    </row>
    <row r="303" spans="1:26" s="162" customFormat="1" x14ac:dyDescent="0.2">
      <c r="A303" s="122" t="s">
        <v>1148</v>
      </c>
      <c r="B303" s="152"/>
      <c r="C303" s="162" t="s">
        <v>1602</v>
      </c>
      <c r="D303" s="155"/>
      <c r="E303" s="96"/>
      <c r="F303" s="100"/>
      <c r="G303" s="100"/>
      <c r="H303" s="100"/>
      <c r="I303" s="100"/>
      <c r="J303" s="101">
        <f t="shared" si="179"/>
        <v>0</v>
      </c>
      <c r="K303" s="208"/>
      <c r="L303" s="161">
        <f t="shared" si="180"/>
        <v>0</v>
      </c>
      <c r="M303" s="157">
        <f t="shared" si="180"/>
        <v>0</v>
      </c>
      <c r="N303" s="157">
        <f t="shared" si="180"/>
        <v>0</v>
      </c>
      <c r="O303" s="157">
        <f t="shared" si="180"/>
        <v>0</v>
      </c>
      <c r="P303" s="270">
        <f t="shared" si="180"/>
        <v>0</v>
      </c>
      <c r="Q303" s="284">
        <f>SUM(L303:P303)</f>
        <v>0</v>
      </c>
      <c r="R303" s="200"/>
      <c r="S303" s="201"/>
      <c r="T303" s="154"/>
      <c r="U303" s="653"/>
      <c r="V303" s="572"/>
      <c r="W303" s="572"/>
      <c r="X303" s="572"/>
      <c r="Y303" s="572"/>
      <c r="Z303" s="572"/>
    </row>
    <row r="304" spans="1:26" s="162" customFormat="1" x14ac:dyDescent="0.2">
      <c r="A304" s="123" t="s">
        <v>1149</v>
      </c>
      <c r="B304" s="202"/>
      <c r="C304" s="153"/>
      <c r="D304" s="203"/>
      <c r="E304" s="96"/>
      <c r="F304" s="100"/>
      <c r="G304" s="100"/>
      <c r="H304" s="100"/>
      <c r="I304" s="100"/>
      <c r="J304" s="101">
        <f t="shared" si="179"/>
        <v>0</v>
      </c>
      <c r="K304" s="94"/>
      <c r="L304" s="161">
        <f t="shared" ref="L304:Q304" si="181">SUM(L305:L306)</f>
        <v>9500</v>
      </c>
      <c r="M304" s="157">
        <f t="shared" si="181"/>
        <v>0</v>
      </c>
      <c r="N304" s="157">
        <f t="shared" si="181"/>
        <v>0</v>
      </c>
      <c r="O304" s="157">
        <f t="shared" si="181"/>
        <v>0</v>
      </c>
      <c r="P304" s="270">
        <f t="shared" si="181"/>
        <v>0</v>
      </c>
      <c r="Q304" s="284">
        <f t="shared" si="181"/>
        <v>9500</v>
      </c>
      <c r="R304" s="223" t="s">
        <v>758</v>
      </c>
      <c r="S304" s="224" t="s">
        <v>670</v>
      </c>
      <c r="T304" s="153"/>
      <c r="U304" s="653"/>
      <c r="V304" s="572"/>
      <c r="W304" s="572"/>
      <c r="X304" s="572"/>
      <c r="Y304" s="572"/>
      <c r="Z304" s="572"/>
    </row>
    <row r="305" spans="1:26" s="162" customFormat="1" x14ac:dyDescent="0.2">
      <c r="A305" s="95">
        <v>2</v>
      </c>
      <c r="B305" s="163" t="str">
        <f>IF(A305&lt;&gt;0,INDEX(Coûts,'PA-Détails'!A305, 2),)</f>
        <v>Assistance technique nationale (consultants)</v>
      </c>
      <c r="C305" s="153"/>
      <c r="D305" s="94" t="str">
        <f>IF(A305&lt;&gt;0,INDEX(Coûts, 'PA-Détails'!A305, 5),)</f>
        <v>Pers / j</v>
      </c>
      <c r="E305" s="96">
        <v>15</v>
      </c>
      <c r="F305" s="100"/>
      <c r="G305" s="100"/>
      <c r="H305" s="100"/>
      <c r="I305" s="100"/>
      <c r="J305" s="101">
        <f t="shared" si="179"/>
        <v>15</v>
      </c>
      <c r="K305" s="94">
        <f>IF(A305&lt;&gt;0,INDEX(Coûts, 'PA-Détails'!A305, 3),)</f>
        <v>300</v>
      </c>
      <c r="L305" s="167">
        <f t="shared" ref="L305:P306" si="182">ROUND(+$K305*E305,0)</f>
        <v>4500</v>
      </c>
      <c r="M305" s="168">
        <f t="shared" si="182"/>
        <v>0</v>
      </c>
      <c r="N305" s="168">
        <f t="shared" si="182"/>
        <v>0</v>
      </c>
      <c r="O305" s="168">
        <f t="shared" si="182"/>
        <v>0</v>
      </c>
      <c r="P305" s="271">
        <f t="shared" si="182"/>
        <v>0</v>
      </c>
      <c r="Q305" s="283">
        <f>SUM(L305:P305)</f>
        <v>4500</v>
      </c>
      <c r="R305" s="169"/>
      <c r="S305" s="94"/>
      <c r="T305" s="153"/>
      <c r="U305" s="653"/>
      <c r="V305" s="572"/>
      <c r="W305" s="572"/>
      <c r="X305" s="572"/>
      <c r="Y305" s="572"/>
      <c r="Z305" s="572"/>
    </row>
    <row r="306" spans="1:26" s="162" customFormat="1" x14ac:dyDescent="0.2">
      <c r="A306" s="95">
        <v>5</v>
      </c>
      <c r="B306" s="163" t="str">
        <f>IF(A306&lt;&gt;0,INDEX(Coûts,'PA-Détails'!A306, 2),)</f>
        <v>Atelier de validation</v>
      </c>
      <c r="C306" s="153"/>
      <c r="D306" s="94" t="str">
        <f>IF(A306&lt;&gt;0,INDEX(Coûts, 'PA-Détails'!A306, 5),)</f>
        <v>Pers / j</v>
      </c>
      <c r="E306" s="96">
        <v>100</v>
      </c>
      <c r="F306" s="100"/>
      <c r="G306" s="100"/>
      <c r="H306" s="100"/>
      <c r="I306" s="100"/>
      <c r="J306" s="101">
        <f t="shared" si="179"/>
        <v>100</v>
      </c>
      <c r="K306" s="94">
        <f>IF(A306&lt;&gt;0,INDEX(Coûts, 'PA-Détails'!A306, 3),)</f>
        <v>50</v>
      </c>
      <c r="L306" s="167">
        <f t="shared" si="182"/>
        <v>5000</v>
      </c>
      <c r="M306" s="168">
        <f t="shared" si="182"/>
        <v>0</v>
      </c>
      <c r="N306" s="168">
        <f t="shared" si="182"/>
        <v>0</v>
      </c>
      <c r="O306" s="168">
        <f t="shared" si="182"/>
        <v>0</v>
      </c>
      <c r="P306" s="271">
        <f t="shared" si="182"/>
        <v>0</v>
      </c>
      <c r="Q306" s="283">
        <f>SUM(L306:P306)</f>
        <v>5000</v>
      </c>
      <c r="R306" s="169"/>
      <c r="S306" s="94"/>
      <c r="T306" s="153"/>
      <c r="U306" s="653"/>
      <c r="V306" s="572"/>
      <c r="W306" s="572"/>
      <c r="X306" s="572"/>
      <c r="Y306" s="572"/>
      <c r="Z306" s="572"/>
    </row>
    <row r="307" spans="1:26" s="162" customFormat="1" x14ac:dyDescent="0.2">
      <c r="A307" s="123" t="s">
        <v>1150</v>
      </c>
      <c r="B307" s="202"/>
      <c r="C307" s="153"/>
      <c r="D307" s="203"/>
      <c r="E307" s="96"/>
      <c r="F307" s="100"/>
      <c r="G307" s="100"/>
      <c r="H307" s="100"/>
      <c r="I307" s="100"/>
      <c r="J307" s="101">
        <f t="shared" si="179"/>
        <v>0</v>
      </c>
      <c r="K307" s="94"/>
      <c r="L307" s="161">
        <f t="shared" ref="L307:Q307" si="183">SUM(L308:L310)</f>
        <v>64500</v>
      </c>
      <c r="M307" s="157">
        <f t="shared" si="183"/>
        <v>0</v>
      </c>
      <c r="N307" s="157">
        <f t="shared" si="183"/>
        <v>0</v>
      </c>
      <c r="O307" s="157">
        <f t="shared" si="183"/>
        <v>0</v>
      </c>
      <c r="P307" s="270">
        <f t="shared" si="183"/>
        <v>0</v>
      </c>
      <c r="Q307" s="284">
        <f t="shared" si="183"/>
        <v>64500</v>
      </c>
      <c r="R307" s="223" t="s">
        <v>758</v>
      </c>
      <c r="S307" s="224" t="s">
        <v>670</v>
      </c>
      <c r="T307" s="153"/>
      <c r="U307" s="653"/>
      <c r="V307" s="572"/>
      <c r="W307" s="572"/>
      <c r="X307" s="572"/>
      <c r="Y307" s="572"/>
      <c r="Z307" s="572"/>
    </row>
    <row r="308" spans="1:26" s="162" customFormat="1" x14ac:dyDescent="0.2">
      <c r="A308" s="95">
        <v>1</v>
      </c>
      <c r="B308" s="163" t="str">
        <f>IF(A308&lt;&gt;0,INDEX(Coûts,'PA-Détails'!A308, 2),)</f>
        <v>Assistance technique internationale (consultants)</v>
      </c>
      <c r="C308" s="153"/>
      <c r="D308" s="94" t="str">
        <f>IF(A308&lt;&gt;0,INDEX(Coûts, 'PA-Détails'!A308, 5),)</f>
        <v>Pers / j</v>
      </c>
      <c r="E308" s="96">
        <v>30</v>
      </c>
      <c r="F308" s="100"/>
      <c r="G308" s="100"/>
      <c r="H308" s="100"/>
      <c r="I308" s="100"/>
      <c r="J308" s="101">
        <f t="shared" si="179"/>
        <v>30</v>
      </c>
      <c r="K308" s="94">
        <f>IF(A308&lt;&gt;0,INDEX(Coûts, 'PA-Détails'!A308, 3),)</f>
        <v>1150</v>
      </c>
      <c r="L308" s="167">
        <f t="shared" ref="L308:P311" si="184">ROUND(+$K308*E308,0)</f>
        <v>34500</v>
      </c>
      <c r="M308" s="168">
        <f t="shared" si="184"/>
        <v>0</v>
      </c>
      <c r="N308" s="168">
        <f t="shared" si="184"/>
        <v>0</v>
      </c>
      <c r="O308" s="168">
        <f t="shared" si="184"/>
        <v>0</v>
      </c>
      <c r="P308" s="271">
        <f t="shared" si="184"/>
        <v>0</v>
      </c>
      <c r="Q308" s="283">
        <f>SUM(L308:P308)</f>
        <v>34500</v>
      </c>
      <c r="R308" s="169"/>
      <c r="S308" s="94"/>
      <c r="T308" s="153"/>
      <c r="U308" s="653"/>
      <c r="V308" s="572"/>
      <c r="W308" s="572"/>
      <c r="X308" s="572"/>
      <c r="Y308" s="572"/>
      <c r="Z308" s="572"/>
    </row>
    <row r="309" spans="1:26" s="162" customFormat="1" x14ac:dyDescent="0.2">
      <c r="A309" s="95">
        <v>2</v>
      </c>
      <c r="B309" s="163" t="str">
        <f>IF(A309&lt;&gt;0,INDEX(Coûts,'PA-Détails'!A309, 2),)</f>
        <v>Assistance technique nationale (consultants)</v>
      </c>
      <c r="C309" s="153"/>
      <c r="D309" s="94" t="str">
        <f>IF(A309&lt;&gt;0,INDEX(Coûts, 'PA-Détails'!A309, 5),)</f>
        <v>Pers / j</v>
      </c>
      <c r="E309" s="96">
        <v>50</v>
      </c>
      <c r="F309" s="100"/>
      <c r="G309" s="100"/>
      <c r="H309" s="100"/>
      <c r="I309" s="100"/>
      <c r="J309" s="101">
        <f t="shared" si="179"/>
        <v>50</v>
      </c>
      <c r="K309" s="94">
        <f>IF(A309&lt;&gt;0,INDEX(Coûts, 'PA-Détails'!A309, 3),)</f>
        <v>300</v>
      </c>
      <c r="L309" s="167">
        <f t="shared" si="184"/>
        <v>15000</v>
      </c>
      <c r="M309" s="168">
        <f t="shared" si="184"/>
        <v>0</v>
      </c>
      <c r="N309" s="168">
        <f t="shared" si="184"/>
        <v>0</v>
      </c>
      <c r="O309" s="168">
        <f t="shared" si="184"/>
        <v>0</v>
      </c>
      <c r="P309" s="271">
        <f t="shared" si="184"/>
        <v>0</v>
      </c>
      <c r="Q309" s="283">
        <f>SUM(L309:P309)</f>
        <v>15000</v>
      </c>
      <c r="R309" s="169"/>
      <c r="S309" s="94"/>
      <c r="T309" s="153"/>
      <c r="U309" s="653"/>
      <c r="V309" s="572"/>
      <c r="W309" s="572"/>
      <c r="X309" s="572"/>
      <c r="Y309" s="572"/>
      <c r="Z309" s="572"/>
    </row>
    <row r="310" spans="1:26" s="162" customFormat="1" x14ac:dyDescent="0.2">
      <c r="A310" s="95">
        <v>5</v>
      </c>
      <c r="B310" s="163" t="str">
        <f>IF(A310&lt;&gt;0,INDEX(Coûts,'PA-Détails'!A310, 2),)</f>
        <v>Atelier de validation</v>
      </c>
      <c r="C310" s="153"/>
      <c r="D310" s="94" t="str">
        <f>IF(A310&lt;&gt;0,INDEX(Coûts, 'PA-Détails'!A310, 5),)</f>
        <v>Pers / j</v>
      </c>
      <c r="E310" s="96">
        <f>100*3</f>
        <v>300</v>
      </c>
      <c r="F310" s="100"/>
      <c r="G310" s="100"/>
      <c r="H310" s="100"/>
      <c r="I310" s="100"/>
      <c r="J310" s="101">
        <f t="shared" si="179"/>
        <v>300</v>
      </c>
      <c r="K310" s="94">
        <f>IF(A310&lt;&gt;0,INDEX(Coûts, 'PA-Détails'!A310, 3),)</f>
        <v>50</v>
      </c>
      <c r="L310" s="167">
        <f t="shared" si="184"/>
        <v>15000</v>
      </c>
      <c r="M310" s="168">
        <f t="shared" si="184"/>
        <v>0</v>
      </c>
      <c r="N310" s="168">
        <f t="shared" si="184"/>
        <v>0</v>
      </c>
      <c r="O310" s="168">
        <f t="shared" si="184"/>
        <v>0</v>
      </c>
      <c r="P310" s="271">
        <f t="shared" si="184"/>
        <v>0</v>
      </c>
      <c r="Q310" s="283">
        <f>SUM(L310:P310)</f>
        <v>15000</v>
      </c>
      <c r="R310" s="169"/>
      <c r="S310" s="94"/>
      <c r="T310" s="153"/>
      <c r="U310" s="653"/>
      <c r="V310" s="572"/>
      <c r="W310" s="572"/>
      <c r="X310" s="572"/>
      <c r="Y310" s="572"/>
      <c r="Z310" s="572"/>
    </row>
    <row r="311" spans="1:26" s="162" customFormat="1" x14ac:dyDescent="0.2">
      <c r="A311" s="122" t="s">
        <v>1151</v>
      </c>
      <c r="B311" s="163"/>
      <c r="C311" s="153" t="s">
        <v>845</v>
      </c>
      <c r="D311" s="94"/>
      <c r="E311" s="96"/>
      <c r="F311" s="100"/>
      <c r="G311" s="100"/>
      <c r="H311" s="100"/>
      <c r="I311" s="100"/>
      <c r="J311" s="101"/>
      <c r="K311" s="94"/>
      <c r="L311" s="167">
        <f t="shared" si="184"/>
        <v>0</v>
      </c>
      <c r="M311" s="168">
        <f t="shared" si="184"/>
        <v>0</v>
      </c>
      <c r="N311" s="168">
        <f t="shared" si="184"/>
        <v>0</v>
      </c>
      <c r="O311" s="168">
        <f t="shared" si="184"/>
        <v>0</v>
      </c>
      <c r="P311" s="271">
        <f t="shared" si="184"/>
        <v>0</v>
      </c>
      <c r="Q311" s="283"/>
      <c r="R311" s="169"/>
      <c r="S311" s="243"/>
      <c r="T311" s="153"/>
      <c r="U311" s="653"/>
      <c r="V311" s="572"/>
      <c r="W311" s="572"/>
      <c r="X311" s="572"/>
      <c r="Y311" s="572"/>
      <c r="Z311" s="572"/>
    </row>
    <row r="312" spans="1:26" s="162" customFormat="1" x14ac:dyDescent="0.2">
      <c r="A312" s="123" t="s">
        <v>1152</v>
      </c>
      <c r="B312" s="163"/>
      <c r="C312" s="153"/>
      <c r="D312" s="94"/>
      <c r="E312" s="96"/>
      <c r="F312" s="100"/>
      <c r="G312" s="100"/>
      <c r="H312" s="100"/>
      <c r="I312" s="100"/>
      <c r="J312" s="101"/>
      <c r="K312" s="94"/>
      <c r="L312" s="161">
        <f t="shared" ref="L312:Q312" si="185">SUM(L313:L315)</f>
        <v>50500</v>
      </c>
      <c r="M312" s="157">
        <f t="shared" si="185"/>
        <v>0</v>
      </c>
      <c r="N312" s="157">
        <f t="shared" si="185"/>
        <v>0</v>
      </c>
      <c r="O312" s="157">
        <f t="shared" si="185"/>
        <v>0</v>
      </c>
      <c r="P312" s="270">
        <f t="shared" si="185"/>
        <v>0</v>
      </c>
      <c r="Q312" s="284">
        <f t="shared" si="185"/>
        <v>50500</v>
      </c>
      <c r="R312" s="223" t="s">
        <v>758</v>
      </c>
      <c r="S312" s="94" t="s">
        <v>670</v>
      </c>
      <c r="T312" s="153"/>
      <c r="U312" s="653"/>
      <c r="V312" s="572"/>
      <c r="W312" s="572"/>
      <c r="X312" s="572"/>
      <c r="Y312" s="572"/>
      <c r="Z312" s="572"/>
    </row>
    <row r="313" spans="1:26" s="162" customFormat="1" x14ac:dyDescent="0.2">
      <c r="A313" s="95">
        <v>1</v>
      </c>
      <c r="B313" s="163" t="str">
        <f>IF(A313&lt;&gt;0,INDEX(Coûts,'PA-Détails'!A313, 2),)</f>
        <v>Assistance technique internationale (consultants)</v>
      </c>
      <c r="C313" s="153"/>
      <c r="D313" s="94" t="str">
        <f>IF(A313&lt;&gt;0,INDEX(Coûts, 'PA-Détails'!A313, 5),)</f>
        <v>Pers / j</v>
      </c>
      <c r="E313" s="96">
        <v>30</v>
      </c>
      <c r="F313" s="100"/>
      <c r="G313" s="100"/>
      <c r="H313" s="100"/>
      <c r="I313" s="100"/>
      <c r="J313" s="101">
        <f>SUM(E313:I313)</f>
        <v>30</v>
      </c>
      <c r="K313" s="94">
        <f>IF(A313&lt;&gt;0,INDEX(Coûts, 'PA-Détails'!A313, 3),)</f>
        <v>1150</v>
      </c>
      <c r="L313" s="167">
        <f t="shared" ref="L313:P315" si="186">ROUND(+$K313*E313,0)</f>
        <v>34500</v>
      </c>
      <c r="M313" s="168">
        <f t="shared" si="186"/>
        <v>0</v>
      </c>
      <c r="N313" s="168">
        <f t="shared" si="186"/>
        <v>0</v>
      </c>
      <c r="O313" s="168">
        <f t="shared" si="186"/>
        <v>0</v>
      </c>
      <c r="P313" s="271">
        <f t="shared" si="186"/>
        <v>0</v>
      </c>
      <c r="Q313" s="283">
        <f>SUM(L313:P313)</f>
        <v>34500</v>
      </c>
      <c r="R313" s="169"/>
      <c r="S313" s="94"/>
      <c r="T313" s="153"/>
      <c r="U313" s="653"/>
      <c r="V313" s="572"/>
      <c r="W313" s="572"/>
      <c r="X313" s="572"/>
      <c r="Y313" s="572"/>
      <c r="Z313" s="572"/>
    </row>
    <row r="314" spans="1:26" s="162" customFormat="1" x14ac:dyDescent="0.2">
      <c r="A314" s="95">
        <v>2</v>
      </c>
      <c r="B314" s="163" t="str">
        <f>IF(A314&lt;&gt;0,INDEX(Coûts,'PA-Détails'!A314, 2),)</f>
        <v>Assistance technique nationale (consultants)</v>
      </c>
      <c r="C314" s="153"/>
      <c r="D314" s="94" t="str">
        <f>IF(A314&lt;&gt;0,INDEX(Coûts, 'PA-Détails'!A314, 5),)</f>
        <v>Pers / j</v>
      </c>
      <c r="E314" s="96">
        <v>20</v>
      </c>
      <c r="F314" s="100"/>
      <c r="G314" s="100"/>
      <c r="H314" s="100"/>
      <c r="I314" s="100"/>
      <c r="J314" s="101">
        <f>SUM(E314:I314)</f>
        <v>20</v>
      </c>
      <c r="K314" s="94">
        <f>IF(A314&lt;&gt;0,INDEX(Coûts, 'PA-Détails'!A314, 3),)</f>
        <v>300</v>
      </c>
      <c r="L314" s="167">
        <f t="shared" si="186"/>
        <v>6000</v>
      </c>
      <c r="M314" s="168">
        <f t="shared" si="186"/>
        <v>0</v>
      </c>
      <c r="N314" s="168">
        <f t="shared" si="186"/>
        <v>0</v>
      </c>
      <c r="O314" s="168">
        <f t="shared" si="186"/>
        <v>0</v>
      </c>
      <c r="P314" s="271">
        <f t="shared" si="186"/>
        <v>0</v>
      </c>
      <c r="Q314" s="283">
        <f>SUM(L314:P314)</f>
        <v>6000</v>
      </c>
      <c r="R314" s="169"/>
      <c r="S314" s="94"/>
      <c r="T314" s="153"/>
      <c r="U314" s="653"/>
      <c r="V314" s="572"/>
      <c r="W314" s="572"/>
      <c r="X314" s="572"/>
      <c r="Y314" s="572"/>
      <c r="Z314" s="572"/>
    </row>
    <row r="315" spans="1:26" s="162" customFormat="1" x14ac:dyDescent="0.2">
      <c r="A315" s="95">
        <v>5</v>
      </c>
      <c r="B315" s="163" t="str">
        <f>IF(A315&lt;&gt;0,INDEX(Coûts,'PA-Détails'!A315, 2),)</f>
        <v>Atelier de validation</v>
      </c>
      <c r="C315" s="153"/>
      <c r="D315" s="94" t="str">
        <f>IF(A315&lt;&gt;0,INDEX(Coûts, 'PA-Détails'!A315, 5),)</f>
        <v>Pers / j</v>
      </c>
      <c r="E315" s="96">
        <f>100*2</f>
        <v>200</v>
      </c>
      <c r="F315" s="100"/>
      <c r="G315" s="100"/>
      <c r="H315" s="100"/>
      <c r="I315" s="100"/>
      <c r="J315" s="101">
        <f>SUM(E315:I315)</f>
        <v>200</v>
      </c>
      <c r="K315" s="94">
        <f>IF(A315&lt;&gt;0,INDEX(Coûts, 'PA-Détails'!A315, 3),)</f>
        <v>50</v>
      </c>
      <c r="L315" s="167">
        <f t="shared" si="186"/>
        <v>10000</v>
      </c>
      <c r="M315" s="168">
        <f t="shared" si="186"/>
        <v>0</v>
      </c>
      <c r="N315" s="168">
        <f t="shared" si="186"/>
        <v>0</v>
      </c>
      <c r="O315" s="168">
        <f t="shared" si="186"/>
        <v>0</v>
      </c>
      <c r="P315" s="271">
        <f t="shared" si="186"/>
        <v>0</v>
      </c>
      <c r="Q315" s="283">
        <f>SUM(L315:P315)</f>
        <v>10000</v>
      </c>
      <c r="R315" s="169"/>
      <c r="S315" s="94"/>
      <c r="T315" s="153"/>
      <c r="U315" s="653"/>
      <c r="V315" s="572"/>
      <c r="W315" s="572"/>
      <c r="X315" s="572"/>
      <c r="Y315" s="572"/>
      <c r="Z315" s="572"/>
    </row>
    <row r="316" spans="1:26" s="162" customFormat="1" x14ac:dyDescent="0.2">
      <c r="A316" s="123" t="s">
        <v>1153</v>
      </c>
      <c r="B316" s="163"/>
      <c r="C316" s="153"/>
      <c r="D316" s="94"/>
      <c r="E316" s="96"/>
      <c r="F316" s="100"/>
      <c r="G316" s="100"/>
      <c r="H316" s="100"/>
      <c r="I316" s="100"/>
      <c r="J316" s="101"/>
      <c r="K316" s="94"/>
      <c r="L316" s="161">
        <f t="shared" ref="L316:Q316" si="187">SUM(L317:L319)</f>
        <v>22750</v>
      </c>
      <c r="M316" s="157">
        <f t="shared" si="187"/>
        <v>0</v>
      </c>
      <c r="N316" s="157">
        <f t="shared" si="187"/>
        <v>0</v>
      </c>
      <c r="O316" s="157">
        <f t="shared" si="187"/>
        <v>0</v>
      </c>
      <c r="P316" s="270">
        <f t="shared" si="187"/>
        <v>0</v>
      </c>
      <c r="Q316" s="284">
        <f t="shared" si="187"/>
        <v>22750</v>
      </c>
      <c r="R316" s="223" t="s">
        <v>758</v>
      </c>
      <c r="S316" s="94" t="s">
        <v>670</v>
      </c>
      <c r="T316" s="153"/>
      <c r="U316" s="653"/>
      <c r="V316" s="572"/>
      <c r="W316" s="572"/>
      <c r="X316" s="572"/>
      <c r="Y316" s="572"/>
      <c r="Z316" s="572"/>
    </row>
    <row r="317" spans="1:26" s="162" customFormat="1" x14ac:dyDescent="0.2">
      <c r="A317" s="95">
        <v>1</v>
      </c>
      <c r="B317" s="163" t="str">
        <f>IF(A317&lt;&gt;0,INDEX(Coûts,'PA-Détails'!A317, 2),)</f>
        <v>Assistance technique internationale (consultants)</v>
      </c>
      <c r="C317" s="153"/>
      <c r="D317" s="94" t="str">
        <f>IF(A317&lt;&gt;0,INDEX(Coûts, 'PA-Détails'!A317, 5),)</f>
        <v>Pers / j</v>
      </c>
      <c r="E317" s="96">
        <v>5</v>
      </c>
      <c r="F317" s="100"/>
      <c r="G317" s="100"/>
      <c r="H317" s="100"/>
      <c r="I317" s="100"/>
      <c r="J317" s="101">
        <f>SUM(E317:I317)</f>
        <v>5</v>
      </c>
      <c r="K317" s="94">
        <f>IF(A317&lt;&gt;0,INDEX(Coûts, 'PA-Détails'!A317, 3),)</f>
        <v>1150</v>
      </c>
      <c r="L317" s="167">
        <f t="shared" ref="L317:P320" si="188">ROUND(+$K317*E317,0)</f>
        <v>5750</v>
      </c>
      <c r="M317" s="168">
        <f t="shared" si="188"/>
        <v>0</v>
      </c>
      <c r="N317" s="168">
        <f t="shared" si="188"/>
        <v>0</v>
      </c>
      <c r="O317" s="168">
        <f t="shared" si="188"/>
        <v>0</v>
      </c>
      <c r="P317" s="271">
        <f t="shared" si="188"/>
        <v>0</v>
      </c>
      <c r="Q317" s="283">
        <f>SUM(L317:P317)</f>
        <v>5750</v>
      </c>
      <c r="R317" s="169"/>
      <c r="S317" s="94"/>
      <c r="T317" s="153"/>
      <c r="U317" s="653"/>
      <c r="V317" s="572"/>
      <c r="W317" s="572"/>
      <c r="X317" s="572"/>
      <c r="Y317" s="572"/>
      <c r="Z317" s="572"/>
    </row>
    <row r="318" spans="1:26" s="162" customFormat="1" x14ac:dyDescent="0.2">
      <c r="A318" s="95">
        <v>2</v>
      </c>
      <c r="B318" s="163" t="str">
        <f>IF(A318&lt;&gt;0,INDEX(Coûts,'PA-Détails'!A318, 2),)</f>
        <v>Assistance technique nationale (consultants)</v>
      </c>
      <c r="C318" s="153"/>
      <c r="D318" s="94" t="str">
        <f>IF(A318&lt;&gt;0,INDEX(Coûts, 'PA-Détails'!A318, 5),)</f>
        <v>Pers / j</v>
      </c>
      <c r="E318" s="96">
        <v>10</v>
      </c>
      <c r="F318" s="100"/>
      <c r="G318" s="100"/>
      <c r="H318" s="100"/>
      <c r="I318" s="100"/>
      <c r="J318" s="101">
        <f>SUM(E318:I318)</f>
        <v>10</v>
      </c>
      <c r="K318" s="94">
        <f>IF(A318&lt;&gt;0,INDEX(Coûts, 'PA-Détails'!A318, 3),)</f>
        <v>300</v>
      </c>
      <c r="L318" s="167">
        <f t="shared" si="188"/>
        <v>3000</v>
      </c>
      <c r="M318" s="168">
        <f t="shared" si="188"/>
        <v>0</v>
      </c>
      <c r="N318" s="168">
        <f t="shared" si="188"/>
        <v>0</v>
      </c>
      <c r="O318" s="168">
        <f t="shared" si="188"/>
        <v>0</v>
      </c>
      <c r="P318" s="271">
        <f t="shared" si="188"/>
        <v>0</v>
      </c>
      <c r="Q318" s="283">
        <f>SUM(L318:P318)</f>
        <v>3000</v>
      </c>
      <c r="R318" s="169"/>
      <c r="S318" s="94"/>
      <c r="T318" s="153"/>
      <c r="U318" s="653"/>
      <c r="V318" s="572"/>
      <c r="W318" s="572"/>
      <c r="X318" s="572"/>
      <c r="Y318" s="572"/>
      <c r="Z318" s="572"/>
    </row>
    <row r="319" spans="1:26" s="162" customFormat="1" x14ac:dyDescent="0.2">
      <c r="A319" s="95">
        <v>11</v>
      </c>
      <c r="B319" s="163" t="str">
        <f>IF(A319&lt;&gt;0,INDEX(Coûts,'PA-Détails'!A319, 2),)</f>
        <v>Atelier technique</v>
      </c>
      <c r="C319" s="153"/>
      <c r="D319" s="94" t="str">
        <f>IF(A319&lt;&gt;0,INDEX(Coûts, 'PA-Détails'!A319, 5),)</f>
        <v>Pers / j</v>
      </c>
      <c r="E319" s="96">
        <f>100*2</f>
        <v>200</v>
      </c>
      <c r="F319" s="100"/>
      <c r="G319" s="100"/>
      <c r="H319" s="100"/>
      <c r="I319" s="100"/>
      <c r="J319" s="101">
        <f>SUM(E319:I319)</f>
        <v>200</v>
      </c>
      <c r="K319" s="94">
        <f>IF(A319&lt;&gt;0,INDEX(Coûts, 'PA-Détails'!A319, 3),)</f>
        <v>70</v>
      </c>
      <c r="L319" s="167">
        <f t="shared" si="188"/>
        <v>14000</v>
      </c>
      <c r="M319" s="168">
        <f t="shared" si="188"/>
        <v>0</v>
      </c>
      <c r="N319" s="168">
        <f t="shared" si="188"/>
        <v>0</v>
      </c>
      <c r="O319" s="168">
        <f t="shared" si="188"/>
        <v>0</v>
      </c>
      <c r="P319" s="271">
        <f t="shared" si="188"/>
        <v>0</v>
      </c>
      <c r="Q319" s="283">
        <f>SUM(L319:P319)</f>
        <v>14000</v>
      </c>
      <c r="R319" s="169"/>
      <c r="S319" s="94"/>
      <c r="T319" s="153"/>
      <c r="U319" s="653"/>
      <c r="V319" s="572"/>
      <c r="W319" s="572"/>
      <c r="X319" s="572"/>
      <c r="Y319" s="572"/>
      <c r="Z319" s="572"/>
    </row>
    <row r="320" spans="1:26" s="162" customFormat="1" x14ac:dyDescent="0.2">
      <c r="A320" s="122" t="s">
        <v>1154</v>
      </c>
      <c r="B320" s="163"/>
      <c r="C320" s="153" t="s">
        <v>1604</v>
      </c>
      <c r="D320" s="94"/>
      <c r="E320" s="96"/>
      <c r="F320" s="100"/>
      <c r="G320" s="100"/>
      <c r="H320" s="100"/>
      <c r="I320" s="100"/>
      <c r="J320" s="101"/>
      <c r="K320" s="94"/>
      <c r="L320" s="167">
        <f t="shared" si="188"/>
        <v>0</v>
      </c>
      <c r="M320" s="168">
        <f t="shared" si="188"/>
        <v>0</v>
      </c>
      <c r="N320" s="168">
        <f t="shared" si="188"/>
        <v>0</v>
      </c>
      <c r="O320" s="168">
        <f t="shared" si="188"/>
        <v>0</v>
      </c>
      <c r="P320" s="271">
        <f t="shared" si="188"/>
        <v>0</v>
      </c>
      <c r="Q320" s="283"/>
      <c r="R320" s="223"/>
      <c r="S320" s="94"/>
      <c r="T320" s="153"/>
      <c r="U320" s="653"/>
      <c r="V320" s="572"/>
      <c r="W320" s="572"/>
      <c r="X320" s="572"/>
      <c r="Y320" s="572"/>
      <c r="Z320" s="572"/>
    </row>
    <row r="321" spans="1:26" s="162" customFormat="1" x14ac:dyDescent="0.2">
      <c r="A321" s="123" t="s">
        <v>1155</v>
      </c>
      <c r="B321" s="163"/>
      <c r="C321" s="153"/>
      <c r="D321" s="94"/>
      <c r="E321" s="96"/>
      <c r="F321" s="100"/>
      <c r="G321" s="100"/>
      <c r="H321" s="100"/>
      <c r="I321" s="100"/>
      <c r="J321" s="101"/>
      <c r="K321" s="94"/>
      <c r="L321" s="161">
        <f t="shared" ref="L321:Q321" si="189">SUM(L322:L325)</f>
        <v>0</v>
      </c>
      <c r="M321" s="157">
        <f t="shared" si="189"/>
        <v>132000</v>
      </c>
      <c r="N321" s="157">
        <f t="shared" si="189"/>
        <v>0</v>
      </c>
      <c r="O321" s="157">
        <f t="shared" si="189"/>
        <v>0</v>
      </c>
      <c r="P321" s="270">
        <f t="shared" si="189"/>
        <v>0</v>
      </c>
      <c r="Q321" s="284">
        <f t="shared" si="189"/>
        <v>132000</v>
      </c>
      <c r="R321" s="223" t="s">
        <v>758</v>
      </c>
      <c r="S321" s="94" t="s">
        <v>670</v>
      </c>
      <c r="T321" s="153"/>
      <c r="U321" s="653"/>
      <c r="V321" s="572"/>
      <c r="W321" s="572"/>
      <c r="X321" s="572"/>
      <c r="Y321" s="572"/>
      <c r="Z321" s="572"/>
    </row>
    <row r="322" spans="1:26" s="162" customFormat="1" x14ac:dyDescent="0.2">
      <c r="A322" s="95">
        <v>1</v>
      </c>
      <c r="B322" s="163" t="str">
        <f>IF(A322&lt;&gt;0,INDEX(Coûts,'PA-Détails'!A322, 2),)</f>
        <v>Assistance technique internationale (consultants)</v>
      </c>
      <c r="C322" s="153"/>
      <c r="D322" s="94" t="str">
        <f>IF(A322&lt;&gt;0,INDEX(Coûts, 'PA-Détails'!A322, 5),)</f>
        <v>Pers / j</v>
      </c>
      <c r="E322" s="96"/>
      <c r="F322" s="100">
        <v>20</v>
      </c>
      <c r="G322" s="100"/>
      <c r="H322" s="100"/>
      <c r="I322" s="100"/>
      <c r="J322" s="101">
        <f>SUM(E322:I322)</f>
        <v>20</v>
      </c>
      <c r="K322" s="94">
        <f>IF(A322&lt;&gt;0,INDEX(Coûts, 'PA-Détails'!A322, 3),)</f>
        <v>1150</v>
      </c>
      <c r="L322" s="167">
        <f t="shared" ref="L322:P325" si="190">ROUND(+$K322*E322,0)</f>
        <v>0</v>
      </c>
      <c r="M322" s="168">
        <f t="shared" si="190"/>
        <v>23000</v>
      </c>
      <c r="N322" s="168">
        <f t="shared" si="190"/>
        <v>0</v>
      </c>
      <c r="O322" s="168">
        <f t="shared" si="190"/>
        <v>0</v>
      </c>
      <c r="P322" s="271">
        <f t="shared" si="190"/>
        <v>0</v>
      </c>
      <c r="Q322" s="283">
        <f>SUM(L322:P322)</f>
        <v>23000</v>
      </c>
      <c r="R322" s="169"/>
      <c r="S322" s="94"/>
      <c r="T322" s="153"/>
      <c r="U322" s="653"/>
      <c r="V322" s="572"/>
      <c r="W322" s="572"/>
      <c r="X322" s="572"/>
      <c r="Y322" s="572"/>
      <c r="Z322" s="572"/>
    </row>
    <row r="323" spans="1:26" s="162" customFormat="1" x14ac:dyDescent="0.2">
      <c r="A323" s="95">
        <v>2</v>
      </c>
      <c r="B323" s="163" t="str">
        <f>IF(A323&lt;&gt;0,INDEX(Coûts,'PA-Détails'!A323, 2),)</f>
        <v>Assistance technique nationale (consultants)</v>
      </c>
      <c r="C323" s="153"/>
      <c r="D323" s="94" t="str">
        <f>IF(A323&lt;&gt;0,INDEX(Coûts, 'PA-Détails'!A323, 5),)</f>
        <v>Pers / j</v>
      </c>
      <c r="E323" s="96"/>
      <c r="F323" s="100">
        <v>30</v>
      </c>
      <c r="G323" s="100"/>
      <c r="H323" s="100"/>
      <c r="I323" s="100"/>
      <c r="J323" s="101">
        <f>SUM(E323:I323)</f>
        <v>30</v>
      </c>
      <c r="K323" s="94">
        <f>IF(A323&lt;&gt;0,INDEX(Coûts, 'PA-Détails'!A323, 3),)</f>
        <v>300</v>
      </c>
      <c r="L323" s="167">
        <f t="shared" si="190"/>
        <v>0</v>
      </c>
      <c r="M323" s="168">
        <f t="shared" si="190"/>
        <v>9000</v>
      </c>
      <c r="N323" s="168">
        <f t="shared" si="190"/>
        <v>0</v>
      </c>
      <c r="O323" s="168">
        <f t="shared" si="190"/>
        <v>0</v>
      </c>
      <c r="P323" s="271">
        <f t="shared" si="190"/>
        <v>0</v>
      </c>
      <c r="Q323" s="283">
        <f>SUM(L323:P323)</f>
        <v>9000</v>
      </c>
      <c r="R323" s="169"/>
      <c r="S323" s="94"/>
      <c r="T323" s="153"/>
      <c r="U323" s="653"/>
      <c r="V323" s="572"/>
      <c r="W323" s="572"/>
      <c r="X323" s="572"/>
      <c r="Y323" s="572"/>
      <c r="Z323" s="572"/>
    </row>
    <row r="324" spans="1:26" s="162" customFormat="1" x14ac:dyDescent="0.2">
      <c r="A324" s="95">
        <v>5</v>
      </c>
      <c r="B324" s="163" t="str">
        <f>IF(A324&lt;&gt;0,INDEX(Coûts,'PA-Détails'!A324, 2),)</f>
        <v>Atelier de validation</v>
      </c>
      <c r="C324" s="153"/>
      <c r="D324" s="94" t="str">
        <f>IF(A324&lt;&gt;0,INDEX(Coûts, 'PA-Détails'!A324, 5),)</f>
        <v>Pers / j</v>
      </c>
      <c r="E324" s="96"/>
      <c r="F324" s="100">
        <v>100</v>
      </c>
      <c r="G324" s="100"/>
      <c r="H324" s="100"/>
      <c r="I324" s="100"/>
      <c r="J324" s="101">
        <f>SUM(E324:I324)</f>
        <v>100</v>
      </c>
      <c r="K324" s="94">
        <f>IF(A324&lt;&gt;0,INDEX(Coûts, 'PA-Détails'!A324, 3),)</f>
        <v>50</v>
      </c>
      <c r="L324" s="167">
        <f t="shared" si="190"/>
        <v>0</v>
      </c>
      <c r="M324" s="168">
        <f t="shared" si="190"/>
        <v>5000</v>
      </c>
      <c r="N324" s="168">
        <f t="shared" si="190"/>
        <v>0</v>
      </c>
      <c r="O324" s="168">
        <f t="shared" si="190"/>
        <v>0</v>
      </c>
      <c r="P324" s="271">
        <f t="shared" si="190"/>
        <v>0</v>
      </c>
      <c r="Q324" s="283">
        <f>SUM(L324:P324)</f>
        <v>5000</v>
      </c>
      <c r="R324" s="169"/>
      <c r="S324" s="94"/>
      <c r="T324" s="153"/>
      <c r="U324" s="653"/>
      <c r="V324" s="572"/>
      <c r="W324" s="572"/>
      <c r="X324" s="572"/>
      <c r="Y324" s="572"/>
      <c r="Z324" s="572"/>
    </row>
    <row r="325" spans="1:26" s="162" customFormat="1" x14ac:dyDescent="0.2">
      <c r="A325" s="95">
        <v>7</v>
      </c>
      <c r="B325" s="163" t="str">
        <f>IF(A325&lt;&gt;0,INDEX(Coûts,'PA-Détails'!A325, 2),)</f>
        <v>Séminaire</v>
      </c>
      <c r="C325" s="153"/>
      <c r="D325" s="94" t="str">
        <f>IF(A325&lt;&gt;0,INDEX(Coûts, 'PA-Détails'!A325, 5),)</f>
        <v>Pers / j</v>
      </c>
      <c r="E325" s="96"/>
      <c r="F325" s="100">
        <v>500</v>
      </c>
      <c r="G325" s="100"/>
      <c r="H325" s="100"/>
      <c r="I325" s="100"/>
      <c r="J325" s="101">
        <f>SUM(E325:I325)</f>
        <v>500</v>
      </c>
      <c r="K325" s="94">
        <f>IF(A325&lt;&gt;0,INDEX(Coûts, 'PA-Détails'!A325, 3),)</f>
        <v>190</v>
      </c>
      <c r="L325" s="167">
        <f t="shared" si="190"/>
        <v>0</v>
      </c>
      <c r="M325" s="168">
        <f t="shared" si="190"/>
        <v>95000</v>
      </c>
      <c r="N325" s="168">
        <f t="shared" si="190"/>
        <v>0</v>
      </c>
      <c r="O325" s="168">
        <f t="shared" si="190"/>
        <v>0</v>
      </c>
      <c r="P325" s="271">
        <f t="shared" si="190"/>
        <v>0</v>
      </c>
      <c r="Q325" s="283">
        <f>SUM(L325:P325)</f>
        <v>95000</v>
      </c>
      <c r="R325" s="169"/>
      <c r="S325" s="94"/>
      <c r="T325" s="153"/>
      <c r="U325" s="653"/>
      <c r="V325" s="572"/>
      <c r="W325" s="572"/>
      <c r="X325" s="572"/>
      <c r="Y325" s="572"/>
      <c r="Z325" s="572"/>
    </row>
    <row r="326" spans="1:26" s="162" customFormat="1" x14ac:dyDescent="0.2">
      <c r="A326" s="123" t="s">
        <v>1156</v>
      </c>
      <c r="B326" s="163"/>
      <c r="C326" s="153" t="s">
        <v>1603</v>
      </c>
      <c r="D326" s="94"/>
      <c r="E326" s="96"/>
      <c r="F326" s="100"/>
      <c r="G326" s="100"/>
      <c r="H326" s="100"/>
      <c r="I326" s="100"/>
      <c r="J326" s="101"/>
      <c r="K326" s="94"/>
      <c r="L326" s="161">
        <f t="shared" ref="L326:Q326" si="191">SUM(L327:L328)</f>
        <v>0</v>
      </c>
      <c r="M326" s="157">
        <f t="shared" si="191"/>
        <v>0</v>
      </c>
      <c r="N326" s="157">
        <f t="shared" si="191"/>
        <v>18000000</v>
      </c>
      <c r="O326" s="157">
        <f t="shared" si="191"/>
        <v>18000000</v>
      </c>
      <c r="P326" s="270">
        <f t="shared" si="191"/>
        <v>18000000</v>
      </c>
      <c r="Q326" s="284">
        <f t="shared" si="191"/>
        <v>54000000</v>
      </c>
      <c r="R326" s="223" t="s">
        <v>758</v>
      </c>
      <c r="S326" s="94" t="s">
        <v>670</v>
      </c>
      <c r="T326" s="153"/>
      <c r="U326" s="653"/>
      <c r="V326" s="572"/>
      <c r="W326" s="572"/>
      <c r="X326" s="572"/>
      <c r="Y326" s="572"/>
      <c r="Z326" s="572"/>
    </row>
    <row r="327" spans="1:26" s="162" customFormat="1" x14ac:dyDescent="0.2">
      <c r="A327" s="95">
        <v>73</v>
      </c>
      <c r="B327" s="163" t="str">
        <f>IF(A327&lt;&gt;0,INDEX(Coûts,'PA-Détails'!A327, 2),)</f>
        <v>Enveloppe de réhabilitation/Equipement pour Formation initiale d'enseignants</v>
      </c>
      <c r="C327" s="153"/>
      <c r="D327" s="94" t="str">
        <f>IF(A327&lt;&gt;0,INDEX(Coûts, 'PA-Détails'!A327, 5),)</f>
        <v>Forfait/école</v>
      </c>
      <c r="E327" s="96"/>
      <c r="F327" s="100"/>
      <c r="G327" s="100">
        <v>20</v>
      </c>
      <c r="H327" s="100">
        <f>G327</f>
        <v>20</v>
      </c>
      <c r="I327" s="100">
        <f>H327</f>
        <v>20</v>
      </c>
      <c r="J327" s="101">
        <f>SUM(E327:I327)</f>
        <v>60</v>
      </c>
      <c r="K327" s="94">
        <f>IF(A327&lt;&gt;0,INDEX(Coûts, 'PA-Détails'!A327, 3),)</f>
        <v>400000</v>
      </c>
      <c r="L327" s="167">
        <f t="shared" ref="L327:P329" si="192">ROUND(+$K327*E327,0)</f>
        <v>0</v>
      </c>
      <c r="M327" s="168">
        <f t="shared" si="192"/>
        <v>0</v>
      </c>
      <c r="N327" s="168">
        <f t="shared" si="192"/>
        <v>8000000</v>
      </c>
      <c r="O327" s="168">
        <f t="shared" si="192"/>
        <v>8000000</v>
      </c>
      <c r="P327" s="271">
        <f t="shared" si="192"/>
        <v>8000000</v>
      </c>
      <c r="Q327" s="283">
        <f>SUM(L327:P327)</f>
        <v>24000000</v>
      </c>
      <c r="R327" s="169"/>
      <c r="S327" s="94"/>
      <c r="T327" s="153"/>
      <c r="U327" s="653"/>
      <c r="V327" s="572"/>
      <c r="W327" s="572"/>
      <c r="X327" s="572"/>
      <c r="Y327" s="572"/>
      <c r="Z327" s="572"/>
    </row>
    <row r="328" spans="1:26" s="162" customFormat="1" x14ac:dyDescent="0.2">
      <c r="A328" s="95">
        <v>74</v>
      </c>
      <c r="B328" s="163" t="str">
        <f>IF(A328&lt;&gt;0,INDEX(Coûts,'PA-Détails'!A328, 2),)</f>
        <v>Construction et équipement d'une école normale pilote</v>
      </c>
      <c r="C328" s="153"/>
      <c r="D328" s="94" t="str">
        <f>IF(A328&lt;&gt;0,INDEX(Coûts, 'PA-Détails'!A328, 5),)</f>
        <v>Forfait/école</v>
      </c>
      <c r="E328" s="96"/>
      <c r="F328" s="100"/>
      <c r="G328" s="100">
        <v>5</v>
      </c>
      <c r="H328" s="100">
        <v>5</v>
      </c>
      <c r="I328" s="100">
        <v>5</v>
      </c>
      <c r="J328" s="101">
        <f>SUM(E328:I328)</f>
        <v>15</v>
      </c>
      <c r="K328" s="94">
        <f>IF(A328&lt;&gt;0,INDEX(Coûts, 'PA-Détails'!A328, 3),)</f>
        <v>2000000</v>
      </c>
      <c r="L328" s="167">
        <f t="shared" si="192"/>
        <v>0</v>
      </c>
      <c r="M328" s="168">
        <f t="shared" si="192"/>
        <v>0</v>
      </c>
      <c r="N328" s="168">
        <f t="shared" si="192"/>
        <v>10000000</v>
      </c>
      <c r="O328" s="168">
        <f t="shared" si="192"/>
        <v>10000000</v>
      </c>
      <c r="P328" s="271">
        <f t="shared" si="192"/>
        <v>10000000</v>
      </c>
      <c r="Q328" s="283">
        <f>SUM(L328:P328)</f>
        <v>30000000</v>
      </c>
      <c r="R328" s="169"/>
      <c r="S328" s="94"/>
      <c r="T328" s="153"/>
      <c r="U328" s="653"/>
      <c r="V328" s="572"/>
      <c r="W328" s="572"/>
      <c r="X328" s="572"/>
      <c r="Y328" s="572"/>
      <c r="Z328" s="572"/>
    </row>
    <row r="329" spans="1:26" s="162" customFormat="1" x14ac:dyDescent="0.2">
      <c r="A329" s="122" t="s">
        <v>1157</v>
      </c>
      <c r="B329" s="152"/>
      <c r="C329" s="162" t="s">
        <v>846</v>
      </c>
      <c r="D329" s="155"/>
      <c r="E329" s="96"/>
      <c r="F329" s="100"/>
      <c r="G329" s="100"/>
      <c r="H329" s="100"/>
      <c r="I329" s="100"/>
      <c r="J329" s="101">
        <f>SUM(E329:I329)</f>
        <v>0</v>
      </c>
      <c r="K329" s="208"/>
      <c r="L329" s="161">
        <f t="shared" si="192"/>
        <v>0</v>
      </c>
      <c r="M329" s="157">
        <f t="shared" si="192"/>
        <v>0</v>
      </c>
      <c r="N329" s="157">
        <f t="shared" si="192"/>
        <v>0</v>
      </c>
      <c r="O329" s="157">
        <f t="shared" si="192"/>
        <v>0</v>
      </c>
      <c r="P329" s="270">
        <f t="shared" si="192"/>
        <v>0</v>
      </c>
      <c r="Q329" s="284">
        <f>SUM(L329:P329)</f>
        <v>0</v>
      </c>
      <c r="R329" s="200"/>
      <c r="S329" s="201"/>
      <c r="T329" s="154"/>
      <c r="U329" s="653"/>
      <c r="V329" s="572"/>
      <c r="W329" s="572"/>
      <c r="X329" s="572"/>
      <c r="Y329" s="572"/>
      <c r="Z329" s="572"/>
    </row>
    <row r="330" spans="1:26" s="162" customFormat="1" x14ac:dyDescent="0.2">
      <c r="A330" s="123" t="s">
        <v>1158</v>
      </c>
      <c r="B330" s="202"/>
      <c r="C330" s="153"/>
      <c r="D330" s="203"/>
      <c r="E330" s="96"/>
      <c r="F330" s="100"/>
      <c r="G330" s="100"/>
      <c r="H330" s="100"/>
      <c r="I330" s="100"/>
      <c r="J330" s="101">
        <f>SUM(E330:I330)</f>
        <v>0</v>
      </c>
      <c r="K330" s="94"/>
      <c r="L330" s="161">
        <f t="shared" ref="L330:Q330" si="193">SUM(L331:L331)</f>
        <v>0</v>
      </c>
      <c r="M330" s="157">
        <f t="shared" si="193"/>
        <v>0</v>
      </c>
      <c r="N330" s="157">
        <f t="shared" si="193"/>
        <v>200000</v>
      </c>
      <c r="O330" s="157">
        <f t="shared" si="193"/>
        <v>200000</v>
      </c>
      <c r="P330" s="270">
        <f t="shared" si="193"/>
        <v>200000</v>
      </c>
      <c r="Q330" s="284">
        <f t="shared" si="193"/>
        <v>600000</v>
      </c>
      <c r="R330" s="223" t="s">
        <v>675</v>
      </c>
      <c r="S330" s="224" t="s">
        <v>663</v>
      </c>
      <c r="T330" s="153"/>
      <c r="U330" s="653"/>
      <c r="V330" s="572"/>
      <c r="W330" s="572"/>
      <c r="X330" s="572"/>
      <c r="Y330" s="572"/>
      <c r="Z330" s="572"/>
    </row>
    <row r="331" spans="1:26" s="162" customFormat="1" x14ac:dyDescent="0.2">
      <c r="A331" s="199">
        <v>97</v>
      </c>
      <c r="B331" s="163" t="str">
        <f>IF(A331&lt;&gt;0,INDEX(Coûts,'PA-Détails'!A331, 2),)</f>
        <v>Bourse d'études pour les enseignants en formation</v>
      </c>
      <c r="C331" s="153"/>
      <c r="D331" s="94" t="str">
        <f>IF(A331&lt;&gt;0,INDEX(Coûts, 'PA-Détails'!A331, 5),)</f>
        <v>Forfait annuel</v>
      </c>
      <c r="E331" s="96"/>
      <c r="F331" s="100"/>
      <c r="G331" s="100">
        <f>10%*(G328*400+G327*100)</f>
        <v>400</v>
      </c>
      <c r="H331" s="100">
        <f>10%*(H328*400+H327*100)</f>
        <v>400</v>
      </c>
      <c r="I331" s="100">
        <f>10%*(I328*400+I327*100)</f>
        <v>400</v>
      </c>
      <c r="J331" s="101">
        <f>SUM(E331:I331)</f>
        <v>1200</v>
      </c>
      <c r="K331" s="94">
        <f>IF(A331&lt;&gt;0,INDEX(Coûts, 'PA-Détails'!A331, 3),)</f>
        <v>500</v>
      </c>
      <c r="L331" s="167">
        <f>ROUND(+$K331*E331,0)</f>
        <v>0</v>
      </c>
      <c r="M331" s="168">
        <f>ROUND(+$K331*F331,0)</f>
        <v>0</v>
      </c>
      <c r="N331" s="168">
        <f>ROUND(+$K331*G331,0)</f>
        <v>200000</v>
      </c>
      <c r="O331" s="168">
        <f>ROUND(+$K331*H331,0)</f>
        <v>200000</v>
      </c>
      <c r="P331" s="271">
        <f>ROUND(+$K331*I331,0)</f>
        <v>200000</v>
      </c>
      <c r="Q331" s="283">
        <f>SUM(L331:P331)</f>
        <v>600000</v>
      </c>
      <c r="R331" s="169"/>
      <c r="S331" s="94"/>
      <c r="T331" s="153"/>
      <c r="U331" s="653"/>
      <c r="V331" s="572"/>
      <c r="W331" s="572"/>
      <c r="X331" s="572"/>
      <c r="Y331" s="572"/>
      <c r="Z331" s="572"/>
    </row>
    <row r="332" spans="1:26" x14ac:dyDescent="0.2">
      <c r="A332" s="14" t="s">
        <v>1159</v>
      </c>
      <c r="B332" s="44"/>
      <c r="C332" s="112"/>
      <c r="D332" s="15"/>
      <c r="E332" s="102"/>
      <c r="F332" s="103"/>
      <c r="G332" s="103"/>
      <c r="H332" s="103"/>
      <c r="I332" s="103"/>
      <c r="J332" s="104">
        <f t="shared" si="168"/>
        <v>0</v>
      </c>
      <c r="K332" s="145"/>
      <c r="L332" s="33">
        <f t="shared" si="178"/>
        <v>0</v>
      </c>
      <c r="M332" s="32">
        <f t="shared" si="178"/>
        <v>0</v>
      </c>
      <c r="N332" s="32">
        <f t="shared" si="178"/>
        <v>0</v>
      </c>
      <c r="O332" s="32">
        <f t="shared" si="178"/>
        <v>0</v>
      </c>
      <c r="P332" s="267">
        <f t="shared" si="178"/>
        <v>0</v>
      </c>
      <c r="Q332" s="278">
        <f>SUM(L332:P332)</f>
        <v>0</v>
      </c>
      <c r="R332" s="40"/>
      <c r="S332" s="145"/>
      <c r="T332" s="49">
        <v>3</v>
      </c>
    </row>
    <row r="333" spans="1:26" x14ac:dyDescent="0.2">
      <c r="A333" s="17" t="s">
        <v>1160</v>
      </c>
      <c r="B333" s="45"/>
      <c r="C333" s="51"/>
      <c r="D333" s="18"/>
      <c r="E333" s="97"/>
      <c r="F333" s="98"/>
      <c r="G333" s="98"/>
      <c r="H333" s="98"/>
      <c r="I333" s="98"/>
      <c r="J333" s="99">
        <f t="shared" si="168"/>
        <v>0</v>
      </c>
      <c r="K333" s="116"/>
      <c r="L333" s="35">
        <f t="shared" si="178"/>
        <v>0</v>
      </c>
      <c r="M333" s="34">
        <f t="shared" si="178"/>
        <v>0</v>
      </c>
      <c r="N333" s="34">
        <f t="shared" si="178"/>
        <v>0</v>
      </c>
      <c r="O333" s="34">
        <f t="shared" si="178"/>
        <v>0</v>
      </c>
      <c r="P333" s="269">
        <f t="shared" si="178"/>
        <v>0</v>
      </c>
      <c r="Q333" s="279">
        <f>SUM(L333:P333)</f>
        <v>0</v>
      </c>
      <c r="R333" s="38"/>
      <c r="S333" s="116"/>
      <c r="T333" s="50"/>
    </row>
    <row r="334" spans="1:26" x14ac:dyDescent="0.2">
      <c r="A334" s="20" t="s">
        <v>1161</v>
      </c>
      <c r="B334" s="149"/>
      <c r="C334" s="51" t="s">
        <v>912</v>
      </c>
      <c r="D334" s="21"/>
      <c r="E334" s="96"/>
      <c r="F334" s="100"/>
      <c r="G334" s="100"/>
      <c r="H334" s="100"/>
      <c r="I334" s="100"/>
      <c r="J334" s="101">
        <f t="shared" si="168"/>
        <v>0</v>
      </c>
      <c r="K334" s="115"/>
      <c r="L334" s="35">
        <f t="shared" ref="L334:Q334" si="194">SUM(L335:L335)</f>
        <v>0</v>
      </c>
      <c r="M334" s="34">
        <f t="shared" si="194"/>
        <v>1875000</v>
      </c>
      <c r="N334" s="34">
        <f t="shared" si="194"/>
        <v>1875000</v>
      </c>
      <c r="O334" s="34">
        <f t="shared" si="194"/>
        <v>1875000</v>
      </c>
      <c r="P334" s="269">
        <f t="shared" si="194"/>
        <v>1875000</v>
      </c>
      <c r="Q334" s="280">
        <f t="shared" si="194"/>
        <v>7500000</v>
      </c>
      <c r="R334" s="39" t="s">
        <v>752</v>
      </c>
      <c r="S334" s="115" t="s">
        <v>665</v>
      </c>
      <c r="T334" s="51"/>
    </row>
    <row r="335" spans="1:26" x14ac:dyDescent="0.2">
      <c r="A335" s="95">
        <v>41</v>
      </c>
      <c r="B335" s="108" t="str">
        <f>IF(A335&lt;&gt;0,INDEX(Coûts,'PA-Détails'!A335, 2),)</f>
        <v>Achat de Moto</v>
      </c>
      <c r="C335" s="51"/>
      <c r="D335" s="94" t="s">
        <v>152</v>
      </c>
      <c r="E335" s="96"/>
      <c r="F335" s="100">
        <f>ROUND(H!C140/4,0)</f>
        <v>625</v>
      </c>
      <c r="G335" s="100">
        <f>F335</f>
        <v>625</v>
      </c>
      <c r="H335" s="100">
        <f>G335</f>
        <v>625</v>
      </c>
      <c r="I335" s="100">
        <f>H335</f>
        <v>625</v>
      </c>
      <c r="J335" s="101">
        <f t="shared" si="168"/>
        <v>2500</v>
      </c>
      <c r="K335" s="115">
        <f>IF(A335&lt;&gt;0,INDEX(Coûts, 'PA-Détails'!A335, 3),)</f>
        <v>3000</v>
      </c>
      <c r="L335" s="37">
        <f t="shared" ref="L335:P336" si="195">ROUND(+$K335*E335,0)</f>
        <v>0</v>
      </c>
      <c r="M335" s="36">
        <f t="shared" si="195"/>
        <v>1875000</v>
      </c>
      <c r="N335" s="36">
        <f t="shared" si="195"/>
        <v>1875000</v>
      </c>
      <c r="O335" s="36">
        <f t="shared" si="195"/>
        <v>1875000</v>
      </c>
      <c r="P335" s="268">
        <f t="shared" si="195"/>
        <v>1875000</v>
      </c>
      <c r="Q335" s="281">
        <f>SUM(L335:P335)</f>
        <v>7500000</v>
      </c>
      <c r="R335" s="39"/>
      <c r="S335" s="115"/>
      <c r="T335" s="51"/>
    </row>
    <row r="336" spans="1:26" x14ac:dyDescent="0.2">
      <c r="A336" s="17" t="s">
        <v>1162</v>
      </c>
      <c r="B336" s="45"/>
      <c r="C336" s="51"/>
      <c r="D336" s="18"/>
      <c r="E336" s="97"/>
      <c r="F336" s="98"/>
      <c r="G336" s="98"/>
      <c r="H336" s="98"/>
      <c r="I336" s="98"/>
      <c r="J336" s="99">
        <f t="shared" si="168"/>
        <v>0</v>
      </c>
      <c r="K336" s="116"/>
      <c r="L336" s="35">
        <f t="shared" si="195"/>
        <v>0</v>
      </c>
      <c r="M336" s="34">
        <f t="shared" si="195"/>
        <v>0</v>
      </c>
      <c r="N336" s="34">
        <f t="shared" si="195"/>
        <v>0</v>
      </c>
      <c r="O336" s="34">
        <f t="shared" si="195"/>
        <v>0</v>
      </c>
      <c r="P336" s="269">
        <f t="shared" si="195"/>
        <v>0</v>
      </c>
      <c r="Q336" s="279">
        <f>SUM(L336:P336)</f>
        <v>0</v>
      </c>
      <c r="R336" s="38"/>
      <c r="S336" s="116"/>
      <c r="T336" s="50"/>
    </row>
    <row r="337" spans="1:21" x14ac:dyDescent="0.2">
      <c r="A337" s="20" t="s">
        <v>1163</v>
      </c>
      <c r="B337" s="149"/>
      <c r="C337" s="51" t="s">
        <v>609</v>
      </c>
      <c r="D337" s="21"/>
      <c r="E337" s="96"/>
      <c r="F337" s="100"/>
      <c r="G337" s="100"/>
      <c r="H337" s="100"/>
      <c r="I337" s="100"/>
      <c r="J337" s="101">
        <f t="shared" si="168"/>
        <v>0</v>
      </c>
      <c r="K337" s="115"/>
      <c r="L337" s="161">
        <f t="shared" ref="L337:Q337" si="196">SUM(L338:L338)</f>
        <v>0</v>
      </c>
      <c r="M337" s="157">
        <f t="shared" si="196"/>
        <v>0</v>
      </c>
      <c r="N337" s="157">
        <f t="shared" si="196"/>
        <v>3000000</v>
      </c>
      <c r="O337" s="157">
        <f t="shared" si="196"/>
        <v>3000000</v>
      </c>
      <c r="P337" s="270">
        <f t="shared" si="196"/>
        <v>3000000</v>
      </c>
      <c r="Q337" s="284">
        <f t="shared" si="196"/>
        <v>9000000</v>
      </c>
      <c r="R337" s="39" t="s">
        <v>752</v>
      </c>
      <c r="S337" s="115" t="s">
        <v>663</v>
      </c>
      <c r="T337" s="51"/>
    </row>
    <row r="338" spans="1:21" x14ac:dyDescent="0.2">
      <c r="A338" s="95">
        <v>217</v>
      </c>
      <c r="B338" s="108" t="str">
        <f>IF(A338&lt;&gt;0,INDEX(Coûts,'PA-Détails'!A338, 2),)</f>
        <v>Primes d'itinérance (Inspecteurs itinérants)</v>
      </c>
      <c r="C338" s="51"/>
      <c r="D338" s="94" t="str">
        <f>IF(A338&lt;&gt;0,INDEX(Coûts, 'PA-Détails'!A338, 5),)</f>
        <v>Prime/an</v>
      </c>
      <c r="E338" s="96"/>
      <c r="F338" s="100"/>
      <c r="G338" s="188">
        <f>H!C140</f>
        <v>2500</v>
      </c>
      <c r="H338" s="100">
        <f>G338</f>
        <v>2500</v>
      </c>
      <c r="I338" s="100">
        <f>H338</f>
        <v>2500</v>
      </c>
      <c r="J338" s="101">
        <f t="shared" si="168"/>
        <v>7500</v>
      </c>
      <c r="K338" s="115">
        <f>IF(A338&lt;&gt;0,INDEX(Coûts, 'PA-Détails'!A338, 3),)</f>
        <v>1200</v>
      </c>
      <c r="L338" s="37">
        <f t="shared" ref="L338:P340" si="197">ROUND(+$K338*E338,0)</f>
        <v>0</v>
      </c>
      <c r="M338" s="36">
        <f t="shared" si="197"/>
        <v>0</v>
      </c>
      <c r="N338" s="36">
        <f t="shared" si="197"/>
        <v>3000000</v>
      </c>
      <c r="O338" s="36">
        <f t="shared" si="197"/>
        <v>3000000</v>
      </c>
      <c r="P338" s="268">
        <f t="shared" si="197"/>
        <v>3000000</v>
      </c>
      <c r="Q338" s="281">
        <f>SUM(L338:P338)</f>
        <v>9000000</v>
      </c>
      <c r="R338" s="39"/>
      <c r="S338" s="115"/>
      <c r="T338" s="51"/>
    </row>
    <row r="339" spans="1:21" x14ac:dyDescent="0.2">
      <c r="A339" s="14" t="s">
        <v>1164</v>
      </c>
      <c r="B339" s="44"/>
      <c r="C339" s="112"/>
      <c r="D339" s="15"/>
      <c r="E339" s="102"/>
      <c r="F339" s="103"/>
      <c r="G339" s="103"/>
      <c r="H339" s="103"/>
      <c r="I339" s="103"/>
      <c r="J339" s="104">
        <f t="shared" si="168"/>
        <v>0</v>
      </c>
      <c r="K339" s="145"/>
      <c r="L339" s="33">
        <f t="shared" si="197"/>
        <v>0</v>
      </c>
      <c r="M339" s="32">
        <f t="shared" si="197"/>
        <v>0</v>
      </c>
      <c r="N339" s="32">
        <f t="shared" si="197"/>
        <v>0</v>
      </c>
      <c r="O339" s="32">
        <f t="shared" si="197"/>
        <v>0</v>
      </c>
      <c r="P339" s="267">
        <f t="shared" si="197"/>
        <v>0</v>
      </c>
      <c r="Q339" s="278">
        <f>SUM(L339:P339)</f>
        <v>0</v>
      </c>
      <c r="R339" s="40"/>
      <c r="S339" s="145"/>
      <c r="T339" s="49">
        <v>3</v>
      </c>
    </row>
    <row r="340" spans="1:21" x14ac:dyDescent="0.2">
      <c r="A340" s="17" t="s">
        <v>1165</v>
      </c>
      <c r="B340" s="45"/>
      <c r="C340" s="51"/>
      <c r="D340" s="18"/>
      <c r="E340" s="97"/>
      <c r="F340" s="98"/>
      <c r="G340" s="98"/>
      <c r="H340" s="98"/>
      <c r="I340" s="98"/>
      <c r="J340" s="99">
        <f t="shared" si="168"/>
        <v>0</v>
      </c>
      <c r="K340" s="116"/>
      <c r="L340" s="35">
        <f t="shared" si="197"/>
        <v>0</v>
      </c>
      <c r="M340" s="34">
        <f t="shared" si="197"/>
        <v>0</v>
      </c>
      <c r="N340" s="34">
        <f t="shared" si="197"/>
        <v>0</v>
      </c>
      <c r="O340" s="34">
        <f t="shared" si="197"/>
        <v>0</v>
      </c>
      <c r="P340" s="269">
        <f t="shared" si="197"/>
        <v>0</v>
      </c>
      <c r="Q340" s="279">
        <f>SUM(L340:P340)</f>
        <v>0</v>
      </c>
      <c r="R340" s="38"/>
      <c r="S340" s="116"/>
      <c r="T340" s="50"/>
    </row>
    <row r="341" spans="1:21" x14ac:dyDescent="0.2">
      <c r="A341" s="20" t="s">
        <v>1166</v>
      </c>
      <c r="B341" s="149"/>
      <c r="C341" s="51" t="s">
        <v>592</v>
      </c>
      <c r="D341" s="21"/>
      <c r="E341" s="96"/>
      <c r="F341" s="100"/>
      <c r="G341" s="100"/>
      <c r="H341" s="100"/>
      <c r="I341" s="100"/>
      <c r="J341" s="101">
        <f t="shared" si="168"/>
        <v>0</v>
      </c>
      <c r="K341" s="115"/>
      <c r="L341" s="35">
        <f t="shared" ref="L341:Q341" si="198">SUM(L342:L342)</f>
        <v>0</v>
      </c>
      <c r="M341" s="34">
        <f t="shared" si="198"/>
        <v>9000000</v>
      </c>
      <c r="N341" s="34">
        <f t="shared" si="198"/>
        <v>9000000</v>
      </c>
      <c r="O341" s="34">
        <f t="shared" si="198"/>
        <v>9000000</v>
      </c>
      <c r="P341" s="269">
        <f t="shared" si="198"/>
        <v>9000000</v>
      </c>
      <c r="Q341" s="280">
        <f t="shared" si="198"/>
        <v>36000000</v>
      </c>
      <c r="R341" s="39" t="s">
        <v>754</v>
      </c>
      <c r="S341" s="115" t="s">
        <v>700</v>
      </c>
      <c r="T341" s="51"/>
    </row>
    <row r="342" spans="1:21" x14ac:dyDescent="0.2">
      <c r="A342" s="95">
        <v>45</v>
      </c>
      <c r="B342" s="108" t="str">
        <f>IF(A342&lt;&gt;0,INDEX(Coûts,'PA-Détails'!A342, 2),)</f>
        <v>Équipement informatique (lot PC, logiciel,  imprimante, photocopieuse, scanner)</v>
      </c>
      <c r="C342" s="51"/>
      <c r="D342" s="94" t="str">
        <f>D345</f>
        <v>Pers / j</v>
      </c>
      <c r="E342" s="96"/>
      <c r="F342" s="100">
        <f>H!$E$6</f>
        <v>6000</v>
      </c>
      <c r="G342" s="100">
        <f>F342</f>
        <v>6000</v>
      </c>
      <c r="H342" s="100">
        <f>G342</f>
        <v>6000</v>
      </c>
      <c r="I342" s="100">
        <f>H342</f>
        <v>6000</v>
      </c>
      <c r="J342" s="101">
        <f t="shared" si="168"/>
        <v>24000</v>
      </c>
      <c r="K342" s="115">
        <f>IF(A342&lt;&gt;0,INDEX(Coûts, 'PA-Détails'!A342, 3),)</f>
        <v>1500</v>
      </c>
      <c r="L342" s="37">
        <f t="shared" ref="L342:P343" si="199">ROUND(+$K342*E342,0)</f>
        <v>0</v>
      </c>
      <c r="M342" s="36">
        <f t="shared" si="199"/>
        <v>9000000</v>
      </c>
      <c r="N342" s="36">
        <f t="shared" si="199"/>
        <v>9000000</v>
      </c>
      <c r="O342" s="36">
        <f t="shared" si="199"/>
        <v>9000000</v>
      </c>
      <c r="P342" s="268">
        <f t="shared" si="199"/>
        <v>9000000</v>
      </c>
      <c r="Q342" s="281">
        <f>SUM(L342:P342)</f>
        <v>36000000</v>
      </c>
      <c r="R342" s="39"/>
      <c r="S342" s="115"/>
      <c r="T342" s="51"/>
    </row>
    <row r="343" spans="1:21" x14ac:dyDescent="0.2">
      <c r="A343" s="17" t="s">
        <v>1167</v>
      </c>
      <c r="B343" s="45"/>
      <c r="C343" s="51" t="s">
        <v>593</v>
      </c>
      <c r="D343" s="18"/>
      <c r="E343" s="97"/>
      <c r="F343" s="98"/>
      <c r="G343" s="98"/>
      <c r="H343" s="98"/>
      <c r="I343" s="98"/>
      <c r="J343" s="99">
        <f t="shared" si="168"/>
        <v>0</v>
      </c>
      <c r="K343" s="116"/>
      <c r="L343" s="35">
        <f t="shared" si="199"/>
        <v>0</v>
      </c>
      <c r="M343" s="34">
        <f t="shared" si="199"/>
        <v>0</v>
      </c>
      <c r="N343" s="34">
        <f t="shared" si="199"/>
        <v>0</v>
      </c>
      <c r="O343" s="34">
        <f t="shared" si="199"/>
        <v>0</v>
      </c>
      <c r="P343" s="269">
        <f t="shared" si="199"/>
        <v>0</v>
      </c>
      <c r="Q343" s="279">
        <f>SUM(L343:P343)</f>
        <v>0</v>
      </c>
      <c r="R343" s="38"/>
      <c r="S343" s="116"/>
      <c r="T343" s="50"/>
    </row>
    <row r="344" spans="1:21" x14ac:dyDescent="0.2">
      <c r="A344" s="20" t="s">
        <v>1168</v>
      </c>
      <c r="B344" s="149"/>
      <c r="C344" s="51"/>
      <c r="D344" s="21"/>
      <c r="E344" s="96"/>
      <c r="F344" s="100"/>
      <c r="G344" s="100"/>
      <c r="H344" s="100"/>
      <c r="I344" s="100"/>
      <c r="J344" s="101">
        <f t="shared" si="168"/>
        <v>0</v>
      </c>
      <c r="K344" s="115"/>
      <c r="L344" s="35">
        <f t="shared" ref="L344:Q344" si="200">SUM(L345:L346)</f>
        <v>0</v>
      </c>
      <c r="M344" s="34">
        <f t="shared" si="200"/>
        <v>99000</v>
      </c>
      <c r="N344" s="34">
        <f t="shared" si="200"/>
        <v>99000</v>
      </c>
      <c r="O344" s="34">
        <f t="shared" si="200"/>
        <v>99000</v>
      </c>
      <c r="P344" s="269">
        <f t="shared" si="200"/>
        <v>99000</v>
      </c>
      <c r="Q344" s="279">
        <f t="shared" si="200"/>
        <v>396000</v>
      </c>
      <c r="R344" s="39" t="s">
        <v>754</v>
      </c>
      <c r="S344" s="115" t="s">
        <v>700</v>
      </c>
      <c r="T344" s="51"/>
    </row>
    <row r="345" spans="1:21" x14ac:dyDescent="0.2">
      <c r="A345" s="95">
        <v>12</v>
      </c>
      <c r="B345" s="108" t="str">
        <f>IF(A345&lt;&gt;0,INDEX(Coûts,'PA-Détails'!A345, 2),)</f>
        <v>Formation - Action et Formation de formateurs</v>
      </c>
      <c r="C345" s="51"/>
      <c r="D345" s="94" t="str">
        <f>IF(A345&lt;&gt;0,INDEX(Coûts, 'PA-Détails'!A345, 5),)</f>
        <v>Pers / j</v>
      </c>
      <c r="E345" s="96">
        <f>E342/100</f>
        <v>0</v>
      </c>
      <c r="F345" s="100">
        <f>F342/100</f>
        <v>60</v>
      </c>
      <c r="G345" s="100">
        <f>G342/100</f>
        <v>60</v>
      </c>
      <c r="H345" s="100">
        <f>H342/100</f>
        <v>60</v>
      </c>
      <c r="I345" s="100">
        <f>I342/100</f>
        <v>60</v>
      </c>
      <c r="J345" s="101">
        <f t="shared" si="168"/>
        <v>240</v>
      </c>
      <c r="K345" s="115">
        <f>IF(A345&lt;&gt;0,INDEX(Coûts, 'PA-Détails'!A345, 3),)</f>
        <v>150</v>
      </c>
      <c r="L345" s="37">
        <f t="shared" ref="L345:P349" si="201">ROUND(+$K345*E345,0)</f>
        <v>0</v>
      </c>
      <c r="M345" s="36">
        <f t="shared" si="201"/>
        <v>9000</v>
      </c>
      <c r="N345" s="36">
        <f t="shared" si="201"/>
        <v>9000</v>
      </c>
      <c r="O345" s="36">
        <f t="shared" si="201"/>
        <v>9000</v>
      </c>
      <c r="P345" s="268">
        <f t="shared" si="201"/>
        <v>9000</v>
      </c>
      <c r="Q345" s="281">
        <f>SUM(L345:P345)</f>
        <v>36000</v>
      </c>
      <c r="R345" s="39"/>
      <c r="S345" s="115"/>
      <c r="T345" s="51"/>
    </row>
    <row r="346" spans="1:21" x14ac:dyDescent="0.2">
      <c r="A346" s="95">
        <v>13</v>
      </c>
      <c r="B346" s="108" t="str">
        <f>IF(A346&lt;&gt;0,INDEX(Coûts,'PA-Détails'!A346, 2),)</f>
        <v>Formation au niveau local</v>
      </c>
      <c r="C346" s="51"/>
      <c r="D346" s="94" t="str">
        <f>IF(A346&lt;&gt;0,INDEX(Coûts, 'PA-Détails'!A346, 5),)</f>
        <v>Pers / j</v>
      </c>
      <c r="E346" s="96">
        <f>E342</f>
        <v>0</v>
      </c>
      <c r="F346" s="100">
        <f>F342</f>
        <v>6000</v>
      </c>
      <c r="G346" s="100">
        <f>G342</f>
        <v>6000</v>
      </c>
      <c r="H346" s="100">
        <f>H342</f>
        <v>6000</v>
      </c>
      <c r="I346" s="100">
        <f>I342</f>
        <v>6000</v>
      </c>
      <c r="J346" s="101">
        <f t="shared" si="168"/>
        <v>24000</v>
      </c>
      <c r="K346" s="115">
        <f>IF(A346&lt;&gt;0,INDEX(Coûts, 'PA-Détails'!A346, 3),)</f>
        <v>15</v>
      </c>
      <c r="L346" s="37">
        <f t="shared" si="201"/>
        <v>0</v>
      </c>
      <c r="M346" s="36">
        <f t="shared" si="201"/>
        <v>90000</v>
      </c>
      <c r="N346" s="36">
        <f t="shared" si="201"/>
        <v>90000</v>
      </c>
      <c r="O346" s="36">
        <f t="shared" si="201"/>
        <v>90000</v>
      </c>
      <c r="P346" s="268">
        <f t="shared" si="201"/>
        <v>90000</v>
      </c>
      <c r="Q346" s="281">
        <f>SUM(L346:P346)</f>
        <v>360000</v>
      </c>
      <c r="R346" s="39"/>
      <c r="S346" s="115"/>
      <c r="T346" s="51"/>
    </row>
    <row r="347" spans="1:21" x14ac:dyDescent="0.2">
      <c r="A347" s="11" t="s">
        <v>51</v>
      </c>
      <c r="B347" s="13"/>
      <c r="C347" s="113"/>
      <c r="D347" s="12"/>
      <c r="E347" s="105"/>
      <c r="F347" s="106"/>
      <c r="G347" s="106"/>
      <c r="H347" s="106"/>
      <c r="I347" s="106"/>
      <c r="J347" s="107">
        <f t="shared" si="168"/>
        <v>0</v>
      </c>
      <c r="K347" s="144"/>
      <c r="L347" s="30">
        <f t="shared" si="201"/>
        <v>0</v>
      </c>
      <c r="M347" s="29">
        <f t="shared" si="201"/>
        <v>0</v>
      </c>
      <c r="N347" s="29">
        <f t="shared" si="201"/>
        <v>0</v>
      </c>
      <c r="O347" s="29">
        <f t="shared" si="201"/>
        <v>0</v>
      </c>
      <c r="P347" s="266">
        <f t="shared" si="201"/>
        <v>0</v>
      </c>
      <c r="Q347" s="277">
        <f>SUM(L347:P347)</f>
        <v>0</v>
      </c>
      <c r="R347" s="176"/>
      <c r="S347" s="177"/>
      <c r="T347" s="48"/>
      <c r="U347" s="653">
        <f>+SUM(Q6:Q346)/2</f>
        <v>3345142940.9371462</v>
      </c>
    </row>
    <row r="348" spans="1:21" x14ac:dyDescent="0.2">
      <c r="A348" s="14" t="s">
        <v>52</v>
      </c>
      <c r="B348" s="44"/>
      <c r="C348" s="112"/>
      <c r="D348" s="15"/>
      <c r="E348" s="102"/>
      <c r="F348" s="103"/>
      <c r="G348" s="103"/>
      <c r="H348" s="103"/>
      <c r="I348" s="103"/>
      <c r="J348" s="104">
        <f t="shared" si="168"/>
        <v>0</v>
      </c>
      <c r="K348" s="145"/>
      <c r="L348" s="33">
        <f t="shared" si="201"/>
        <v>0</v>
      </c>
      <c r="M348" s="32">
        <f t="shared" si="201"/>
        <v>0</v>
      </c>
      <c r="N348" s="32">
        <f t="shared" si="201"/>
        <v>0</v>
      </c>
      <c r="O348" s="32">
        <f t="shared" si="201"/>
        <v>0</v>
      </c>
      <c r="P348" s="267">
        <f t="shared" si="201"/>
        <v>0</v>
      </c>
      <c r="Q348" s="278">
        <f>SUM(L348:P348)</f>
        <v>0</v>
      </c>
      <c r="R348" s="178"/>
      <c r="S348" s="179"/>
      <c r="T348" s="49">
        <v>1</v>
      </c>
    </row>
    <row r="349" spans="1:21" x14ac:dyDescent="0.2">
      <c r="A349" s="17" t="s">
        <v>53</v>
      </c>
      <c r="B349" s="45"/>
      <c r="C349" s="51" t="s">
        <v>218</v>
      </c>
      <c r="D349" s="18"/>
      <c r="E349" s="96"/>
      <c r="F349" s="100"/>
      <c r="G349" s="100"/>
      <c r="H349" s="100"/>
      <c r="I349" s="100"/>
      <c r="J349" s="101">
        <f t="shared" si="168"/>
        <v>0</v>
      </c>
      <c r="K349" s="116"/>
      <c r="L349" s="35">
        <f t="shared" si="201"/>
        <v>0</v>
      </c>
      <c r="M349" s="34">
        <f t="shared" si="201"/>
        <v>0</v>
      </c>
      <c r="N349" s="34">
        <f t="shared" si="201"/>
        <v>0</v>
      </c>
      <c r="O349" s="34">
        <f t="shared" si="201"/>
        <v>0</v>
      </c>
      <c r="P349" s="269">
        <f t="shared" si="201"/>
        <v>0</v>
      </c>
      <c r="Q349" s="279">
        <f>SUM(L349:P349)</f>
        <v>0</v>
      </c>
      <c r="S349" s="181"/>
      <c r="T349" s="50"/>
    </row>
    <row r="350" spans="1:21" x14ac:dyDescent="0.2">
      <c r="A350" s="20" t="s">
        <v>219</v>
      </c>
      <c r="B350" s="46"/>
      <c r="C350" s="51"/>
      <c r="D350" s="21"/>
      <c r="E350" s="96"/>
      <c r="F350" s="100"/>
      <c r="G350" s="100"/>
      <c r="H350" s="100"/>
      <c r="I350" s="100"/>
      <c r="J350" s="101">
        <f t="shared" si="168"/>
        <v>0</v>
      </c>
      <c r="K350" s="115"/>
      <c r="L350" s="35">
        <f t="shared" ref="L350:Q350" si="202">SUM(L351:L352)</f>
        <v>4600</v>
      </c>
      <c r="M350" s="34">
        <f t="shared" si="202"/>
        <v>0</v>
      </c>
      <c r="N350" s="34">
        <f t="shared" si="202"/>
        <v>0</v>
      </c>
      <c r="O350" s="34">
        <f t="shared" si="202"/>
        <v>0</v>
      </c>
      <c r="P350" s="269">
        <f t="shared" si="202"/>
        <v>0</v>
      </c>
      <c r="Q350" s="279">
        <f t="shared" si="202"/>
        <v>4600</v>
      </c>
      <c r="R350" s="182" t="s">
        <v>786</v>
      </c>
      <c r="S350" s="183" t="s">
        <v>663</v>
      </c>
      <c r="T350" s="51"/>
    </row>
    <row r="351" spans="1:21" x14ac:dyDescent="0.2">
      <c r="A351" s="95">
        <v>11</v>
      </c>
      <c r="B351" s="108" t="str">
        <f>IF(A351&lt;&gt;0,INDEX(Coûts,'PA-Détails'!A351, 2),)</f>
        <v>Atelier technique</v>
      </c>
      <c r="C351" s="51"/>
      <c r="D351" s="94" t="str">
        <f>IF(A351&lt;&gt;0,INDEX(Coûts, 'PA-Détails'!A351, 5),)</f>
        <v>Pers / j</v>
      </c>
      <c r="E351" s="96">
        <v>30</v>
      </c>
      <c r="F351" s="100"/>
      <c r="G351" s="100"/>
      <c r="H351" s="100"/>
      <c r="I351" s="100"/>
      <c r="J351" s="101">
        <f t="shared" si="168"/>
        <v>30</v>
      </c>
      <c r="K351" s="115">
        <f>IF(A351&lt;&gt;0,INDEX(Coûts, 'PA-Détails'!A351, 3),)</f>
        <v>70</v>
      </c>
      <c r="L351" s="37">
        <f t="shared" ref="L351:P352" si="203">ROUND(+$K351*E351,0)</f>
        <v>2100</v>
      </c>
      <c r="M351" s="36">
        <f t="shared" si="203"/>
        <v>0</v>
      </c>
      <c r="N351" s="36">
        <f t="shared" si="203"/>
        <v>0</v>
      </c>
      <c r="O351" s="36">
        <f t="shared" si="203"/>
        <v>0</v>
      </c>
      <c r="P351" s="268">
        <f t="shared" si="203"/>
        <v>0</v>
      </c>
      <c r="Q351" s="281">
        <f>SUM(L351:P351)</f>
        <v>2100</v>
      </c>
      <c r="R351" s="182"/>
      <c r="S351" s="183"/>
      <c r="T351" s="51"/>
    </row>
    <row r="352" spans="1:21" x14ac:dyDescent="0.2">
      <c r="A352" s="95">
        <v>5</v>
      </c>
      <c r="B352" s="108" t="str">
        <f>IF(A352&lt;&gt;0,INDEX(Coûts,'PA-Détails'!A352, 2),)</f>
        <v>Atelier de validation</v>
      </c>
      <c r="C352" s="51"/>
      <c r="D352" s="94" t="str">
        <f>IF(A352&lt;&gt;0,INDEX(Coûts, 'PA-Détails'!A352, 5),)</f>
        <v>Pers / j</v>
      </c>
      <c r="E352" s="96">
        <v>50</v>
      </c>
      <c r="F352" s="100"/>
      <c r="G352" s="100"/>
      <c r="H352" s="100"/>
      <c r="I352" s="100"/>
      <c r="J352" s="101">
        <f t="shared" si="168"/>
        <v>50</v>
      </c>
      <c r="K352" s="115">
        <f>IF(A352&lt;&gt;0,INDEX(Coûts, 'PA-Détails'!A352, 3),)</f>
        <v>50</v>
      </c>
      <c r="L352" s="37">
        <f t="shared" si="203"/>
        <v>2500</v>
      </c>
      <c r="M352" s="36">
        <f t="shared" si="203"/>
        <v>0</v>
      </c>
      <c r="N352" s="36">
        <f t="shared" si="203"/>
        <v>0</v>
      </c>
      <c r="O352" s="36">
        <f t="shared" si="203"/>
        <v>0</v>
      </c>
      <c r="P352" s="268">
        <f t="shared" si="203"/>
        <v>0</v>
      </c>
      <c r="Q352" s="281">
        <f>SUM(L352:P352)</f>
        <v>2500</v>
      </c>
      <c r="R352" s="182"/>
      <c r="S352" s="183"/>
      <c r="T352" s="51"/>
    </row>
    <row r="353" spans="1:20" x14ac:dyDescent="0.2">
      <c r="A353" s="20" t="s">
        <v>220</v>
      </c>
      <c r="B353" s="46"/>
      <c r="C353" s="51"/>
      <c r="D353" s="21"/>
      <c r="E353" s="96"/>
      <c r="F353" s="100"/>
      <c r="G353" s="100"/>
      <c r="H353" s="100"/>
      <c r="I353" s="100"/>
      <c r="J353" s="101">
        <f t="shared" si="168"/>
        <v>0</v>
      </c>
      <c r="K353" s="115"/>
      <c r="L353" s="35">
        <f t="shared" ref="L353:Q353" si="204">SUM(L354:L356)</f>
        <v>129400</v>
      </c>
      <c r="M353" s="34">
        <f t="shared" si="204"/>
        <v>87400</v>
      </c>
      <c r="N353" s="34">
        <f t="shared" si="204"/>
        <v>87400</v>
      </c>
      <c r="O353" s="34">
        <f t="shared" si="204"/>
        <v>0</v>
      </c>
      <c r="P353" s="269">
        <f t="shared" si="204"/>
        <v>0</v>
      </c>
      <c r="Q353" s="279">
        <f t="shared" si="204"/>
        <v>304200</v>
      </c>
      <c r="R353" s="182" t="s">
        <v>786</v>
      </c>
      <c r="S353" s="183" t="s">
        <v>663</v>
      </c>
      <c r="T353" s="51"/>
    </row>
    <row r="354" spans="1:20" x14ac:dyDescent="0.2">
      <c r="A354" s="95">
        <v>81</v>
      </c>
      <c r="B354" s="108" t="str">
        <f>IF(A354&lt;&gt;0,INDEX(Coûts,'PA-Détails'!A354, 2),)</f>
        <v>Production et diffusion de spots / sketchs audios</v>
      </c>
      <c r="C354" s="51"/>
      <c r="D354" s="94" t="str">
        <f>IF(A354&lt;&gt;0,INDEX(Coûts, 'PA-Détails'!A354, 5),)</f>
        <v>Unité</v>
      </c>
      <c r="E354" s="96">
        <v>120</v>
      </c>
      <c r="F354" s="100"/>
      <c r="G354" s="100"/>
      <c r="H354" s="100"/>
      <c r="I354" s="100"/>
      <c r="J354" s="101">
        <f t="shared" si="168"/>
        <v>120</v>
      </c>
      <c r="K354" s="115">
        <f>IF(A354&lt;&gt;0,INDEX(Coûts, 'PA-Détails'!A354, 3),)</f>
        <v>350</v>
      </c>
      <c r="L354" s="37">
        <f t="shared" ref="L354:P356" si="205">ROUND(+$K354*E354,0)</f>
        <v>42000</v>
      </c>
      <c r="M354" s="36">
        <f t="shared" si="205"/>
        <v>0</v>
      </c>
      <c r="N354" s="36">
        <f t="shared" si="205"/>
        <v>0</v>
      </c>
      <c r="O354" s="36">
        <f t="shared" si="205"/>
        <v>0</v>
      </c>
      <c r="P354" s="268">
        <f t="shared" si="205"/>
        <v>0</v>
      </c>
      <c r="Q354" s="281">
        <f>SUM(L354:P354)</f>
        <v>42000</v>
      </c>
      <c r="R354" s="182"/>
      <c r="S354" s="183"/>
      <c r="T354" s="51"/>
    </row>
    <row r="355" spans="1:20" x14ac:dyDescent="0.2">
      <c r="A355" s="95">
        <v>82</v>
      </c>
      <c r="B355" s="108" t="str">
        <f>IF(A355&lt;&gt;0,INDEX(Coûts,'PA-Détails'!A355, 2),)</f>
        <v>Support publicitaire : panneaux</v>
      </c>
      <c r="C355" s="51"/>
      <c r="D355" s="94" t="str">
        <f>IF(A355&lt;&gt;0,INDEX(Coûts, 'PA-Détails'!A355, 5),)</f>
        <v>Unité/mois</v>
      </c>
      <c r="E355" s="96">
        <v>26</v>
      </c>
      <c r="F355" s="100">
        <v>26</v>
      </c>
      <c r="G355" s="100">
        <v>26</v>
      </c>
      <c r="H355" s="100"/>
      <c r="I355" s="100"/>
      <c r="J355" s="101">
        <f t="shared" si="168"/>
        <v>78</v>
      </c>
      <c r="K355" s="115">
        <f>IF(A355&lt;&gt;0,INDEX(Coûts, 'PA-Détails'!A355, 3),)</f>
        <v>2400</v>
      </c>
      <c r="L355" s="37">
        <f t="shared" si="205"/>
        <v>62400</v>
      </c>
      <c r="M355" s="36">
        <f t="shared" si="205"/>
        <v>62400</v>
      </c>
      <c r="N355" s="36">
        <f t="shared" si="205"/>
        <v>62400</v>
      </c>
      <c r="O355" s="36">
        <f t="shared" si="205"/>
        <v>0</v>
      </c>
      <c r="P355" s="268">
        <f t="shared" si="205"/>
        <v>0</v>
      </c>
      <c r="Q355" s="281">
        <f>SUM(L355:P355)</f>
        <v>187200</v>
      </c>
      <c r="R355" s="182"/>
      <c r="S355" s="183"/>
      <c r="T355" s="51"/>
    </row>
    <row r="356" spans="1:20" x14ac:dyDescent="0.2">
      <c r="A356" s="95">
        <v>83</v>
      </c>
      <c r="B356" s="108" t="str">
        <f>IF(A356&lt;&gt;0,INDEX(Coûts,'PA-Détails'!A356, 2),)</f>
        <v>Support publicitaire : affiches</v>
      </c>
      <c r="C356" s="51"/>
      <c r="D356" s="94" t="str">
        <f>IF(A356&lt;&gt;0,INDEX(Coûts, 'PA-Détails'!A356, 5),)</f>
        <v>Unité</v>
      </c>
      <c r="E356" s="96">
        <v>1000</v>
      </c>
      <c r="F356" s="100">
        <v>1000</v>
      </c>
      <c r="G356" s="100">
        <v>1000</v>
      </c>
      <c r="H356" s="100"/>
      <c r="I356" s="100"/>
      <c r="J356" s="101">
        <f t="shared" si="168"/>
        <v>3000</v>
      </c>
      <c r="K356" s="115">
        <f>IF(A356&lt;&gt;0,INDEX(Coûts, 'PA-Détails'!A356, 3),)</f>
        <v>25</v>
      </c>
      <c r="L356" s="37">
        <f t="shared" si="205"/>
        <v>25000</v>
      </c>
      <c r="M356" s="36">
        <f t="shared" si="205"/>
        <v>25000</v>
      </c>
      <c r="N356" s="36">
        <f t="shared" si="205"/>
        <v>25000</v>
      </c>
      <c r="O356" s="36">
        <f t="shared" si="205"/>
        <v>0</v>
      </c>
      <c r="P356" s="268">
        <f t="shared" si="205"/>
        <v>0</v>
      </c>
      <c r="Q356" s="281">
        <f>SUM(L356:P356)</f>
        <v>75000</v>
      </c>
      <c r="R356" s="182"/>
      <c r="S356" s="183"/>
      <c r="T356" s="51"/>
    </row>
    <row r="357" spans="1:20" x14ac:dyDescent="0.2">
      <c r="A357" s="20" t="s">
        <v>221</v>
      </c>
      <c r="B357" s="46"/>
      <c r="C357" s="51"/>
      <c r="D357" s="21"/>
      <c r="E357" s="96"/>
      <c r="F357" s="100"/>
      <c r="G357" s="100"/>
      <c r="H357" s="100"/>
      <c r="I357" s="100"/>
      <c r="J357" s="101">
        <f t="shared" si="168"/>
        <v>0</v>
      </c>
      <c r="K357" s="115"/>
      <c r="L357" s="35">
        <f t="shared" ref="L357:Q357" si="206">SUM(L358:L359)</f>
        <v>84500</v>
      </c>
      <c r="M357" s="34">
        <f t="shared" si="206"/>
        <v>45500</v>
      </c>
      <c r="N357" s="34">
        <f t="shared" si="206"/>
        <v>45500</v>
      </c>
      <c r="O357" s="34">
        <f t="shared" si="206"/>
        <v>0</v>
      </c>
      <c r="P357" s="269">
        <f t="shared" si="206"/>
        <v>0</v>
      </c>
      <c r="Q357" s="279">
        <f t="shared" si="206"/>
        <v>175500</v>
      </c>
      <c r="R357" s="182" t="s">
        <v>786</v>
      </c>
      <c r="S357" s="183" t="s">
        <v>663</v>
      </c>
      <c r="T357" s="51"/>
    </row>
    <row r="358" spans="1:20" x14ac:dyDescent="0.2">
      <c r="A358" s="95">
        <v>12</v>
      </c>
      <c r="B358" s="108" t="str">
        <f>IF(A358&lt;&gt;0,INDEX(Coûts,'PA-Détails'!A358, 2),)</f>
        <v>Formation - Action et Formation de formateurs</v>
      </c>
      <c r="C358" s="51"/>
      <c r="D358" s="94" t="str">
        <f>IF(A358&lt;&gt;0,INDEX(Coûts, 'PA-Détails'!A358, 5),)</f>
        <v>Pers / j</v>
      </c>
      <c r="E358" s="96">
        <v>260</v>
      </c>
      <c r="F358" s="100"/>
      <c r="G358" s="100"/>
      <c r="H358" s="100"/>
      <c r="I358" s="100"/>
      <c r="J358" s="101">
        <f t="shared" si="168"/>
        <v>260</v>
      </c>
      <c r="K358" s="115">
        <f>IF(A358&lt;&gt;0,INDEX(Coûts, 'PA-Détails'!A358, 3),)</f>
        <v>150</v>
      </c>
      <c r="L358" s="37">
        <f t="shared" ref="L358:P360" si="207">ROUND(+$K358*E358,0)</f>
        <v>39000</v>
      </c>
      <c r="M358" s="36">
        <f t="shared" si="207"/>
        <v>0</v>
      </c>
      <c r="N358" s="36">
        <f t="shared" si="207"/>
        <v>0</v>
      </c>
      <c r="O358" s="36">
        <f t="shared" si="207"/>
        <v>0</v>
      </c>
      <c r="P358" s="268">
        <f t="shared" si="207"/>
        <v>0</v>
      </c>
      <c r="Q358" s="281">
        <f>SUM(L358:P358)</f>
        <v>39000</v>
      </c>
      <c r="R358" s="182"/>
      <c r="S358" s="183"/>
      <c r="T358" s="51"/>
    </row>
    <row r="359" spans="1:20" x14ac:dyDescent="0.2">
      <c r="A359" s="95">
        <v>84</v>
      </c>
      <c r="B359" s="108" t="str">
        <f>IF(A359&lt;&gt;0,INDEX(Coûts,'PA-Détails'!A359, 2),)</f>
        <v>Campagne de sensibilisation</v>
      </c>
      <c r="C359" s="51"/>
      <c r="D359" s="94" t="str">
        <f>IF(A359&lt;&gt;0,INDEX(Coûts, 'PA-Détails'!A359, 5),)</f>
        <v>Unité</v>
      </c>
      <c r="E359" s="96">
        <v>26</v>
      </c>
      <c r="F359" s="100">
        <v>26</v>
      </c>
      <c r="G359" s="100">
        <v>26</v>
      </c>
      <c r="H359" s="100"/>
      <c r="I359" s="100"/>
      <c r="J359" s="101">
        <f t="shared" si="168"/>
        <v>78</v>
      </c>
      <c r="K359" s="115">
        <f>IF(A359&lt;&gt;0,INDEX(Coûts, 'PA-Détails'!A359, 3),)</f>
        <v>1750</v>
      </c>
      <c r="L359" s="37">
        <f t="shared" si="207"/>
        <v>45500</v>
      </c>
      <c r="M359" s="36">
        <f t="shared" si="207"/>
        <v>45500</v>
      </c>
      <c r="N359" s="36">
        <f t="shared" si="207"/>
        <v>45500</v>
      </c>
      <c r="O359" s="36">
        <f t="shared" si="207"/>
        <v>0</v>
      </c>
      <c r="P359" s="268">
        <f t="shared" si="207"/>
        <v>0</v>
      </c>
      <c r="Q359" s="281">
        <f>SUM(L359:P359)</f>
        <v>136500</v>
      </c>
      <c r="R359" s="182"/>
      <c r="S359" s="183"/>
      <c r="T359" s="51"/>
    </row>
    <row r="360" spans="1:20" x14ac:dyDescent="0.2">
      <c r="A360" s="17" t="s">
        <v>54</v>
      </c>
      <c r="B360" s="45"/>
      <c r="C360" s="51" t="s">
        <v>222</v>
      </c>
      <c r="D360" s="18"/>
      <c r="E360" s="96"/>
      <c r="F360" s="100"/>
      <c r="G360" s="100"/>
      <c r="H360" s="100"/>
      <c r="I360" s="100"/>
      <c r="J360" s="101">
        <f t="shared" si="168"/>
        <v>0</v>
      </c>
      <c r="K360" s="116"/>
      <c r="L360" s="35">
        <f t="shared" si="207"/>
        <v>0</v>
      </c>
      <c r="M360" s="34">
        <f t="shared" si="207"/>
        <v>0</v>
      </c>
      <c r="N360" s="34">
        <f t="shared" si="207"/>
        <v>0</v>
      </c>
      <c r="O360" s="34">
        <f t="shared" si="207"/>
        <v>0</v>
      </c>
      <c r="P360" s="269">
        <f t="shared" si="207"/>
        <v>0</v>
      </c>
      <c r="Q360" s="279">
        <f>SUM(L360:P360)</f>
        <v>0</v>
      </c>
      <c r="R360" s="180"/>
      <c r="S360" s="181"/>
      <c r="T360" s="50"/>
    </row>
    <row r="361" spans="1:20" x14ac:dyDescent="0.2">
      <c r="A361" s="20" t="s">
        <v>223</v>
      </c>
      <c r="B361" s="46"/>
      <c r="C361" s="51"/>
      <c r="D361" s="21"/>
      <c r="E361" s="96"/>
      <c r="F361" s="100"/>
      <c r="G361" s="100"/>
      <c r="H361" s="100"/>
      <c r="I361" s="100"/>
      <c r="J361" s="101">
        <f t="shared" si="168"/>
        <v>0</v>
      </c>
      <c r="K361" s="115"/>
      <c r="L361" s="35">
        <f t="shared" ref="L361:Q361" si="208">SUM(L362:L363)</f>
        <v>16380</v>
      </c>
      <c r="M361" s="34">
        <f t="shared" si="208"/>
        <v>16380</v>
      </c>
      <c r="N361" s="34">
        <f t="shared" si="208"/>
        <v>16380</v>
      </c>
      <c r="O361" s="34">
        <f t="shared" si="208"/>
        <v>0</v>
      </c>
      <c r="P361" s="269">
        <f t="shared" si="208"/>
        <v>0</v>
      </c>
      <c r="Q361" s="279">
        <f t="shared" si="208"/>
        <v>49140</v>
      </c>
      <c r="R361" s="182" t="s">
        <v>702</v>
      </c>
      <c r="S361" s="183" t="s">
        <v>663</v>
      </c>
      <c r="T361" s="51"/>
    </row>
    <row r="362" spans="1:20" x14ac:dyDescent="0.2">
      <c r="A362" s="95">
        <v>221</v>
      </c>
      <c r="B362" s="108" t="str">
        <f>IF(A362&lt;&gt;0,INDEX(Coûts,'PA-Détails'!A362, 2),)</f>
        <v>Mission en province des services centraux</v>
      </c>
      <c r="C362" s="51"/>
      <c r="D362" s="94" t="str">
        <f>IF(A362&lt;&gt;0,INDEX(Coûts, 'PA-Détails'!A362, 5),)</f>
        <v>P/j</v>
      </c>
      <c r="E362" s="96">
        <f>2*26</f>
        <v>52</v>
      </c>
      <c r="F362" s="100">
        <f>2*26</f>
        <v>52</v>
      </c>
      <c r="G362" s="100">
        <f>2*26</f>
        <v>52</v>
      </c>
      <c r="H362" s="100"/>
      <c r="I362" s="100"/>
      <c r="J362" s="101">
        <f t="shared" si="168"/>
        <v>156</v>
      </c>
      <c r="K362" s="115">
        <f>IF(A362&lt;&gt;0,INDEX(Coûts, 'PA-Détails'!A362, 3),)</f>
        <v>240</v>
      </c>
      <c r="L362" s="37">
        <f t="shared" ref="L362:P363" si="209">ROUND(+$K362*E362,0)</f>
        <v>12480</v>
      </c>
      <c r="M362" s="36">
        <f t="shared" si="209"/>
        <v>12480</v>
      </c>
      <c r="N362" s="36">
        <f t="shared" si="209"/>
        <v>12480</v>
      </c>
      <c r="O362" s="36">
        <f t="shared" si="209"/>
        <v>0</v>
      </c>
      <c r="P362" s="268">
        <f t="shared" si="209"/>
        <v>0</v>
      </c>
      <c r="Q362" s="281">
        <f>SUM(L362:P362)</f>
        <v>37440</v>
      </c>
      <c r="R362" s="182"/>
      <c r="S362" s="183"/>
      <c r="T362" s="51"/>
    </row>
    <row r="363" spans="1:20" x14ac:dyDescent="0.2">
      <c r="A363" s="95">
        <v>222</v>
      </c>
      <c r="B363" s="108" t="str">
        <f>IF(A363&lt;&gt;0,INDEX(Coûts,'PA-Détails'!A363, 2),)</f>
        <v>Mission en province des services déconcentrés</v>
      </c>
      <c r="C363" s="51"/>
      <c r="D363" s="94" t="str">
        <f>IF(A363&lt;&gt;0,INDEX(Coûts, 'PA-Détails'!A363, 5),)</f>
        <v>P/j</v>
      </c>
      <c r="E363" s="96">
        <f>3*26</f>
        <v>78</v>
      </c>
      <c r="F363" s="100">
        <f>3*26</f>
        <v>78</v>
      </c>
      <c r="G363" s="100">
        <f>3*26</f>
        <v>78</v>
      </c>
      <c r="H363" s="100"/>
      <c r="I363" s="100"/>
      <c r="J363" s="101">
        <f t="shared" si="168"/>
        <v>234</v>
      </c>
      <c r="K363" s="115">
        <f>IF(A363&lt;&gt;0,INDEX(Coûts, 'PA-Détails'!A363, 3),)</f>
        <v>50</v>
      </c>
      <c r="L363" s="37">
        <f t="shared" si="209"/>
        <v>3900</v>
      </c>
      <c r="M363" s="36">
        <f t="shared" si="209"/>
        <v>3900</v>
      </c>
      <c r="N363" s="36">
        <f t="shared" si="209"/>
        <v>3900</v>
      </c>
      <c r="O363" s="36">
        <f t="shared" si="209"/>
        <v>0</v>
      </c>
      <c r="P363" s="268">
        <f t="shared" si="209"/>
        <v>0</v>
      </c>
      <c r="Q363" s="281">
        <f>SUM(L363:P363)</f>
        <v>11700</v>
      </c>
      <c r="R363" s="182"/>
      <c r="S363" s="183"/>
      <c r="T363" s="51"/>
    </row>
    <row r="364" spans="1:20" x14ac:dyDescent="0.2">
      <c r="A364" s="20" t="s">
        <v>703</v>
      </c>
      <c r="B364" s="46"/>
      <c r="C364" s="51"/>
      <c r="D364" s="21"/>
      <c r="E364" s="96"/>
      <c r="F364" s="100"/>
      <c r="G364" s="100"/>
      <c r="H364" s="100"/>
      <c r="I364" s="100"/>
      <c r="J364" s="101">
        <f t="shared" si="168"/>
        <v>0</v>
      </c>
      <c r="K364" s="115"/>
      <c r="L364" s="35">
        <f t="shared" ref="L364:Q364" si="210">SUM(L365:L365)</f>
        <v>0</v>
      </c>
      <c r="M364" s="34">
        <f t="shared" si="210"/>
        <v>800000</v>
      </c>
      <c r="N364" s="34">
        <f t="shared" si="210"/>
        <v>800000</v>
      </c>
      <c r="O364" s="34">
        <f t="shared" si="210"/>
        <v>800000</v>
      </c>
      <c r="P364" s="269">
        <f t="shared" si="210"/>
        <v>0</v>
      </c>
      <c r="Q364" s="280">
        <f t="shared" si="210"/>
        <v>2400000</v>
      </c>
      <c r="R364" s="182" t="s">
        <v>704</v>
      </c>
      <c r="S364" s="183" t="s">
        <v>705</v>
      </c>
      <c r="T364" s="51"/>
    </row>
    <row r="365" spans="1:20" x14ac:dyDescent="0.2">
      <c r="A365" s="95">
        <v>19</v>
      </c>
      <c r="B365" s="108" t="str">
        <f>IF(A365&lt;&gt;0,INDEX(Coûts,'PA-Détails'!A365, 2),)</f>
        <v>Construction et équipement d'un centre d'alpha et rattrapage (4 salles et bureau directeur)</v>
      </c>
      <c r="C365" s="51"/>
      <c r="D365" s="94" t="str">
        <f>IF(A365&lt;&gt;0,INDEX(Coûts, 'PA-Détails'!A365, 5),)</f>
        <v>Forfait</v>
      </c>
      <c r="E365" s="96"/>
      <c r="F365" s="100">
        <v>10</v>
      </c>
      <c r="G365" s="100">
        <v>10</v>
      </c>
      <c r="H365" s="100">
        <v>10</v>
      </c>
      <c r="I365" s="100"/>
      <c r="J365" s="101">
        <f t="shared" si="168"/>
        <v>30</v>
      </c>
      <c r="K365" s="115">
        <f>IF(A365&lt;&gt;0,INDEX(Coûts, 'PA-Détails'!A365, 3),)</f>
        <v>80000</v>
      </c>
      <c r="L365" s="37">
        <f>ROUND(+$K365*E365,0)</f>
        <v>0</v>
      </c>
      <c r="M365" s="36">
        <f>ROUND(+$K365*F365,0)</f>
        <v>800000</v>
      </c>
      <c r="N365" s="36">
        <f>ROUND(+$K365*G365,0)</f>
        <v>800000</v>
      </c>
      <c r="O365" s="36">
        <f>ROUND(+$K365*H365,0)</f>
        <v>800000</v>
      </c>
      <c r="P365" s="268">
        <f>ROUND(+$K365*I365,0)</f>
        <v>0</v>
      </c>
      <c r="Q365" s="281">
        <f>SUM(L365:P365)</f>
        <v>2400000</v>
      </c>
      <c r="R365" s="182"/>
      <c r="S365" s="183"/>
      <c r="T365" s="51"/>
    </row>
    <row r="366" spans="1:20" x14ac:dyDescent="0.2">
      <c r="A366" s="20" t="s">
        <v>224</v>
      </c>
      <c r="B366" s="46"/>
      <c r="C366" s="51"/>
      <c r="D366" s="21"/>
      <c r="E366" s="96"/>
      <c r="F366" s="100"/>
      <c r="G366" s="100"/>
      <c r="H366" s="100"/>
      <c r="I366" s="100"/>
      <c r="J366" s="101">
        <f t="shared" si="168"/>
        <v>0</v>
      </c>
      <c r="K366" s="115"/>
      <c r="L366" s="35">
        <f t="shared" ref="L366:Q366" si="211">SUM(L367:L367)</f>
        <v>0</v>
      </c>
      <c r="M366" s="34">
        <f t="shared" si="211"/>
        <v>400000</v>
      </c>
      <c r="N366" s="34">
        <f t="shared" si="211"/>
        <v>400000</v>
      </c>
      <c r="O366" s="34">
        <f t="shared" si="211"/>
        <v>400000</v>
      </c>
      <c r="P366" s="269">
        <f t="shared" si="211"/>
        <v>0</v>
      </c>
      <c r="Q366" s="280">
        <f t="shared" si="211"/>
        <v>1200000</v>
      </c>
      <c r="R366" s="182" t="s">
        <v>704</v>
      </c>
      <c r="S366" s="183" t="s">
        <v>705</v>
      </c>
      <c r="T366" s="51"/>
    </row>
    <row r="367" spans="1:20" x14ac:dyDescent="0.2">
      <c r="A367" s="95">
        <v>18</v>
      </c>
      <c r="B367" s="108" t="str">
        <f>IF(A367&lt;&gt;0,INDEX(Coûts,'PA-Détails'!A367, 2),)</f>
        <v xml:space="preserve">Réhabilitation et équipement d'un centre d'alpha et rattrapage </v>
      </c>
      <c r="C367" s="51"/>
      <c r="D367" s="94" t="str">
        <f>IF(A367&lt;&gt;0,INDEX(Coûts, 'PA-Détails'!A367, 5),)</f>
        <v>Forfait</v>
      </c>
      <c r="E367" s="96"/>
      <c r="F367" s="100">
        <v>10</v>
      </c>
      <c r="G367" s="100">
        <v>10</v>
      </c>
      <c r="H367" s="100">
        <v>10</v>
      </c>
      <c r="I367" s="100"/>
      <c r="J367" s="101">
        <f t="shared" si="168"/>
        <v>30</v>
      </c>
      <c r="K367" s="115">
        <f>IF(A367&lt;&gt;0,INDEX(Coûts, 'PA-Détails'!A367, 3),)</f>
        <v>40000</v>
      </c>
      <c r="L367" s="37">
        <f t="shared" ref="L367:P368" si="212">ROUND(+$K367*E367,0)</f>
        <v>0</v>
      </c>
      <c r="M367" s="36">
        <f t="shared" si="212"/>
        <v>400000</v>
      </c>
      <c r="N367" s="36">
        <f t="shared" si="212"/>
        <v>400000</v>
      </c>
      <c r="O367" s="36">
        <f t="shared" si="212"/>
        <v>400000</v>
      </c>
      <c r="P367" s="268">
        <f t="shared" si="212"/>
        <v>0</v>
      </c>
      <c r="Q367" s="281">
        <f>SUM(L367:P367)</f>
        <v>1200000</v>
      </c>
      <c r="R367" s="182"/>
      <c r="S367" s="183"/>
      <c r="T367" s="51"/>
    </row>
    <row r="368" spans="1:20" x14ac:dyDescent="0.2">
      <c r="A368" s="17" t="s">
        <v>1060</v>
      </c>
      <c r="B368" s="45"/>
      <c r="C368" s="51" t="s">
        <v>267</v>
      </c>
      <c r="D368" s="18"/>
      <c r="E368" s="96"/>
      <c r="F368" s="100"/>
      <c r="G368" s="100"/>
      <c r="H368" s="100"/>
      <c r="I368" s="100"/>
      <c r="J368" s="101">
        <f t="shared" si="168"/>
        <v>0</v>
      </c>
      <c r="K368" s="116"/>
      <c r="L368" s="35">
        <f t="shared" si="212"/>
        <v>0</v>
      </c>
      <c r="M368" s="34">
        <f t="shared" si="212"/>
        <v>0</v>
      </c>
      <c r="N368" s="34">
        <f t="shared" si="212"/>
        <v>0</v>
      </c>
      <c r="O368" s="34">
        <f t="shared" si="212"/>
        <v>0</v>
      </c>
      <c r="P368" s="269">
        <f t="shared" si="212"/>
        <v>0</v>
      </c>
      <c r="Q368" s="279">
        <f>SUM(L368:P368)</f>
        <v>0</v>
      </c>
      <c r="R368" s="38"/>
      <c r="S368" s="116"/>
      <c r="T368" s="50"/>
    </row>
    <row r="369" spans="1:20" x14ac:dyDescent="0.2">
      <c r="A369" s="20" t="s">
        <v>1061</v>
      </c>
      <c r="B369" s="46"/>
      <c r="C369" s="51"/>
      <c r="D369" s="21"/>
      <c r="E369" s="96"/>
      <c r="F369" s="100"/>
      <c r="G369" s="100"/>
      <c r="H369" s="100"/>
      <c r="I369" s="100"/>
      <c r="J369" s="101">
        <f t="shared" si="168"/>
        <v>0</v>
      </c>
      <c r="K369" s="115"/>
      <c r="L369" s="35">
        <f t="shared" ref="L369:Q369" si="213">SUM(L370:L371)</f>
        <v>0</v>
      </c>
      <c r="M369" s="34">
        <f t="shared" si="213"/>
        <v>11500</v>
      </c>
      <c r="N369" s="34">
        <f t="shared" si="213"/>
        <v>0</v>
      </c>
      <c r="O369" s="34">
        <f t="shared" si="213"/>
        <v>0</v>
      </c>
      <c r="P369" s="269">
        <f t="shared" si="213"/>
        <v>0</v>
      </c>
      <c r="Q369" s="280">
        <f t="shared" si="213"/>
        <v>11500</v>
      </c>
      <c r="R369" s="39" t="s">
        <v>574</v>
      </c>
      <c r="S369" s="115"/>
      <c r="T369" s="51"/>
    </row>
    <row r="370" spans="1:20" x14ac:dyDescent="0.2">
      <c r="A370" s="95">
        <v>2</v>
      </c>
      <c r="B370" s="108" t="str">
        <f>IF(A370&lt;&gt;0,INDEX(Coûts,'PA-Détails'!A370, 2),)</f>
        <v>Assistance technique nationale (consultants)</v>
      </c>
      <c r="C370" s="51"/>
      <c r="D370" s="94" t="str">
        <f>IF(A370&lt;&gt;0,INDEX(Coûts, 'PA-Détails'!A370, 5),)</f>
        <v>Pers / j</v>
      </c>
      <c r="E370" s="96"/>
      <c r="F370" s="100">
        <v>30</v>
      </c>
      <c r="G370" s="100"/>
      <c r="H370" s="100"/>
      <c r="I370" s="100"/>
      <c r="J370" s="101">
        <f t="shared" si="168"/>
        <v>30</v>
      </c>
      <c r="K370" s="115">
        <f>IF(A370&lt;&gt;0,INDEX(Coûts, 'PA-Détails'!A370, 3),)</f>
        <v>300</v>
      </c>
      <c r="L370" s="37">
        <f t="shared" ref="L370:P372" si="214">ROUND(+$K370*E370,0)</f>
        <v>0</v>
      </c>
      <c r="M370" s="36">
        <f t="shared" si="214"/>
        <v>9000</v>
      </c>
      <c r="N370" s="36">
        <f t="shared" si="214"/>
        <v>0</v>
      </c>
      <c r="O370" s="36">
        <f t="shared" si="214"/>
        <v>0</v>
      </c>
      <c r="P370" s="268">
        <f t="shared" si="214"/>
        <v>0</v>
      </c>
      <c r="Q370" s="281">
        <f>SUM(L370:P370)</f>
        <v>9000</v>
      </c>
      <c r="R370" s="180"/>
      <c r="S370" s="115"/>
      <c r="T370" s="51"/>
    </row>
    <row r="371" spans="1:20" x14ac:dyDescent="0.2">
      <c r="A371" s="95">
        <v>5</v>
      </c>
      <c r="B371" s="108" t="str">
        <f>IF(A371&lt;&gt;0,INDEX(Coûts,'PA-Détails'!A371, 2),)</f>
        <v>Atelier de validation</v>
      </c>
      <c r="C371" s="51"/>
      <c r="D371" s="94" t="str">
        <f>IF(A371&lt;&gt;0,INDEX(Coûts, 'PA-Détails'!A371, 5),)</f>
        <v>Pers / j</v>
      </c>
      <c r="E371" s="96"/>
      <c r="F371" s="100">
        <v>50</v>
      </c>
      <c r="G371" s="100"/>
      <c r="H371" s="100"/>
      <c r="I371" s="100"/>
      <c r="J371" s="101">
        <f t="shared" si="168"/>
        <v>50</v>
      </c>
      <c r="K371" s="115">
        <f>IF(A371&lt;&gt;0,INDEX(Coûts, 'PA-Détails'!A371, 3),)</f>
        <v>50</v>
      </c>
      <c r="L371" s="37">
        <f t="shared" si="214"/>
        <v>0</v>
      </c>
      <c r="M371" s="36">
        <f t="shared" si="214"/>
        <v>2500</v>
      </c>
      <c r="N371" s="36">
        <f t="shared" si="214"/>
        <v>0</v>
      </c>
      <c r="O371" s="36">
        <f t="shared" si="214"/>
        <v>0</v>
      </c>
      <c r="P371" s="268">
        <f t="shared" si="214"/>
        <v>0</v>
      </c>
      <c r="Q371" s="281">
        <f>SUM(L371:P371)</f>
        <v>2500</v>
      </c>
      <c r="R371" s="180"/>
      <c r="S371" s="115"/>
      <c r="T371" s="51"/>
    </row>
    <row r="372" spans="1:20" x14ac:dyDescent="0.2">
      <c r="A372" s="17" t="s">
        <v>1010</v>
      </c>
      <c r="B372" s="45"/>
      <c r="C372" s="329" t="s">
        <v>706</v>
      </c>
      <c r="D372" s="18"/>
      <c r="E372" s="96"/>
      <c r="F372" s="100"/>
      <c r="G372" s="100"/>
      <c r="H372" s="100"/>
      <c r="I372" s="100"/>
      <c r="J372" s="101">
        <f t="shared" si="168"/>
        <v>0</v>
      </c>
      <c r="K372" s="116"/>
      <c r="L372" s="35">
        <f t="shared" si="214"/>
        <v>0</v>
      </c>
      <c r="M372" s="34">
        <f t="shared" si="214"/>
        <v>0</v>
      </c>
      <c r="N372" s="34">
        <f t="shared" si="214"/>
        <v>0</v>
      </c>
      <c r="O372" s="34">
        <f t="shared" si="214"/>
        <v>0</v>
      </c>
      <c r="P372" s="269">
        <f t="shared" si="214"/>
        <v>0</v>
      </c>
      <c r="Q372" s="279">
        <f>SUM(L372:P372)</f>
        <v>0</v>
      </c>
      <c r="R372" s="180"/>
      <c r="S372" s="181"/>
      <c r="T372" s="50"/>
    </row>
    <row r="373" spans="1:20" x14ac:dyDescent="0.2">
      <c r="A373" s="20" t="s">
        <v>1062</v>
      </c>
      <c r="B373" s="46"/>
      <c r="C373" s="51"/>
      <c r="D373" s="21"/>
      <c r="E373" s="96"/>
      <c r="F373" s="100"/>
      <c r="G373" s="100"/>
      <c r="H373" s="100"/>
      <c r="I373" s="100"/>
      <c r="J373" s="101">
        <f t="shared" si="168"/>
        <v>0</v>
      </c>
      <c r="K373" s="115"/>
      <c r="L373" s="35">
        <f t="shared" ref="L373:Q373" si="215">SUM(L374:L376)</f>
        <v>29750</v>
      </c>
      <c r="M373" s="34">
        <f t="shared" si="215"/>
        <v>0</v>
      </c>
      <c r="N373" s="34">
        <f t="shared" si="215"/>
        <v>0</v>
      </c>
      <c r="O373" s="34">
        <f t="shared" si="215"/>
        <v>0</v>
      </c>
      <c r="P373" s="269">
        <f t="shared" si="215"/>
        <v>0</v>
      </c>
      <c r="Q373" s="279">
        <f t="shared" si="215"/>
        <v>29750</v>
      </c>
      <c r="R373" s="182" t="s">
        <v>787</v>
      </c>
      <c r="S373" s="183" t="s">
        <v>705</v>
      </c>
      <c r="T373" s="51"/>
    </row>
    <row r="374" spans="1:20" x14ac:dyDescent="0.2">
      <c r="A374" s="95">
        <v>1</v>
      </c>
      <c r="B374" s="108" t="str">
        <f>IF(A374&lt;&gt;0,INDEX(Coûts,'PA-Détails'!A374, 2),)</f>
        <v>Assistance technique internationale (consultants)</v>
      </c>
      <c r="C374" s="51"/>
      <c r="D374" s="94" t="str">
        <f>IF(A374&lt;&gt;0,INDEX(Coûts, 'PA-Détails'!A374, 5),)</f>
        <v>Pers / j</v>
      </c>
      <c r="E374" s="96">
        <v>15</v>
      </c>
      <c r="F374" s="100"/>
      <c r="G374" s="100"/>
      <c r="H374" s="100"/>
      <c r="I374" s="100"/>
      <c r="J374" s="101">
        <f t="shared" si="168"/>
        <v>15</v>
      </c>
      <c r="K374" s="115">
        <f>IF(A374&lt;&gt;0,INDEX(Coûts, 'PA-Détails'!A374, 3),)</f>
        <v>1150</v>
      </c>
      <c r="L374" s="37">
        <f t="shared" ref="L374:P376" si="216">ROUND(+$K374*E374,0)</f>
        <v>17250</v>
      </c>
      <c r="M374" s="36">
        <f t="shared" si="216"/>
        <v>0</v>
      </c>
      <c r="N374" s="36">
        <f t="shared" si="216"/>
        <v>0</v>
      </c>
      <c r="O374" s="36">
        <f t="shared" si="216"/>
        <v>0</v>
      </c>
      <c r="P374" s="268">
        <f t="shared" si="216"/>
        <v>0</v>
      </c>
      <c r="Q374" s="281">
        <f>SUM(L374:P374)</f>
        <v>17250</v>
      </c>
      <c r="R374" s="182"/>
      <c r="S374" s="183"/>
      <c r="T374" s="51"/>
    </row>
    <row r="375" spans="1:20" x14ac:dyDescent="0.2">
      <c r="A375" s="95">
        <v>2</v>
      </c>
      <c r="B375" s="108" t="str">
        <f>IF(A375&lt;&gt;0,INDEX(Coûts,'PA-Détails'!A375, 2),)</f>
        <v>Assistance technique nationale (consultants)</v>
      </c>
      <c r="C375" s="51"/>
      <c r="D375" s="94" t="str">
        <f>IF(A375&lt;&gt;0,INDEX(Coûts, 'PA-Détails'!A375, 5),)</f>
        <v>Pers / j</v>
      </c>
      <c r="E375" s="96">
        <v>25</v>
      </c>
      <c r="F375" s="100"/>
      <c r="G375" s="100"/>
      <c r="H375" s="100"/>
      <c r="I375" s="100"/>
      <c r="J375" s="101">
        <f t="shared" si="168"/>
        <v>25</v>
      </c>
      <c r="K375" s="115">
        <f>IF(A375&lt;&gt;0,INDEX(Coûts, 'PA-Détails'!A375, 3),)</f>
        <v>300</v>
      </c>
      <c r="L375" s="37">
        <f t="shared" si="216"/>
        <v>7500</v>
      </c>
      <c r="M375" s="36">
        <f t="shared" si="216"/>
        <v>0</v>
      </c>
      <c r="N375" s="36">
        <f t="shared" si="216"/>
        <v>0</v>
      </c>
      <c r="O375" s="36">
        <f t="shared" si="216"/>
        <v>0</v>
      </c>
      <c r="P375" s="268">
        <f t="shared" si="216"/>
        <v>0</v>
      </c>
      <c r="Q375" s="281">
        <f>SUM(L375:P375)</f>
        <v>7500</v>
      </c>
      <c r="R375" s="182"/>
      <c r="S375" s="183"/>
      <c r="T375" s="51"/>
    </row>
    <row r="376" spans="1:20" x14ac:dyDescent="0.2">
      <c r="A376" s="95">
        <v>5</v>
      </c>
      <c r="B376" s="108" t="str">
        <f>IF(A376&lt;&gt;0,INDEX(Coûts,'PA-Détails'!A376, 2),)</f>
        <v>Atelier de validation</v>
      </c>
      <c r="C376" s="51"/>
      <c r="D376" s="94" t="str">
        <f>IF(A376&lt;&gt;0,INDEX(Coûts, 'PA-Détails'!A376, 5),)</f>
        <v>Pers / j</v>
      </c>
      <c r="E376" s="96">
        <v>100</v>
      </c>
      <c r="F376" s="100"/>
      <c r="G376" s="100"/>
      <c r="H376" s="100"/>
      <c r="I376" s="100"/>
      <c r="J376" s="101">
        <f t="shared" si="168"/>
        <v>100</v>
      </c>
      <c r="K376" s="115">
        <f>IF(A376&lt;&gt;0,INDEX(Coûts, 'PA-Détails'!A376, 3),)</f>
        <v>50</v>
      </c>
      <c r="L376" s="37">
        <f t="shared" si="216"/>
        <v>5000</v>
      </c>
      <c r="M376" s="36">
        <f t="shared" si="216"/>
        <v>0</v>
      </c>
      <c r="N376" s="36">
        <f t="shared" si="216"/>
        <v>0</v>
      </c>
      <c r="O376" s="36">
        <f t="shared" si="216"/>
        <v>0</v>
      </c>
      <c r="P376" s="268">
        <f t="shared" si="216"/>
        <v>0</v>
      </c>
      <c r="Q376" s="281">
        <f>SUM(L376:P376)</f>
        <v>5000</v>
      </c>
      <c r="R376" s="182"/>
      <c r="S376" s="183"/>
      <c r="T376" s="51"/>
    </row>
    <row r="377" spans="1:20" x14ac:dyDescent="0.2">
      <c r="A377" s="20" t="s">
        <v>1011</v>
      </c>
      <c r="B377" s="46"/>
      <c r="C377" s="51"/>
      <c r="D377" s="21"/>
      <c r="E377" s="96"/>
      <c r="F377" s="100"/>
      <c r="G377" s="100"/>
      <c r="H377" s="100"/>
      <c r="I377" s="100"/>
      <c r="J377" s="101">
        <f t="shared" ref="J377:J440" si="217">SUM(E377:I377)</f>
        <v>0</v>
      </c>
      <c r="K377" s="115"/>
      <c r="L377" s="35">
        <f t="shared" ref="L377:Q377" si="218">SUM(L378:L378)</f>
        <v>150000</v>
      </c>
      <c r="M377" s="34">
        <f t="shared" si="218"/>
        <v>150000</v>
      </c>
      <c r="N377" s="34">
        <f t="shared" si="218"/>
        <v>150000</v>
      </c>
      <c r="O377" s="34">
        <f t="shared" si="218"/>
        <v>150000</v>
      </c>
      <c r="P377" s="269">
        <f t="shared" si="218"/>
        <v>150000</v>
      </c>
      <c r="Q377" s="280">
        <f t="shared" si="218"/>
        <v>750000</v>
      </c>
      <c r="R377" s="182" t="s">
        <v>707</v>
      </c>
      <c r="S377" s="183"/>
      <c r="T377" s="51"/>
    </row>
    <row r="378" spans="1:20" x14ac:dyDescent="0.2">
      <c r="A378" s="95">
        <v>227</v>
      </c>
      <c r="B378" s="108" t="str">
        <f>IF(A378&lt;&gt;0,INDEX(Coûts,'PA-Détails'!A378, 2),)</f>
        <v>Subvention pour prise en charge des frais directs des apprenants en rattrapage</v>
      </c>
      <c r="C378" s="51"/>
      <c r="D378" s="94" t="str">
        <f>IF(A378&lt;&gt;0,INDEX(Coûts, 'PA-Détails'!A378, 5),)</f>
        <v>Subvention annuelle/élève</v>
      </c>
      <c r="E378" s="96">
        <v>10000</v>
      </c>
      <c r="F378" s="100">
        <v>10000</v>
      </c>
      <c r="G378" s="100">
        <v>10000</v>
      </c>
      <c r="H378" s="100">
        <f>G378</f>
        <v>10000</v>
      </c>
      <c r="I378" s="100">
        <f>H378</f>
        <v>10000</v>
      </c>
      <c r="J378" s="101">
        <f t="shared" si="217"/>
        <v>50000</v>
      </c>
      <c r="K378" s="115">
        <f>IF(A378&lt;&gt;0,INDEX(Coûts, 'PA-Détails'!A378, 3),)</f>
        <v>15</v>
      </c>
      <c r="L378" s="37">
        <f>ROUND(+$K378*E378,0)</f>
        <v>150000</v>
      </c>
      <c r="M378" s="36">
        <f>ROUND(+$K378*F378,0)</f>
        <v>150000</v>
      </c>
      <c r="N378" s="36">
        <f>ROUND(+$K378*G378,0)</f>
        <v>150000</v>
      </c>
      <c r="O378" s="36">
        <f>ROUND(+$K378*H378,0)</f>
        <v>150000</v>
      </c>
      <c r="P378" s="268">
        <f>ROUND(+$K378*I378,0)</f>
        <v>150000</v>
      </c>
      <c r="Q378" s="281">
        <f>SUM(L378:P378)</f>
        <v>750000</v>
      </c>
      <c r="R378" s="182"/>
      <c r="S378" s="183"/>
      <c r="T378" s="51"/>
    </row>
    <row r="379" spans="1:20" x14ac:dyDescent="0.2">
      <c r="A379" s="20" t="s">
        <v>1063</v>
      </c>
      <c r="B379" s="46"/>
      <c r="C379" s="51"/>
      <c r="D379" s="21"/>
      <c r="E379" s="96"/>
      <c r="F379" s="100"/>
      <c r="G379" s="100"/>
      <c r="H379" s="100"/>
      <c r="I379" s="100"/>
      <c r="J379" s="101">
        <f t="shared" si="217"/>
        <v>0</v>
      </c>
      <c r="K379" s="115"/>
      <c r="L379" s="35">
        <f t="shared" ref="L379:Q379" si="219">SUM(L380:L382)</f>
        <v>0</v>
      </c>
      <c r="M379" s="34">
        <f t="shared" si="219"/>
        <v>20000</v>
      </c>
      <c r="N379" s="34">
        <f t="shared" si="219"/>
        <v>0</v>
      </c>
      <c r="O379" s="34">
        <f t="shared" si="219"/>
        <v>0</v>
      </c>
      <c r="P379" s="269">
        <f t="shared" si="219"/>
        <v>0</v>
      </c>
      <c r="Q379" s="279">
        <f t="shared" si="219"/>
        <v>20000</v>
      </c>
      <c r="R379" s="182" t="s">
        <v>707</v>
      </c>
      <c r="S379" s="183"/>
      <c r="T379" s="51"/>
    </row>
    <row r="380" spans="1:20" x14ac:dyDescent="0.2">
      <c r="A380" s="95">
        <v>1</v>
      </c>
      <c r="B380" s="108" t="str">
        <f>IF(A380&lt;&gt;0,INDEX(Coûts,'PA-Détails'!A380, 2),)</f>
        <v>Assistance technique internationale (consultants)</v>
      </c>
      <c r="C380" s="51"/>
      <c r="D380" s="94" t="str">
        <f>IF(A380&lt;&gt;0,INDEX(Coûts, 'PA-Détails'!A380, 5),)</f>
        <v>Pers / j</v>
      </c>
      <c r="E380" s="96"/>
      <c r="F380" s="100">
        <v>10</v>
      </c>
      <c r="G380" s="100"/>
      <c r="H380" s="100"/>
      <c r="I380" s="100"/>
      <c r="J380" s="101">
        <f t="shared" si="217"/>
        <v>10</v>
      </c>
      <c r="K380" s="115">
        <f>IF(A380&lt;&gt;0,INDEX(Coûts, 'PA-Détails'!A380, 3),)</f>
        <v>1150</v>
      </c>
      <c r="L380" s="37">
        <f t="shared" ref="L380:P384" si="220">ROUND(+$K380*E380,0)</f>
        <v>0</v>
      </c>
      <c r="M380" s="36">
        <f t="shared" si="220"/>
        <v>11500</v>
      </c>
      <c r="N380" s="36">
        <f t="shared" si="220"/>
        <v>0</v>
      </c>
      <c r="O380" s="36">
        <f t="shared" si="220"/>
        <v>0</v>
      </c>
      <c r="P380" s="268">
        <f t="shared" si="220"/>
        <v>0</v>
      </c>
      <c r="Q380" s="281">
        <f>SUM(L380:P380)</f>
        <v>11500</v>
      </c>
      <c r="R380" s="182"/>
      <c r="S380" s="183"/>
      <c r="T380" s="51"/>
    </row>
    <row r="381" spans="1:20" x14ac:dyDescent="0.2">
      <c r="A381" s="95">
        <v>2</v>
      </c>
      <c r="B381" s="108" t="str">
        <f>IF(A381&lt;&gt;0,INDEX(Coûts,'PA-Détails'!A381, 2),)</f>
        <v>Assistance technique nationale (consultants)</v>
      </c>
      <c r="C381" s="51"/>
      <c r="D381" s="94" t="str">
        <f>IF(A381&lt;&gt;0,INDEX(Coûts, 'PA-Détails'!A381, 5),)</f>
        <v>Pers / j</v>
      </c>
      <c r="E381" s="96"/>
      <c r="F381" s="100">
        <v>20</v>
      </c>
      <c r="G381" s="100"/>
      <c r="H381" s="100"/>
      <c r="I381" s="100"/>
      <c r="J381" s="101">
        <f t="shared" si="217"/>
        <v>20</v>
      </c>
      <c r="K381" s="115">
        <f>IF(A381&lt;&gt;0,INDEX(Coûts, 'PA-Détails'!A381, 3),)</f>
        <v>300</v>
      </c>
      <c r="L381" s="37">
        <f t="shared" si="220"/>
        <v>0</v>
      </c>
      <c r="M381" s="36">
        <f t="shared" si="220"/>
        <v>6000</v>
      </c>
      <c r="N381" s="36">
        <f t="shared" si="220"/>
        <v>0</v>
      </c>
      <c r="O381" s="36">
        <f t="shared" si="220"/>
        <v>0</v>
      </c>
      <c r="P381" s="268">
        <f t="shared" si="220"/>
        <v>0</v>
      </c>
      <c r="Q381" s="281">
        <f>SUM(L381:P381)</f>
        <v>6000</v>
      </c>
      <c r="R381" s="182"/>
      <c r="S381" s="183"/>
      <c r="T381" s="51"/>
    </row>
    <row r="382" spans="1:20" x14ac:dyDescent="0.2">
      <c r="A382" s="95">
        <v>5</v>
      </c>
      <c r="B382" s="108" t="str">
        <f>IF(A382&lt;&gt;0,INDEX(Coûts,'PA-Détails'!A382, 2),)</f>
        <v>Atelier de validation</v>
      </c>
      <c r="C382" s="51"/>
      <c r="D382" s="94" t="str">
        <f>IF(A382&lt;&gt;0,INDEX(Coûts, 'PA-Détails'!A382, 5),)</f>
        <v>Pers / j</v>
      </c>
      <c r="E382" s="96"/>
      <c r="F382" s="100">
        <v>50</v>
      </c>
      <c r="G382" s="100"/>
      <c r="H382" s="100"/>
      <c r="I382" s="100"/>
      <c r="J382" s="101">
        <f t="shared" si="217"/>
        <v>50</v>
      </c>
      <c r="K382" s="115">
        <f>IF(A382&lt;&gt;0,INDEX(Coûts, 'PA-Détails'!A382, 3),)</f>
        <v>50</v>
      </c>
      <c r="L382" s="37">
        <f t="shared" si="220"/>
        <v>0</v>
      </c>
      <c r="M382" s="36">
        <f t="shared" si="220"/>
        <v>2500</v>
      </c>
      <c r="N382" s="36">
        <f t="shared" si="220"/>
        <v>0</v>
      </c>
      <c r="O382" s="36">
        <f t="shared" si="220"/>
        <v>0</v>
      </c>
      <c r="P382" s="268">
        <f t="shared" si="220"/>
        <v>0</v>
      </c>
      <c r="Q382" s="281">
        <f>SUM(L382:P382)</f>
        <v>2500</v>
      </c>
      <c r="R382" s="182"/>
      <c r="S382" s="183"/>
      <c r="T382" s="51"/>
    </row>
    <row r="383" spans="1:20" x14ac:dyDescent="0.2">
      <c r="A383" s="14" t="s">
        <v>55</v>
      </c>
      <c r="B383" s="44"/>
      <c r="C383" s="112"/>
      <c r="D383" s="15"/>
      <c r="E383" s="102"/>
      <c r="F383" s="103"/>
      <c r="G383" s="103"/>
      <c r="H383" s="103"/>
      <c r="I383" s="103"/>
      <c r="J383" s="104">
        <f t="shared" si="217"/>
        <v>0</v>
      </c>
      <c r="K383" s="145"/>
      <c r="L383" s="33">
        <f t="shared" si="220"/>
        <v>0</v>
      </c>
      <c r="M383" s="32">
        <f t="shared" si="220"/>
        <v>0</v>
      </c>
      <c r="N383" s="32">
        <f t="shared" si="220"/>
        <v>0</v>
      </c>
      <c r="O383" s="32">
        <f t="shared" si="220"/>
        <v>0</v>
      </c>
      <c r="P383" s="267">
        <f t="shared" si="220"/>
        <v>0</v>
      </c>
      <c r="Q383" s="278">
        <f>SUM(L383:P383)</f>
        <v>0</v>
      </c>
      <c r="R383" s="178"/>
      <c r="S383" s="179"/>
      <c r="T383" s="49">
        <v>1</v>
      </c>
    </row>
    <row r="384" spans="1:20" x14ac:dyDescent="0.2">
      <c r="A384" s="17" t="s">
        <v>56</v>
      </c>
      <c r="B384" s="45"/>
      <c r="C384" s="329" t="s">
        <v>708</v>
      </c>
      <c r="D384" s="18"/>
      <c r="E384" s="97"/>
      <c r="F384" s="98"/>
      <c r="G384" s="98"/>
      <c r="H384" s="98"/>
      <c r="I384" s="98"/>
      <c r="J384" s="99">
        <f t="shared" si="217"/>
        <v>0</v>
      </c>
      <c r="K384" s="116"/>
      <c r="L384" s="35">
        <f t="shared" si="220"/>
        <v>0</v>
      </c>
      <c r="M384" s="34">
        <f t="shared" si="220"/>
        <v>0</v>
      </c>
      <c r="N384" s="34">
        <f t="shared" si="220"/>
        <v>0</v>
      </c>
      <c r="O384" s="34">
        <f t="shared" si="220"/>
        <v>0</v>
      </c>
      <c r="P384" s="269">
        <f t="shared" si="220"/>
        <v>0</v>
      </c>
      <c r="Q384" s="279">
        <f>SUM(L384:P384)</f>
        <v>0</v>
      </c>
      <c r="R384" s="180"/>
      <c r="S384" s="181"/>
      <c r="T384" s="50"/>
    </row>
    <row r="385" spans="1:26" x14ac:dyDescent="0.2">
      <c r="A385" s="20" t="s">
        <v>709</v>
      </c>
      <c r="B385" s="46"/>
      <c r="C385" s="51"/>
      <c r="D385" s="21"/>
      <c r="E385" s="96"/>
      <c r="F385" s="100"/>
      <c r="G385" s="100"/>
      <c r="H385" s="100"/>
      <c r="I385" s="100"/>
      <c r="J385" s="101">
        <f t="shared" si="217"/>
        <v>0</v>
      </c>
      <c r="K385" s="115"/>
      <c r="L385" s="35">
        <f t="shared" ref="L385:Q385" si="221">SUM(L386:L389)</f>
        <v>8400</v>
      </c>
      <c r="M385" s="34">
        <f t="shared" si="221"/>
        <v>0</v>
      </c>
      <c r="N385" s="34">
        <f t="shared" si="221"/>
        <v>0</v>
      </c>
      <c r="O385" s="34">
        <f t="shared" si="221"/>
        <v>0</v>
      </c>
      <c r="P385" s="269">
        <f t="shared" si="221"/>
        <v>0</v>
      </c>
      <c r="Q385" s="279">
        <f t="shared" si="221"/>
        <v>8400</v>
      </c>
      <c r="R385" s="182" t="s">
        <v>710</v>
      </c>
      <c r="S385" s="183" t="s">
        <v>663</v>
      </c>
      <c r="T385" s="51"/>
    </row>
    <row r="386" spans="1:26" x14ac:dyDescent="0.2">
      <c r="A386" s="95">
        <v>2</v>
      </c>
      <c r="B386" s="108" t="str">
        <f>IF(A386&lt;&gt;0,INDEX(Coûts,'PA-Détails'!A386, 2),)</f>
        <v>Assistance technique nationale (consultants)</v>
      </c>
      <c r="C386" s="51"/>
      <c r="D386" s="94" t="str">
        <f>IF(A386&lt;&gt;0,INDEX(Coûts, 'PA-Détails'!A386, 5),)</f>
        <v>Pers / j</v>
      </c>
      <c r="E386" s="96">
        <v>10</v>
      </c>
      <c r="F386" s="100"/>
      <c r="G386" s="100"/>
      <c r="H386" s="100"/>
      <c r="I386" s="100"/>
      <c r="J386" s="101">
        <f t="shared" si="217"/>
        <v>10</v>
      </c>
      <c r="K386" s="115">
        <f>IF(A386&lt;&gt;0,INDEX(Coûts, 'PA-Détails'!A386, 3),)</f>
        <v>300</v>
      </c>
      <c r="L386" s="37">
        <f t="shared" ref="L386:P390" si="222">ROUND(+$K386*E386,0)</f>
        <v>3000</v>
      </c>
      <c r="M386" s="36">
        <f t="shared" si="222"/>
        <v>0</v>
      </c>
      <c r="N386" s="36">
        <f t="shared" si="222"/>
        <v>0</v>
      </c>
      <c r="O386" s="36">
        <f t="shared" si="222"/>
        <v>0</v>
      </c>
      <c r="P386" s="268">
        <f t="shared" si="222"/>
        <v>0</v>
      </c>
      <c r="Q386" s="281">
        <f>SUM(L386:P386)</f>
        <v>3000</v>
      </c>
      <c r="R386" s="182"/>
      <c r="S386" s="183"/>
      <c r="T386" s="51"/>
    </row>
    <row r="387" spans="1:26" x14ac:dyDescent="0.2">
      <c r="A387" s="95">
        <v>221</v>
      </c>
      <c r="B387" s="108" t="str">
        <f>IF(A387&lt;&gt;0,INDEX(Coûts,'PA-Détails'!A387, 2),)</f>
        <v>Mission en province des services centraux</v>
      </c>
      <c r="C387" s="51"/>
      <c r="D387" s="94" t="str">
        <f>IF(A387&lt;&gt;0,INDEX(Coûts, 'PA-Détails'!A387, 5),)</f>
        <v>P/j</v>
      </c>
      <c r="E387" s="96">
        <v>10</v>
      </c>
      <c r="F387" s="100"/>
      <c r="G387" s="100"/>
      <c r="H387" s="100"/>
      <c r="I387" s="100"/>
      <c r="J387" s="101">
        <f t="shared" si="217"/>
        <v>10</v>
      </c>
      <c r="K387" s="115">
        <f>IF(A387&lt;&gt;0,INDEX(Coûts, 'PA-Détails'!A387, 3),)</f>
        <v>240</v>
      </c>
      <c r="L387" s="37">
        <f t="shared" si="222"/>
        <v>2400</v>
      </c>
      <c r="M387" s="36">
        <f t="shared" si="222"/>
        <v>0</v>
      </c>
      <c r="N387" s="36">
        <f t="shared" si="222"/>
        <v>0</v>
      </c>
      <c r="O387" s="36">
        <f t="shared" si="222"/>
        <v>0</v>
      </c>
      <c r="P387" s="268">
        <f t="shared" si="222"/>
        <v>0</v>
      </c>
      <c r="Q387" s="281">
        <f>SUM(L387:P387)</f>
        <v>2400</v>
      </c>
      <c r="R387" s="182"/>
      <c r="S387" s="183"/>
      <c r="T387" s="51"/>
    </row>
    <row r="388" spans="1:26" x14ac:dyDescent="0.2">
      <c r="A388" s="95">
        <v>222</v>
      </c>
      <c r="B388" s="108" t="str">
        <f>IF(A388&lt;&gt;0,INDEX(Coûts,'PA-Détails'!A388, 2),)</f>
        <v>Mission en province des services déconcentrés</v>
      </c>
      <c r="C388" s="51"/>
      <c r="D388" s="94" t="str">
        <f>IF(A388&lt;&gt;0,INDEX(Coûts, 'PA-Détails'!A388, 5),)</f>
        <v>P/j</v>
      </c>
      <c r="E388" s="96">
        <v>10</v>
      </c>
      <c r="F388" s="100"/>
      <c r="G388" s="100"/>
      <c r="H388" s="100"/>
      <c r="I388" s="100"/>
      <c r="J388" s="101">
        <f t="shared" si="217"/>
        <v>10</v>
      </c>
      <c r="K388" s="115">
        <f>IF(A388&lt;&gt;0,INDEX(Coûts, 'PA-Détails'!A388, 3),)</f>
        <v>50</v>
      </c>
      <c r="L388" s="37">
        <f t="shared" si="222"/>
        <v>500</v>
      </c>
      <c r="M388" s="36">
        <f t="shared" si="222"/>
        <v>0</v>
      </c>
      <c r="N388" s="36">
        <f t="shared" si="222"/>
        <v>0</v>
      </c>
      <c r="O388" s="36">
        <f t="shared" si="222"/>
        <v>0</v>
      </c>
      <c r="P388" s="268">
        <f t="shared" si="222"/>
        <v>0</v>
      </c>
      <c r="Q388" s="281">
        <f>SUM(L388:P388)</f>
        <v>500</v>
      </c>
      <c r="R388" s="182"/>
      <c r="S388" s="183"/>
      <c r="T388" s="51"/>
    </row>
    <row r="389" spans="1:26" x14ac:dyDescent="0.2">
      <c r="A389" s="95">
        <v>5</v>
      </c>
      <c r="B389" s="108" t="str">
        <f>IF(A389&lt;&gt;0,INDEX(Coûts,'PA-Détails'!A389, 2),)</f>
        <v>Atelier de validation</v>
      </c>
      <c r="C389" s="51"/>
      <c r="D389" s="94" t="str">
        <f>IF(A389&lt;&gt;0,INDEX(Coûts, 'PA-Détails'!A389, 5),)</f>
        <v>Pers / j</v>
      </c>
      <c r="E389" s="96">
        <v>50</v>
      </c>
      <c r="F389" s="100"/>
      <c r="G389" s="100"/>
      <c r="H389" s="100"/>
      <c r="I389" s="100"/>
      <c r="J389" s="101">
        <f t="shared" si="217"/>
        <v>50</v>
      </c>
      <c r="K389" s="115">
        <f>IF(A389&lt;&gt;0,INDEX(Coûts, 'PA-Détails'!A389, 3),)</f>
        <v>50</v>
      </c>
      <c r="L389" s="37">
        <f t="shared" si="222"/>
        <v>2500</v>
      </c>
      <c r="M389" s="36">
        <f t="shared" si="222"/>
        <v>0</v>
      </c>
      <c r="N389" s="36">
        <f t="shared" si="222"/>
        <v>0</v>
      </c>
      <c r="O389" s="36">
        <f t="shared" si="222"/>
        <v>0</v>
      </c>
      <c r="P389" s="268">
        <f t="shared" si="222"/>
        <v>0</v>
      </c>
      <c r="Q389" s="281">
        <f>SUM(L389:P389)</f>
        <v>2500</v>
      </c>
      <c r="R389" s="182"/>
      <c r="S389" s="183"/>
      <c r="T389" s="51"/>
    </row>
    <row r="390" spans="1:26" x14ac:dyDescent="0.2">
      <c r="A390" s="17" t="s">
        <v>57</v>
      </c>
      <c r="B390" s="45"/>
      <c r="C390" s="329" t="s">
        <v>228</v>
      </c>
      <c r="D390" s="18"/>
      <c r="E390" s="97"/>
      <c r="F390" s="98"/>
      <c r="G390" s="98"/>
      <c r="H390" s="98"/>
      <c r="I390" s="98"/>
      <c r="J390" s="99">
        <f t="shared" si="217"/>
        <v>0</v>
      </c>
      <c r="K390" s="116"/>
      <c r="L390" s="35">
        <f t="shared" si="222"/>
        <v>0</v>
      </c>
      <c r="M390" s="34">
        <f t="shared" si="222"/>
        <v>0</v>
      </c>
      <c r="N390" s="34">
        <f t="shared" si="222"/>
        <v>0</v>
      </c>
      <c r="O390" s="34">
        <f t="shared" si="222"/>
        <v>0</v>
      </c>
      <c r="P390" s="269">
        <f t="shared" si="222"/>
        <v>0</v>
      </c>
      <c r="Q390" s="279">
        <f>SUM(L390:P390)</f>
        <v>0</v>
      </c>
      <c r="R390" s="180"/>
      <c r="S390" s="181"/>
      <c r="T390" s="50"/>
    </row>
    <row r="391" spans="1:26" x14ac:dyDescent="0.2">
      <c r="A391" s="20" t="s">
        <v>1064</v>
      </c>
      <c r="B391" s="46"/>
      <c r="C391" s="51"/>
      <c r="D391" s="21"/>
      <c r="E391" s="96"/>
      <c r="F391" s="100"/>
      <c r="G391" s="100"/>
      <c r="H391" s="100"/>
      <c r="I391" s="100"/>
      <c r="J391" s="101">
        <f t="shared" si="217"/>
        <v>0</v>
      </c>
      <c r="K391" s="115"/>
      <c r="L391" s="35">
        <f t="shared" ref="L391:Q391" si="223">SUM(L392:L395)</f>
        <v>3000</v>
      </c>
      <c r="M391" s="34">
        <f t="shared" si="223"/>
        <v>122660</v>
      </c>
      <c r="N391" s="34">
        <f t="shared" si="223"/>
        <v>0</v>
      </c>
      <c r="O391" s="34">
        <f t="shared" si="223"/>
        <v>0</v>
      </c>
      <c r="P391" s="269">
        <f t="shared" si="223"/>
        <v>0</v>
      </c>
      <c r="Q391" s="279">
        <f t="shared" si="223"/>
        <v>125660</v>
      </c>
      <c r="R391" s="182" t="s">
        <v>710</v>
      </c>
      <c r="S391" s="183" t="s">
        <v>663</v>
      </c>
      <c r="T391" s="51"/>
    </row>
    <row r="392" spans="1:26" x14ac:dyDescent="0.2">
      <c r="A392" s="95">
        <v>2</v>
      </c>
      <c r="B392" s="108" t="str">
        <f>IF(A392&lt;&gt;0,INDEX(Coûts,'PA-Détails'!A392, 2),)</f>
        <v>Assistance technique nationale (consultants)</v>
      </c>
      <c r="C392" s="51"/>
      <c r="D392" s="94" t="str">
        <f>IF(A392&lt;&gt;0,INDEX(Coûts, 'PA-Détails'!A392, 5),)</f>
        <v>Pers / j</v>
      </c>
      <c r="E392" s="96">
        <v>10</v>
      </c>
      <c r="F392" s="100">
        <v>10</v>
      </c>
      <c r="G392" s="100"/>
      <c r="H392" s="100"/>
      <c r="I392" s="100"/>
      <c r="J392" s="101">
        <f t="shared" si="217"/>
        <v>20</v>
      </c>
      <c r="K392" s="115">
        <f>IF(A392&lt;&gt;0,INDEX(Coûts, 'PA-Détails'!A392, 3),)</f>
        <v>300</v>
      </c>
      <c r="L392" s="37">
        <f t="shared" ref="L392:P396" si="224">ROUND(+$K392*E392,0)</f>
        <v>3000</v>
      </c>
      <c r="M392" s="36">
        <f t="shared" si="224"/>
        <v>3000</v>
      </c>
      <c r="N392" s="36">
        <f t="shared" si="224"/>
        <v>0</v>
      </c>
      <c r="O392" s="36">
        <f t="shared" si="224"/>
        <v>0</v>
      </c>
      <c r="P392" s="268">
        <f t="shared" si="224"/>
        <v>0</v>
      </c>
      <c r="Q392" s="281">
        <f>SUM(L392:P392)</f>
        <v>6000</v>
      </c>
      <c r="R392" s="182"/>
      <c r="S392" s="183"/>
      <c r="T392" s="51"/>
    </row>
    <row r="393" spans="1:26" x14ac:dyDescent="0.2">
      <c r="A393" s="95">
        <v>221</v>
      </c>
      <c r="B393" s="108" t="str">
        <f>IF(A393&lt;&gt;0,INDEX(Coûts,'PA-Détails'!A393, 2),)</f>
        <v>Mission en province des services centraux</v>
      </c>
      <c r="C393" s="51"/>
      <c r="D393" s="94" t="str">
        <f>IF(A393&lt;&gt;0,INDEX(Coûts, 'PA-Détails'!A393, 5),)</f>
        <v>P/j</v>
      </c>
      <c r="E393" s="96"/>
      <c r="F393" s="100">
        <f>2*7*26</f>
        <v>364</v>
      </c>
      <c r="G393" s="100"/>
      <c r="H393" s="100"/>
      <c r="I393" s="100"/>
      <c r="J393" s="101">
        <f t="shared" si="217"/>
        <v>364</v>
      </c>
      <c r="K393" s="115">
        <f>IF(A393&lt;&gt;0,INDEX(Coûts, 'PA-Détails'!A393, 3),)</f>
        <v>240</v>
      </c>
      <c r="L393" s="37">
        <f t="shared" si="224"/>
        <v>0</v>
      </c>
      <c r="M393" s="36">
        <f t="shared" si="224"/>
        <v>87360</v>
      </c>
      <c r="N393" s="36">
        <f t="shared" si="224"/>
        <v>0</v>
      </c>
      <c r="O393" s="36">
        <f t="shared" si="224"/>
        <v>0</v>
      </c>
      <c r="P393" s="268">
        <f t="shared" si="224"/>
        <v>0</v>
      </c>
      <c r="Q393" s="281">
        <f>SUM(L393:P393)</f>
        <v>87360</v>
      </c>
      <c r="R393" s="182"/>
      <c r="S393" s="183"/>
      <c r="T393" s="51"/>
    </row>
    <row r="394" spans="1:26" x14ac:dyDescent="0.2">
      <c r="A394" s="95">
        <v>222</v>
      </c>
      <c r="B394" s="108" t="str">
        <f>IF(A394&lt;&gt;0,INDEX(Coûts,'PA-Détails'!A394, 2),)</f>
        <v>Mission en province des services déconcentrés</v>
      </c>
      <c r="C394" s="51"/>
      <c r="D394" s="94" t="str">
        <f>IF(A394&lt;&gt;0,INDEX(Coûts, 'PA-Détails'!A394, 5),)</f>
        <v>P/j</v>
      </c>
      <c r="E394" s="96"/>
      <c r="F394" s="100">
        <f>3*7*26</f>
        <v>546</v>
      </c>
      <c r="G394" s="100"/>
      <c r="H394" s="100"/>
      <c r="I394" s="100"/>
      <c r="J394" s="101">
        <f t="shared" si="217"/>
        <v>546</v>
      </c>
      <c r="K394" s="115">
        <f>IF(A394&lt;&gt;0,INDEX(Coûts, 'PA-Détails'!A394, 3),)</f>
        <v>50</v>
      </c>
      <c r="L394" s="37">
        <f t="shared" si="224"/>
        <v>0</v>
      </c>
      <c r="M394" s="36">
        <f t="shared" si="224"/>
        <v>27300</v>
      </c>
      <c r="N394" s="36">
        <f t="shared" si="224"/>
        <v>0</v>
      </c>
      <c r="O394" s="36">
        <f t="shared" si="224"/>
        <v>0</v>
      </c>
      <c r="P394" s="268">
        <f t="shared" si="224"/>
        <v>0</v>
      </c>
      <c r="Q394" s="281">
        <f>SUM(L394:P394)</f>
        <v>27300</v>
      </c>
      <c r="R394" s="182"/>
      <c r="S394" s="183"/>
      <c r="T394" s="51"/>
    </row>
    <row r="395" spans="1:26" x14ac:dyDescent="0.2">
      <c r="A395" s="95">
        <v>5</v>
      </c>
      <c r="B395" s="108" t="str">
        <f>IF(A395&lt;&gt;0,INDEX(Coûts,'PA-Détails'!A395, 2),)</f>
        <v>Atelier de validation</v>
      </c>
      <c r="C395" s="51">
        <f>SUM(C396:C397)</f>
        <v>0</v>
      </c>
      <c r="D395" s="94" t="str">
        <f>IF(A395&lt;&gt;0,INDEX(Coûts, 'PA-Détails'!A395, 5),)</f>
        <v>Pers / j</v>
      </c>
      <c r="E395" s="96"/>
      <c r="F395" s="100">
        <v>100</v>
      </c>
      <c r="G395" s="100"/>
      <c r="H395" s="100"/>
      <c r="I395" s="100"/>
      <c r="J395" s="101">
        <f t="shared" si="217"/>
        <v>100</v>
      </c>
      <c r="K395" s="115">
        <f>IF(A395&lt;&gt;0,INDEX(Coûts, 'PA-Détails'!A395, 3),)</f>
        <v>50</v>
      </c>
      <c r="L395" s="37">
        <f t="shared" si="224"/>
        <v>0</v>
      </c>
      <c r="M395" s="36">
        <f t="shared" si="224"/>
        <v>5000</v>
      </c>
      <c r="N395" s="36">
        <f t="shared" si="224"/>
        <v>0</v>
      </c>
      <c r="O395" s="36">
        <f t="shared" si="224"/>
        <v>0</v>
      </c>
      <c r="P395" s="268">
        <f t="shared" si="224"/>
        <v>0</v>
      </c>
      <c r="Q395" s="281">
        <f>SUM(L395:P395)</f>
        <v>5000</v>
      </c>
      <c r="R395" s="182"/>
      <c r="S395" s="183"/>
      <c r="T395" s="51"/>
    </row>
    <row r="396" spans="1:26" s="162" customFormat="1" x14ac:dyDescent="0.2">
      <c r="A396" s="229" t="s">
        <v>58</v>
      </c>
      <c r="B396" s="152"/>
      <c r="C396" s="319" t="s">
        <v>229</v>
      </c>
      <c r="D396" s="155"/>
      <c r="E396" s="97"/>
      <c r="F396" s="98"/>
      <c r="G396" s="98"/>
      <c r="H396" s="98"/>
      <c r="I396" s="98"/>
      <c r="J396" s="99">
        <f t="shared" si="217"/>
        <v>0</v>
      </c>
      <c r="K396" s="208"/>
      <c r="L396" s="161">
        <f t="shared" si="224"/>
        <v>0</v>
      </c>
      <c r="M396" s="157">
        <f t="shared" si="224"/>
        <v>0</v>
      </c>
      <c r="N396" s="157">
        <f t="shared" si="224"/>
        <v>0</v>
      </c>
      <c r="O396" s="157">
        <f t="shared" si="224"/>
        <v>0</v>
      </c>
      <c r="P396" s="270">
        <f t="shared" si="224"/>
        <v>0</v>
      </c>
      <c r="Q396" s="284">
        <f>SUM(L396:P396)</f>
        <v>0</v>
      </c>
      <c r="R396" s="200"/>
      <c r="S396" s="201"/>
      <c r="T396" s="154"/>
      <c r="U396" s="653"/>
      <c r="V396" s="572"/>
      <c r="W396" s="572"/>
      <c r="X396" s="572"/>
      <c r="Y396" s="572"/>
      <c r="Z396" s="572"/>
    </row>
    <row r="397" spans="1:26" s="162" customFormat="1" x14ac:dyDescent="0.2">
      <c r="A397" s="123" t="s">
        <v>712</v>
      </c>
      <c r="B397" s="202"/>
      <c r="C397" s="153"/>
      <c r="D397" s="203"/>
      <c r="E397" s="96"/>
      <c r="F397" s="100"/>
      <c r="G397" s="100"/>
      <c r="H397" s="100"/>
      <c r="I397" s="100"/>
      <c r="J397" s="101">
        <f t="shared" si="217"/>
        <v>0</v>
      </c>
      <c r="K397" s="94"/>
      <c r="L397" s="161">
        <f t="shared" ref="L397:Q397" si="225">SUM(L398:L398)</f>
        <v>3500</v>
      </c>
      <c r="M397" s="157">
        <f t="shared" si="225"/>
        <v>0</v>
      </c>
      <c r="N397" s="157">
        <f t="shared" si="225"/>
        <v>0</v>
      </c>
      <c r="O397" s="157">
        <f t="shared" si="225"/>
        <v>0</v>
      </c>
      <c r="P397" s="270">
        <f t="shared" si="225"/>
        <v>0</v>
      </c>
      <c r="Q397" s="284">
        <f t="shared" si="225"/>
        <v>3500</v>
      </c>
      <c r="R397" s="223" t="s">
        <v>717</v>
      </c>
      <c r="S397" s="224" t="s">
        <v>663</v>
      </c>
      <c r="T397" s="153"/>
      <c r="U397" s="653"/>
      <c r="V397" s="572"/>
      <c r="W397" s="572"/>
      <c r="X397" s="572"/>
      <c r="Y397" s="572"/>
      <c r="Z397" s="572"/>
    </row>
    <row r="398" spans="1:26" s="162" customFormat="1" x14ac:dyDescent="0.2">
      <c r="A398" s="95">
        <v>11</v>
      </c>
      <c r="B398" s="163" t="str">
        <f>IF(A398&lt;&gt;0,INDEX(Coûts,'PA-Détails'!A398, 2),)</f>
        <v>Atelier technique</v>
      </c>
      <c r="C398" s="153"/>
      <c r="D398" s="94" t="str">
        <f>IF(A398&lt;&gt;0,INDEX(Coûts, 'PA-Détails'!A398, 5),)</f>
        <v>Pers / j</v>
      </c>
      <c r="E398" s="96">
        <v>50</v>
      </c>
      <c r="F398" s="100"/>
      <c r="G398" s="100"/>
      <c r="H398" s="100"/>
      <c r="I398" s="100"/>
      <c r="J398" s="101">
        <f t="shared" si="217"/>
        <v>50</v>
      </c>
      <c r="K398" s="94">
        <f>IF(A398&lt;&gt;0,INDEX(Coûts, 'PA-Détails'!A398, 3),)</f>
        <v>70</v>
      </c>
      <c r="L398" s="167">
        <f>ROUND(+$K398*E398,0)</f>
        <v>3500</v>
      </c>
      <c r="M398" s="168">
        <f>ROUND(+$K398*F398,0)</f>
        <v>0</v>
      </c>
      <c r="N398" s="168">
        <f>ROUND(+$K398*G398,0)</f>
        <v>0</v>
      </c>
      <c r="O398" s="168">
        <f>ROUND(+$K398*H398,0)</f>
        <v>0</v>
      </c>
      <c r="P398" s="271">
        <f>ROUND(+$K398*I398,0)</f>
        <v>0</v>
      </c>
      <c r="Q398" s="283">
        <f>SUM(L398:P398)</f>
        <v>3500</v>
      </c>
      <c r="R398" s="223"/>
      <c r="S398" s="224"/>
      <c r="T398" s="153"/>
      <c r="U398" s="653"/>
      <c r="V398" s="572"/>
      <c r="W398" s="572"/>
      <c r="X398" s="572"/>
      <c r="Y398" s="572"/>
      <c r="Z398" s="572"/>
    </row>
    <row r="399" spans="1:26" s="162" customFormat="1" x14ac:dyDescent="0.2">
      <c r="A399" s="123" t="s">
        <v>713</v>
      </c>
      <c r="B399" s="202"/>
      <c r="C399" s="153"/>
      <c r="D399" s="203"/>
      <c r="E399" s="96"/>
      <c r="F399" s="100"/>
      <c r="G399" s="100"/>
      <c r="H399" s="100"/>
      <c r="I399" s="100"/>
      <c r="J399" s="101">
        <f t="shared" si="217"/>
        <v>0</v>
      </c>
      <c r="K399" s="94"/>
      <c r="L399" s="161">
        <f t="shared" ref="L399:Q399" si="226">SUM(L400:L401)</f>
        <v>4500</v>
      </c>
      <c r="M399" s="157">
        <f t="shared" si="226"/>
        <v>0</v>
      </c>
      <c r="N399" s="157">
        <f t="shared" si="226"/>
        <v>0</v>
      </c>
      <c r="O399" s="157">
        <f t="shared" si="226"/>
        <v>0</v>
      </c>
      <c r="P399" s="270">
        <f t="shared" si="226"/>
        <v>0</v>
      </c>
      <c r="Q399" s="284">
        <f t="shared" si="226"/>
        <v>4500</v>
      </c>
      <c r="R399" s="223" t="s">
        <v>718</v>
      </c>
      <c r="S399" s="224" t="s">
        <v>663</v>
      </c>
      <c r="T399" s="153"/>
      <c r="U399" s="653"/>
      <c r="V399" s="572"/>
      <c r="W399" s="572"/>
      <c r="X399" s="572"/>
      <c r="Y399" s="572"/>
      <c r="Z399" s="572"/>
    </row>
    <row r="400" spans="1:26" s="162" customFormat="1" x14ac:dyDescent="0.2">
      <c r="A400" s="95">
        <v>2</v>
      </c>
      <c r="B400" s="163" t="str">
        <f>IF(A400&lt;&gt;0,INDEX(Coûts,'PA-Détails'!A400, 2),)</f>
        <v>Assistance technique nationale (consultants)</v>
      </c>
      <c r="C400" s="153"/>
      <c r="D400" s="94" t="str">
        <f>IF(A400&lt;&gt;0,INDEX(Coûts, 'PA-Détails'!A400, 5),)</f>
        <v>Pers / j</v>
      </c>
      <c r="E400" s="96">
        <v>10</v>
      </c>
      <c r="F400" s="100"/>
      <c r="G400" s="100"/>
      <c r="H400" s="100"/>
      <c r="I400" s="100"/>
      <c r="J400" s="101">
        <f t="shared" si="217"/>
        <v>10</v>
      </c>
      <c r="K400" s="94">
        <f>IF(A400&lt;&gt;0,INDEX(Coûts, 'PA-Détails'!A400, 3),)</f>
        <v>300</v>
      </c>
      <c r="L400" s="167">
        <f t="shared" ref="L400:P401" si="227">ROUND(+$K400*E400,0)</f>
        <v>3000</v>
      </c>
      <c r="M400" s="168">
        <f t="shared" si="227"/>
        <v>0</v>
      </c>
      <c r="N400" s="168">
        <f t="shared" si="227"/>
        <v>0</v>
      </c>
      <c r="O400" s="168">
        <f t="shared" si="227"/>
        <v>0</v>
      </c>
      <c r="P400" s="271">
        <f t="shared" si="227"/>
        <v>0</v>
      </c>
      <c r="Q400" s="283">
        <f>SUM(L400:P400)</f>
        <v>3000</v>
      </c>
      <c r="R400" s="223"/>
      <c r="S400" s="224"/>
      <c r="T400" s="153"/>
      <c r="U400" s="653"/>
      <c r="V400" s="572"/>
      <c r="W400" s="572"/>
      <c r="X400" s="572"/>
      <c r="Y400" s="572"/>
      <c r="Z400" s="572"/>
    </row>
    <row r="401" spans="1:26" s="162" customFormat="1" x14ac:dyDescent="0.2">
      <c r="A401" s="95">
        <v>5</v>
      </c>
      <c r="B401" s="163" t="str">
        <f>IF(A401&lt;&gt;0,INDEX(Coûts,'PA-Détails'!A401, 2),)</f>
        <v>Atelier de validation</v>
      </c>
      <c r="C401" s="153"/>
      <c r="D401" s="94" t="str">
        <f>IF(A401&lt;&gt;0,INDEX(Coûts, 'PA-Détails'!A401, 5),)</f>
        <v>Pers / j</v>
      </c>
      <c r="E401" s="96">
        <v>30</v>
      </c>
      <c r="F401" s="100"/>
      <c r="G401" s="100"/>
      <c r="H401" s="100"/>
      <c r="I401" s="100"/>
      <c r="J401" s="101">
        <f t="shared" si="217"/>
        <v>30</v>
      </c>
      <c r="K401" s="94">
        <f>IF(A401&lt;&gt;0,INDEX(Coûts, 'PA-Détails'!A401, 3),)</f>
        <v>50</v>
      </c>
      <c r="L401" s="167">
        <f t="shared" si="227"/>
        <v>1500</v>
      </c>
      <c r="M401" s="168">
        <f t="shared" si="227"/>
        <v>0</v>
      </c>
      <c r="N401" s="168">
        <f t="shared" si="227"/>
        <v>0</v>
      </c>
      <c r="O401" s="168">
        <f t="shared" si="227"/>
        <v>0</v>
      </c>
      <c r="P401" s="271">
        <f t="shared" si="227"/>
        <v>0</v>
      </c>
      <c r="Q401" s="283">
        <f>SUM(L401:P401)</f>
        <v>1500</v>
      </c>
      <c r="R401" s="223"/>
      <c r="S401" s="224"/>
      <c r="T401" s="153"/>
      <c r="U401" s="653"/>
      <c r="V401" s="572"/>
      <c r="W401" s="572"/>
      <c r="X401" s="572"/>
      <c r="Y401" s="572"/>
      <c r="Z401" s="572"/>
    </row>
    <row r="402" spans="1:26" s="162" customFormat="1" x14ac:dyDescent="0.2">
      <c r="A402" s="123" t="s">
        <v>714</v>
      </c>
      <c r="B402" s="202"/>
      <c r="C402" s="153"/>
      <c r="D402" s="203"/>
      <c r="E402" s="96"/>
      <c r="F402" s="100"/>
      <c r="G402" s="100"/>
      <c r="H402" s="100"/>
      <c r="I402" s="100"/>
      <c r="J402" s="101">
        <f t="shared" si="217"/>
        <v>0</v>
      </c>
      <c r="K402" s="94"/>
      <c r="L402" s="161">
        <f t="shared" ref="L402:Q402" si="228">SUM(L403:L403)</f>
        <v>0</v>
      </c>
      <c r="M402" s="157">
        <f t="shared" si="228"/>
        <v>50000</v>
      </c>
      <c r="N402" s="157">
        <f t="shared" si="228"/>
        <v>50000</v>
      </c>
      <c r="O402" s="157">
        <f t="shared" si="228"/>
        <v>50000</v>
      </c>
      <c r="P402" s="270">
        <f t="shared" si="228"/>
        <v>50000</v>
      </c>
      <c r="Q402" s="284">
        <f t="shared" si="228"/>
        <v>200000</v>
      </c>
      <c r="R402" s="223" t="s">
        <v>710</v>
      </c>
      <c r="S402" s="224" t="s">
        <v>665</v>
      </c>
      <c r="T402" s="153"/>
      <c r="U402" s="653"/>
      <c r="V402" s="572"/>
      <c r="W402" s="572"/>
      <c r="X402" s="572"/>
      <c r="Y402" s="572"/>
      <c r="Z402" s="572"/>
    </row>
    <row r="403" spans="1:26" s="162" customFormat="1" x14ac:dyDescent="0.2">
      <c r="A403" s="95">
        <v>57</v>
      </c>
      <c r="B403" s="163" t="str">
        <f>IF(A403&lt;&gt;0,INDEX(Coûts,'PA-Détails'!A403, 2),)</f>
        <v>Lot de matériel pédagogique pour centre d'acceuil</v>
      </c>
      <c r="C403" s="153"/>
      <c r="D403" s="94" t="str">
        <f>IF(A403&lt;&gt;0,INDEX(Coûts, 'PA-Détails'!A403, 5),)</f>
        <v>Forfait/Centre</v>
      </c>
      <c r="E403" s="96"/>
      <c r="F403" s="100">
        <v>100</v>
      </c>
      <c r="G403" s="100">
        <v>100</v>
      </c>
      <c r="H403" s="100">
        <v>100</v>
      </c>
      <c r="I403" s="100">
        <v>100</v>
      </c>
      <c r="J403" s="101">
        <f t="shared" si="217"/>
        <v>400</v>
      </c>
      <c r="K403" s="94">
        <f>IF(A403&lt;&gt;0,INDEX(Coûts, 'PA-Détails'!A403, 3),)</f>
        <v>500</v>
      </c>
      <c r="L403" s="167">
        <f t="shared" ref="L403:P404" si="229">ROUND(+$K403*E403,0)</f>
        <v>0</v>
      </c>
      <c r="M403" s="168">
        <f t="shared" si="229"/>
        <v>50000</v>
      </c>
      <c r="N403" s="168">
        <f t="shared" si="229"/>
        <v>50000</v>
      </c>
      <c r="O403" s="168">
        <f t="shared" si="229"/>
        <v>50000</v>
      </c>
      <c r="P403" s="271">
        <f t="shared" si="229"/>
        <v>50000</v>
      </c>
      <c r="Q403" s="283">
        <f>SUM(L403:P403)</f>
        <v>200000</v>
      </c>
      <c r="R403" s="223"/>
      <c r="S403" s="224"/>
      <c r="T403" s="153"/>
      <c r="U403" s="653"/>
      <c r="V403" s="572"/>
      <c r="W403" s="572"/>
      <c r="X403" s="572"/>
      <c r="Y403" s="572"/>
      <c r="Z403" s="572"/>
    </row>
    <row r="404" spans="1:26" s="162" customFormat="1" x14ac:dyDescent="0.2">
      <c r="A404" s="122" t="s">
        <v>716</v>
      </c>
      <c r="B404" s="152"/>
      <c r="C404" s="162" t="s">
        <v>711</v>
      </c>
      <c r="D404" s="155"/>
      <c r="E404" s="97"/>
      <c r="F404" s="98"/>
      <c r="G404" s="98"/>
      <c r="H404" s="98"/>
      <c r="I404" s="98"/>
      <c r="J404" s="99">
        <f t="shared" si="217"/>
        <v>0</v>
      </c>
      <c r="K404" s="208"/>
      <c r="L404" s="161">
        <f t="shared" si="229"/>
        <v>0</v>
      </c>
      <c r="M404" s="157">
        <f t="shared" si="229"/>
        <v>0</v>
      </c>
      <c r="N404" s="157">
        <f t="shared" si="229"/>
        <v>0</v>
      </c>
      <c r="O404" s="157">
        <f t="shared" si="229"/>
        <v>0</v>
      </c>
      <c r="P404" s="270">
        <f t="shared" si="229"/>
        <v>0</v>
      </c>
      <c r="Q404" s="284">
        <f>SUM(L404:P404)</f>
        <v>0</v>
      </c>
      <c r="R404" s="200"/>
      <c r="S404" s="201"/>
      <c r="T404" s="154"/>
      <c r="U404" s="653"/>
      <c r="V404" s="572"/>
      <c r="W404" s="572"/>
      <c r="X404" s="572"/>
      <c r="Y404" s="572"/>
      <c r="Z404" s="572"/>
    </row>
    <row r="405" spans="1:26" s="162" customFormat="1" x14ac:dyDescent="0.2">
      <c r="A405" s="123" t="s">
        <v>788</v>
      </c>
      <c r="B405" s="202"/>
      <c r="C405" s="153"/>
      <c r="D405" s="203"/>
      <c r="E405" s="96"/>
      <c r="F405" s="100"/>
      <c r="G405" s="100"/>
      <c r="H405" s="100"/>
      <c r="I405" s="100"/>
      <c r="J405" s="101">
        <f t="shared" si="217"/>
        <v>0</v>
      </c>
      <c r="K405" s="94"/>
      <c r="L405" s="161">
        <f t="shared" ref="L405:Q405" si="230">SUM(L406:L406)</f>
        <v>0</v>
      </c>
      <c r="M405" s="157">
        <f t="shared" si="230"/>
        <v>77000</v>
      </c>
      <c r="N405" s="157">
        <f t="shared" si="230"/>
        <v>77000</v>
      </c>
      <c r="O405" s="157">
        <f t="shared" si="230"/>
        <v>77000</v>
      </c>
      <c r="P405" s="270">
        <f t="shared" si="230"/>
        <v>77000</v>
      </c>
      <c r="Q405" s="284">
        <f t="shared" si="230"/>
        <v>308000</v>
      </c>
      <c r="R405" s="223" t="s">
        <v>885</v>
      </c>
      <c r="S405" s="224" t="s">
        <v>665</v>
      </c>
      <c r="T405" s="153"/>
      <c r="U405" s="653"/>
      <c r="V405" s="572"/>
      <c r="W405" s="572"/>
      <c r="X405" s="572"/>
      <c r="Y405" s="572"/>
      <c r="Z405" s="572"/>
    </row>
    <row r="406" spans="1:26" s="162" customFormat="1" x14ac:dyDescent="0.2">
      <c r="A406" s="95">
        <v>8</v>
      </c>
      <c r="B406" s="163" t="str">
        <f>IF(A406&lt;&gt;0,INDEX(Coûts,'PA-Détails'!A406, 2),)</f>
        <v>Formation</v>
      </c>
      <c r="C406" s="153"/>
      <c r="D406" s="94" t="str">
        <f>IF(A406&lt;&gt;0,INDEX(Coûts, 'PA-Détails'!A406, 5),)</f>
        <v>Pers / j</v>
      </c>
      <c r="E406" s="96"/>
      <c r="F406" s="100">
        <f>100*7</f>
        <v>700</v>
      </c>
      <c r="G406" s="100">
        <f>F406</f>
        <v>700</v>
      </c>
      <c r="H406" s="100">
        <f>G406</f>
        <v>700</v>
      </c>
      <c r="I406" s="100">
        <f>H406</f>
        <v>700</v>
      </c>
      <c r="J406" s="101">
        <f t="shared" si="217"/>
        <v>2800</v>
      </c>
      <c r="K406" s="94">
        <f>IF(A406&lt;&gt;0,INDEX(Coûts, 'PA-Détails'!A406, 3),)</f>
        <v>110</v>
      </c>
      <c r="L406" s="167">
        <f t="shared" ref="L406:P408" si="231">ROUND(+$K406*E406,0)</f>
        <v>0</v>
      </c>
      <c r="M406" s="168">
        <f t="shared" si="231"/>
        <v>77000</v>
      </c>
      <c r="N406" s="168">
        <f t="shared" si="231"/>
        <v>77000</v>
      </c>
      <c r="O406" s="168">
        <f t="shared" si="231"/>
        <v>77000</v>
      </c>
      <c r="P406" s="271">
        <f t="shared" si="231"/>
        <v>77000</v>
      </c>
      <c r="Q406" s="283">
        <f>SUM(L406:P406)</f>
        <v>308000</v>
      </c>
      <c r="R406" s="223"/>
      <c r="S406" s="224"/>
      <c r="T406" s="153"/>
      <c r="U406" s="653"/>
      <c r="V406" s="572"/>
      <c r="W406" s="572"/>
      <c r="X406" s="572"/>
      <c r="Y406" s="572"/>
      <c r="Z406" s="572"/>
    </row>
    <row r="407" spans="1:26" x14ac:dyDescent="0.2">
      <c r="A407" s="14" t="s">
        <v>59</v>
      </c>
      <c r="B407" s="44"/>
      <c r="C407" s="112"/>
      <c r="D407" s="15"/>
      <c r="E407" s="102"/>
      <c r="F407" s="103"/>
      <c r="G407" s="103"/>
      <c r="H407" s="103"/>
      <c r="I407" s="103"/>
      <c r="J407" s="104">
        <f t="shared" si="217"/>
        <v>0</v>
      </c>
      <c r="K407" s="145"/>
      <c r="L407" s="33">
        <f t="shared" si="231"/>
        <v>0</v>
      </c>
      <c r="M407" s="32">
        <f t="shared" si="231"/>
        <v>0</v>
      </c>
      <c r="N407" s="32">
        <f t="shared" si="231"/>
        <v>0</v>
      </c>
      <c r="O407" s="32">
        <f t="shared" si="231"/>
        <v>0</v>
      </c>
      <c r="P407" s="267">
        <f t="shared" si="231"/>
        <v>0</v>
      </c>
      <c r="Q407" s="278">
        <f>SUM(L407:P407)</f>
        <v>0</v>
      </c>
      <c r="R407" s="16"/>
      <c r="S407" s="15"/>
      <c r="T407" s="112">
        <v>2</v>
      </c>
    </row>
    <row r="408" spans="1:26" x14ac:dyDescent="0.2">
      <c r="A408" s="17" t="s">
        <v>60</v>
      </c>
      <c r="B408" s="45"/>
      <c r="C408" s="51" t="s">
        <v>435</v>
      </c>
      <c r="D408" s="18"/>
      <c r="E408" s="97"/>
      <c r="F408" s="98"/>
      <c r="G408" s="98"/>
      <c r="H408" s="98"/>
      <c r="I408" s="98"/>
      <c r="J408" s="99">
        <f t="shared" si="217"/>
        <v>0</v>
      </c>
      <c r="K408" s="116"/>
      <c r="L408" s="35">
        <f t="shared" si="231"/>
        <v>0</v>
      </c>
      <c r="M408" s="34">
        <f t="shared" si="231"/>
        <v>0</v>
      </c>
      <c r="N408" s="34">
        <f t="shared" si="231"/>
        <v>0</v>
      </c>
      <c r="O408" s="34">
        <f t="shared" si="231"/>
        <v>0</v>
      </c>
      <c r="P408" s="269">
        <f t="shared" si="231"/>
        <v>0</v>
      </c>
      <c r="Q408" s="279">
        <f>SUM(L408:P408)</f>
        <v>0</v>
      </c>
      <c r="R408" s="19"/>
      <c r="S408" s="18"/>
      <c r="T408" s="51"/>
    </row>
    <row r="409" spans="1:26" x14ac:dyDescent="0.2">
      <c r="A409" s="20" t="s">
        <v>436</v>
      </c>
      <c r="B409" s="46"/>
      <c r="C409" s="51"/>
      <c r="D409" s="21"/>
      <c r="E409" s="96"/>
      <c r="F409" s="100"/>
      <c r="G409" s="100"/>
      <c r="H409" s="100"/>
      <c r="I409" s="100"/>
      <c r="J409" s="101">
        <f t="shared" si="217"/>
        <v>0</v>
      </c>
      <c r="K409" s="115"/>
      <c r="L409" s="161">
        <f t="shared" ref="L409:Q409" si="232">SUM(L410:L411)</f>
        <v>16000</v>
      </c>
      <c r="M409" s="157">
        <f t="shared" si="232"/>
        <v>12500</v>
      </c>
      <c r="N409" s="157">
        <f t="shared" si="232"/>
        <v>0</v>
      </c>
      <c r="O409" s="157">
        <f t="shared" si="232"/>
        <v>0</v>
      </c>
      <c r="P409" s="270">
        <f t="shared" si="232"/>
        <v>0</v>
      </c>
      <c r="Q409" s="284">
        <f t="shared" si="232"/>
        <v>28500</v>
      </c>
      <c r="R409" s="39" t="s">
        <v>719</v>
      </c>
      <c r="S409" s="115" t="s">
        <v>665</v>
      </c>
      <c r="T409" s="51"/>
    </row>
    <row r="410" spans="1:26" x14ac:dyDescent="0.2">
      <c r="A410" s="95">
        <v>2</v>
      </c>
      <c r="B410" s="108" t="str">
        <f>IF(A410&lt;&gt;0,INDEX(Coûts,'PA-Détails'!A410, 2),)</f>
        <v>Assistance technique nationale (consultants)</v>
      </c>
      <c r="C410" s="51"/>
      <c r="D410" s="94" t="str">
        <f>IF(A410&lt;&gt;0,INDEX(Coûts, 'PA-Détails'!A410, 5),)</f>
        <v>Pers / j</v>
      </c>
      <c r="E410" s="96">
        <f>2*15</f>
        <v>30</v>
      </c>
      <c r="F410" s="100">
        <f>E410</f>
        <v>30</v>
      </c>
      <c r="G410" s="100"/>
      <c r="H410" s="100"/>
      <c r="I410" s="100"/>
      <c r="J410" s="101">
        <f t="shared" si="217"/>
        <v>60</v>
      </c>
      <c r="K410" s="115">
        <f>IF(A410&lt;&gt;0,INDEX(Coûts, 'PA-Détails'!A410, 3),)</f>
        <v>300</v>
      </c>
      <c r="L410" s="37">
        <f t="shared" ref="L410:P412" si="233">ROUND(+$K410*E410,0)</f>
        <v>9000</v>
      </c>
      <c r="M410" s="36">
        <f t="shared" si="233"/>
        <v>9000</v>
      </c>
      <c r="N410" s="36">
        <f t="shared" si="233"/>
        <v>0</v>
      </c>
      <c r="O410" s="36">
        <f t="shared" si="233"/>
        <v>0</v>
      </c>
      <c r="P410" s="268">
        <f t="shared" si="233"/>
        <v>0</v>
      </c>
      <c r="Q410" s="281">
        <f>SUM(L410:P410)</f>
        <v>18000</v>
      </c>
      <c r="R410" s="22"/>
      <c r="S410" s="21"/>
      <c r="T410" s="51"/>
    </row>
    <row r="411" spans="1:26" x14ac:dyDescent="0.2">
      <c r="A411" s="95">
        <v>11</v>
      </c>
      <c r="B411" s="108" t="str">
        <f>IF(A411&lt;&gt;0,INDEX(Coûts,'PA-Détails'!A411, 2),)</f>
        <v>Atelier technique</v>
      </c>
      <c r="C411" s="51"/>
      <c r="D411" s="94" t="str">
        <f>IF(A411&lt;&gt;0,INDEX(Coûts, 'PA-Détails'!A411, 5),)</f>
        <v>Pers / j</v>
      </c>
      <c r="E411" s="96">
        <f>2*50</f>
        <v>100</v>
      </c>
      <c r="F411" s="100">
        <v>50</v>
      </c>
      <c r="G411" s="100"/>
      <c r="H411" s="100"/>
      <c r="I411" s="100"/>
      <c r="J411" s="101">
        <f t="shared" si="217"/>
        <v>150</v>
      </c>
      <c r="K411" s="115">
        <f>IF(A411&lt;&gt;0,INDEX(Coûts, 'PA-Détails'!A411, 3),)</f>
        <v>70</v>
      </c>
      <c r="L411" s="37">
        <f t="shared" si="233"/>
        <v>7000</v>
      </c>
      <c r="M411" s="36">
        <f t="shared" si="233"/>
        <v>3500</v>
      </c>
      <c r="N411" s="36">
        <f t="shared" si="233"/>
        <v>0</v>
      </c>
      <c r="O411" s="36">
        <f t="shared" si="233"/>
        <v>0</v>
      </c>
      <c r="P411" s="268">
        <f t="shared" si="233"/>
        <v>0</v>
      </c>
      <c r="Q411" s="281">
        <f>SUM(L411:P411)</f>
        <v>10500</v>
      </c>
      <c r="R411" s="22"/>
      <c r="S411" s="21"/>
      <c r="T411" s="51"/>
    </row>
    <row r="412" spans="1:26" x14ac:dyDescent="0.2">
      <c r="A412" s="17" t="s">
        <v>720</v>
      </c>
      <c r="B412" s="45"/>
      <c r="C412" s="51" t="s">
        <v>437</v>
      </c>
      <c r="D412" s="18"/>
      <c r="E412" s="97"/>
      <c r="F412" s="98"/>
      <c r="G412" s="98"/>
      <c r="H412" s="98"/>
      <c r="I412" s="98"/>
      <c r="J412" s="99">
        <f t="shared" si="217"/>
        <v>0</v>
      </c>
      <c r="K412" s="116"/>
      <c r="L412" s="35">
        <f t="shared" si="233"/>
        <v>0</v>
      </c>
      <c r="M412" s="34">
        <f t="shared" si="233"/>
        <v>0</v>
      </c>
      <c r="N412" s="34">
        <f t="shared" si="233"/>
        <v>0</v>
      </c>
      <c r="O412" s="34">
        <f t="shared" si="233"/>
        <v>0</v>
      </c>
      <c r="P412" s="269">
        <f t="shared" si="233"/>
        <v>0</v>
      </c>
      <c r="Q412" s="279">
        <f>SUM(L412:P412)</f>
        <v>0</v>
      </c>
      <c r="R412" s="19"/>
      <c r="S412" s="18"/>
      <c r="T412" s="51"/>
    </row>
    <row r="413" spans="1:26" x14ac:dyDescent="0.2">
      <c r="A413" s="20" t="s">
        <v>438</v>
      </c>
      <c r="B413" s="46"/>
      <c r="C413" s="51"/>
      <c r="D413" s="21"/>
      <c r="E413" s="96"/>
      <c r="F413" s="100"/>
      <c r="G413" s="100"/>
      <c r="H413" s="100"/>
      <c r="I413" s="100"/>
      <c r="J413" s="101">
        <f t="shared" si="217"/>
        <v>0</v>
      </c>
      <c r="K413" s="115"/>
      <c r="L413" s="161">
        <f t="shared" ref="L413:Q413" si="234">SUM(L414:L416)</f>
        <v>0</v>
      </c>
      <c r="M413" s="157">
        <f t="shared" si="234"/>
        <v>0</v>
      </c>
      <c r="N413" s="157">
        <f t="shared" si="234"/>
        <v>21000</v>
      </c>
      <c r="O413" s="157">
        <f t="shared" si="234"/>
        <v>96000</v>
      </c>
      <c r="P413" s="270">
        <f t="shared" si="234"/>
        <v>96000</v>
      </c>
      <c r="Q413" s="284">
        <f t="shared" si="234"/>
        <v>213000</v>
      </c>
      <c r="R413" s="39" t="s">
        <v>721</v>
      </c>
      <c r="S413" s="115" t="s">
        <v>665</v>
      </c>
      <c r="T413" s="51"/>
    </row>
    <row r="414" spans="1:26" x14ac:dyDescent="0.2">
      <c r="A414" s="95">
        <v>2</v>
      </c>
      <c r="B414" s="108" t="str">
        <f>IF(A414&lt;&gt;0,INDEX(Coûts,'PA-Détails'!A414, 2),)</f>
        <v>Assistance technique nationale (consultants)</v>
      </c>
      <c r="C414" s="51"/>
      <c r="D414" s="94" t="str">
        <f>IF(A414&lt;&gt;0,INDEX(Coûts, 'PA-Détails'!A414, 5),)</f>
        <v>Pers / j</v>
      </c>
      <c r="E414" s="96"/>
      <c r="F414" s="100"/>
      <c r="G414" s="100">
        <v>20</v>
      </c>
      <c r="H414" s="100">
        <f>G414</f>
        <v>20</v>
      </c>
      <c r="I414" s="100">
        <f>H414</f>
        <v>20</v>
      </c>
      <c r="J414" s="101">
        <f t="shared" si="217"/>
        <v>60</v>
      </c>
      <c r="K414" s="115">
        <f>IF(A414&lt;&gt;0,INDEX(Coûts, 'PA-Détails'!A414, 3),)</f>
        <v>300</v>
      </c>
      <c r="L414" s="37">
        <f t="shared" ref="L414:P418" si="235">ROUND(+$K414*E414,0)</f>
        <v>0</v>
      </c>
      <c r="M414" s="36">
        <f t="shared" si="235"/>
        <v>0</v>
      </c>
      <c r="N414" s="36">
        <f t="shared" si="235"/>
        <v>6000</v>
      </c>
      <c r="O414" s="36">
        <f t="shared" si="235"/>
        <v>6000</v>
      </c>
      <c r="P414" s="268">
        <f t="shared" si="235"/>
        <v>6000</v>
      </c>
      <c r="Q414" s="281">
        <f>SUM(L414:P414)</f>
        <v>18000</v>
      </c>
      <c r="R414" s="22"/>
      <c r="S414" s="21"/>
      <c r="T414" s="51"/>
    </row>
    <row r="415" spans="1:26" x14ac:dyDescent="0.2">
      <c r="A415" s="95">
        <v>12</v>
      </c>
      <c r="B415" s="108" t="str">
        <f>IF(A415&lt;&gt;0,INDEX(Coûts,'PA-Détails'!A415, 2),)</f>
        <v>Formation - Action et Formation de formateurs</v>
      </c>
      <c r="C415" s="51"/>
      <c r="D415" s="94" t="str">
        <f>IF(A415&lt;&gt;0,INDEX(Coûts, 'PA-Détails'!A415, 5),)</f>
        <v>Pers / j</v>
      </c>
      <c r="E415" s="96"/>
      <c r="F415" s="100"/>
      <c r="G415" s="100">
        <v>100</v>
      </c>
      <c r="H415" s="100">
        <v>100</v>
      </c>
      <c r="I415" s="100">
        <v>100</v>
      </c>
      <c r="J415" s="101">
        <f t="shared" si="217"/>
        <v>300</v>
      </c>
      <c r="K415" s="115">
        <f>IF(A415&lt;&gt;0,INDEX(Coûts, 'PA-Détails'!A415, 3),)</f>
        <v>150</v>
      </c>
      <c r="L415" s="37">
        <f t="shared" si="235"/>
        <v>0</v>
      </c>
      <c r="M415" s="36">
        <f t="shared" si="235"/>
        <v>0</v>
      </c>
      <c r="N415" s="36">
        <f t="shared" si="235"/>
        <v>15000</v>
      </c>
      <c r="O415" s="36">
        <f t="shared" si="235"/>
        <v>15000</v>
      </c>
      <c r="P415" s="268">
        <f t="shared" si="235"/>
        <v>15000</v>
      </c>
      <c r="Q415" s="281">
        <f>SUM(L415:P415)</f>
        <v>45000</v>
      </c>
      <c r="R415" s="22"/>
      <c r="S415" s="21"/>
      <c r="T415" s="51"/>
    </row>
    <row r="416" spans="1:26" x14ac:dyDescent="0.2">
      <c r="A416" s="95">
        <v>13</v>
      </c>
      <c r="B416" s="108" t="str">
        <f>IF(A416&lt;&gt;0,INDEX(Coûts,'PA-Détails'!A416, 2),)</f>
        <v>Formation au niveau local</v>
      </c>
      <c r="C416" s="51"/>
      <c r="D416" s="94" t="str">
        <f>IF(A416&lt;&gt;0,INDEX(Coûts, 'PA-Détails'!A416, 5),)</f>
        <v>Pers / j</v>
      </c>
      <c r="E416" s="96"/>
      <c r="F416" s="100"/>
      <c r="G416" s="100"/>
      <c r="H416" s="100">
        <v>5000</v>
      </c>
      <c r="I416" s="100">
        <v>5000</v>
      </c>
      <c r="J416" s="101">
        <f t="shared" si="217"/>
        <v>10000</v>
      </c>
      <c r="K416" s="115">
        <f>IF(A416&lt;&gt;0,INDEX(Coûts, 'PA-Détails'!A416, 3),)</f>
        <v>15</v>
      </c>
      <c r="L416" s="37">
        <f t="shared" si="235"/>
        <v>0</v>
      </c>
      <c r="M416" s="36">
        <f t="shared" si="235"/>
        <v>0</v>
      </c>
      <c r="N416" s="36">
        <f t="shared" si="235"/>
        <v>0</v>
      </c>
      <c r="O416" s="36">
        <f t="shared" si="235"/>
        <v>75000</v>
      </c>
      <c r="P416" s="268">
        <f t="shared" si="235"/>
        <v>75000</v>
      </c>
      <c r="Q416" s="281">
        <f>SUM(L416:P416)</f>
        <v>150000</v>
      </c>
      <c r="R416" s="22"/>
      <c r="S416" s="21"/>
      <c r="T416" s="51"/>
    </row>
    <row r="417" spans="1:20" x14ac:dyDescent="0.2">
      <c r="A417" s="14" t="s">
        <v>722</v>
      </c>
      <c r="B417" s="44"/>
      <c r="C417" s="112"/>
      <c r="D417" s="15"/>
      <c r="E417" s="102"/>
      <c r="F417" s="103"/>
      <c r="G417" s="103"/>
      <c r="H417" s="103"/>
      <c r="I417" s="103"/>
      <c r="J417" s="104">
        <f t="shared" si="217"/>
        <v>0</v>
      </c>
      <c r="K417" s="145"/>
      <c r="L417" s="33">
        <f t="shared" si="235"/>
        <v>0</v>
      </c>
      <c r="M417" s="32">
        <f t="shared" si="235"/>
        <v>0</v>
      </c>
      <c r="N417" s="32">
        <f t="shared" si="235"/>
        <v>0</v>
      </c>
      <c r="O417" s="32">
        <f t="shared" si="235"/>
        <v>0</v>
      </c>
      <c r="P417" s="267">
        <f t="shared" si="235"/>
        <v>0</v>
      </c>
      <c r="Q417" s="278">
        <f>SUM(L417:P417)</f>
        <v>0</v>
      </c>
      <c r="R417" s="16"/>
      <c r="S417" s="15"/>
      <c r="T417" s="112">
        <v>2</v>
      </c>
    </row>
    <row r="418" spans="1:20" x14ac:dyDescent="0.2">
      <c r="A418" s="17" t="s">
        <v>61</v>
      </c>
      <c r="B418" s="45"/>
      <c r="C418" s="51" t="s">
        <v>439</v>
      </c>
      <c r="D418" s="18"/>
      <c r="E418" s="97"/>
      <c r="F418" s="98"/>
      <c r="G418" s="98"/>
      <c r="H418" s="98"/>
      <c r="I418" s="98"/>
      <c r="J418" s="99">
        <f t="shared" si="217"/>
        <v>0</v>
      </c>
      <c r="K418" s="116"/>
      <c r="L418" s="35">
        <f t="shared" si="235"/>
        <v>0</v>
      </c>
      <c r="M418" s="34">
        <f t="shared" si="235"/>
        <v>0</v>
      </c>
      <c r="N418" s="34">
        <f t="shared" si="235"/>
        <v>0</v>
      </c>
      <c r="O418" s="34">
        <f t="shared" si="235"/>
        <v>0</v>
      </c>
      <c r="P418" s="269">
        <f t="shared" si="235"/>
        <v>0</v>
      </c>
      <c r="Q418" s="279">
        <f>SUM(L418:P418)</f>
        <v>0</v>
      </c>
      <c r="R418" s="19"/>
      <c r="S418" s="18"/>
      <c r="T418" s="51"/>
    </row>
    <row r="419" spans="1:20" x14ac:dyDescent="0.2">
      <c r="A419" s="20" t="s">
        <v>440</v>
      </c>
      <c r="B419" s="46"/>
      <c r="C419" s="51"/>
      <c r="D419" s="21"/>
      <c r="E419" s="96"/>
      <c r="F419" s="100"/>
      <c r="G419" s="100"/>
      <c r="H419" s="100"/>
      <c r="I419" s="100"/>
      <c r="J419" s="101">
        <f t="shared" si="217"/>
        <v>0</v>
      </c>
      <c r="K419" s="115"/>
      <c r="L419" s="161">
        <f t="shared" ref="L419:Q419" si="236">SUM(L420:L422)</f>
        <v>9500</v>
      </c>
      <c r="M419" s="157">
        <f t="shared" si="236"/>
        <v>0</v>
      </c>
      <c r="N419" s="157">
        <f t="shared" si="236"/>
        <v>0</v>
      </c>
      <c r="O419" s="157">
        <f t="shared" si="236"/>
        <v>0</v>
      </c>
      <c r="P419" s="270">
        <f t="shared" si="236"/>
        <v>0</v>
      </c>
      <c r="Q419" s="284">
        <f t="shared" si="236"/>
        <v>9500</v>
      </c>
      <c r="R419" s="39" t="s">
        <v>723</v>
      </c>
      <c r="S419" s="115" t="s">
        <v>665</v>
      </c>
      <c r="T419" s="51"/>
    </row>
    <row r="420" spans="1:20" x14ac:dyDescent="0.2">
      <c r="A420" s="95">
        <v>2</v>
      </c>
      <c r="B420" s="108" t="str">
        <f>IF(A420&lt;&gt;0,INDEX(Coûts,'PA-Détails'!A420, 2),)</f>
        <v>Assistance technique nationale (consultants)</v>
      </c>
      <c r="C420" s="51"/>
      <c r="D420" s="94" t="str">
        <f>IF(A420&lt;&gt;0,INDEX(Coûts, 'PA-Détails'!A420, 5),)</f>
        <v>Pers / j</v>
      </c>
      <c r="E420" s="96">
        <v>10</v>
      </c>
      <c r="F420" s="100"/>
      <c r="G420" s="100"/>
      <c r="H420" s="100"/>
      <c r="I420" s="100"/>
      <c r="J420" s="101">
        <f t="shared" si="217"/>
        <v>10</v>
      </c>
      <c r="K420" s="115">
        <f>IF(A420&lt;&gt;0,INDEX(Coûts, 'PA-Détails'!A420, 3),)</f>
        <v>300</v>
      </c>
      <c r="L420" s="37">
        <f t="shared" ref="L420:P422" si="237">ROUND(+$K420*E420,0)</f>
        <v>3000</v>
      </c>
      <c r="M420" s="36">
        <f t="shared" si="237"/>
        <v>0</v>
      </c>
      <c r="N420" s="36">
        <f t="shared" si="237"/>
        <v>0</v>
      </c>
      <c r="O420" s="36">
        <f t="shared" si="237"/>
        <v>0</v>
      </c>
      <c r="P420" s="268">
        <f t="shared" si="237"/>
        <v>0</v>
      </c>
      <c r="Q420" s="281">
        <f>SUM(L420:P420)</f>
        <v>3000</v>
      </c>
      <c r="R420" s="22"/>
      <c r="S420" s="21"/>
      <c r="T420" s="51"/>
    </row>
    <row r="421" spans="1:20" x14ac:dyDescent="0.2">
      <c r="A421" s="95">
        <v>11</v>
      </c>
      <c r="B421" s="108" t="str">
        <f>IF(A421&lt;&gt;0,INDEX(Coûts,'PA-Détails'!A421, 2),)</f>
        <v>Atelier technique</v>
      </c>
      <c r="C421" s="51"/>
      <c r="D421" s="94" t="str">
        <f>IF(A421&lt;&gt;0,INDEX(Coûts, 'PA-Détails'!A421, 5),)</f>
        <v>Pers / j</v>
      </c>
      <c r="E421" s="96">
        <v>50</v>
      </c>
      <c r="F421" s="100"/>
      <c r="G421" s="100"/>
      <c r="H421" s="100"/>
      <c r="I421" s="100"/>
      <c r="J421" s="101">
        <f t="shared" si="217"/>
        <v>50</v>
      </c>
      <c r="K421" s="115">
        <f>IF(A421&lt;&gt;0,INDEX(Coûts, 'PA-Détails'!A421, 3),)</f>
        <v>70</v>
      </c>
      <c r="L421" s="37">
        <f t="shared" si="237"/>
        <v>3500</v>
      </c>
      <c r="M421" s="36">
        <f t="shared" si="237"/>
        <v>0</v>
      </c>
      <c r="N421" s="36">
        <f t="shared" si="237"/>
        <v>0</v>
      </c>
      <c r="O421" s="36">
        <f t="shared" si="237"/>
        <v>0</v>
      </c>
      <c r="P421" s="268">
        <f t="shared" si="237"/>
        <v>0</v>
      </c>
      <c r="Q421" s="281">
        <f>SUM(L421:P421)</f>
        <v>3500</v>
      </c>
      <c r="R421" s="22"/>
      <c r="S421" s="21"/>
      <c r="T421" s="51"/>
    </row>
    <row r="422" spans="1:20" x14ac:dyDescent="0.2">
      <c r="A422" s="95">
        <v>5</v>
      </c>
      <c r="B422" s="108" t="str">
        <f>IF(A422&lt;&gt;0,INDEX(Coûts,'PA-Détails'!A422, 2),)</f>
        <v>Atelier de validation</v>
      </c>
      <c r="C422" s="51"/>
      <c r="D422" s="94" t="str">
        <f>IF(A422&lt;&gt;0,INDEX(Coûts, 'PA-Détails'!A422, 5),)</f>
        <v>Pers / j</v>
      </c>
      <c r="E422" s="96">
        <v>60</v>
      </c>
      <c r="F422" s="100"/>
      <c r="G422" s="100"/>
      <c r="H422" s="100"/>
      <c r="I422" s="100"/>
      <c r="J422" s="101">
        <f t="shared" si="217"/>
        <v>60</v>
      </c>
      <c r="K422" s="115">
        <f>IF(A422&lt;&gt;0,INDEX(Coûts, 'PA-Détails'!A422, 3),)</f>
        <v>50</v>
      </c>
      <c r="L422" s="37">
        <f t="shared" si="237"/>
        <v>3000</v>
      </c>
      <c r="M422" s="36">
        <f t="shared" si="237"/>
        <v>0</v>
      </c>
      <c r="N422" s="36">
        <f t="shared" si="237"/>
        <v>0</v>
      </c>
      <c r="O422" s="36">
        <f t="shared" si="237"/>
        <v>0</v>
      </c>
      <c r="P422" s="268">
        <f t="shared" si="237"/>
        <v>0</v>
      </c>
      <c r="Q422" s="281">
        <f>SUM(L422:P422)</f>
        <v>3000</v>
      </c>
      <c r="R422" s="22"/>
      <c r="S422" s="21"/>
      <c r="T422" s="51"/>
    </row>
    <row r="423" spans="1:20" x14ac:dyDescent="0.2">
      <c r="A423" s="20" t="s">
        <v>441</v>
      </c>
      <c r="B423" s="46"/>
      <c r="C423" s="51"/>
      <c r="D423" s="21"/>
      <c r="E423" s="96"/>
      <c r="F423" s="100"/>
      <c r="G423" s="100"/>
      <c r="H423" s="100"/>
      <c r="I423" s="100"/>
      <c r="J423" s="101">
        <f t="shared" si="217"/>
        <v>0</v>
      </c>
      <c r="K423" s="115"/>
      <c r="L423" s="161">
        <f t="shared" ref="L423:Q423" si="238">SUM(L424:L426)</f>
        <v>11000</v>
      </c>
      <c r="M423" s="157">
        <f t="shared" si="238"/>
        <v>0</v>
      </c>
      <c r="N423" s="157">
        <f t="shared" si="238"/>
        <v>0</v>
      </c>
      <c r="O423" s="157">
        <f t="shared" si="238"/>
        <v>0</v>
      </c>
      <c r="P423" s="270">
        <f t="shared" si="238"/>
        <v>0</v>
      </c>
      <c r="Q423" s="284">
        <f t="shared" si="238"/>
        <v>11000</v>
      </c>
      <c r="R423" s="39" t="s">
        <v>724</v>
      </c>
      <c r="S423" s="115" t="s">
        <v>665</v>
      </c>
      <c r="T423" s="51"/>
    </row>
    <row r="424" spans="1:20" x14ac:dyDescent="0.2">
      <c r="A424" s="95">
        <v>2</v>
      </c>
      <c r="B424" s="108" t="str">
        <f>IF(A424&lt;&gt;0,INDEX(Coûts,'PA-Détails'!A424, 2),)</f>
        <v>Assistance technique nationale (consultants)</v>
      </c>
      <c r="C424" s="51"/>
      <c r="D424" s="94" t="str">
        <f>IF(A424&lt;&gt;0,INDEX(Coûts, 'PA-Détails'!A424, 5),)</f>
        <v>Pers / j</v>
      </c>
      <c r="E424" s="96">
        <v>15</v>
      </c>
      <c r="F424" s="100"/>
      <c r="G424" s="100"/>
      <c r="H424" s="100"/>
      <c r="I424" s="100"/>
      <c r="J424" s="101">
        <f t="shared" si="217"/>
        <v>15</v>
      </c>
      <c r="K424" s="115">
        <f>IF(A424&lt;&gt;0,INDEX(Coûts, 'PA-Détails'!A424, 3),)</f>
        <v>300</v>
      </c>
      <c r="L424" s="37">
        <f t="shared" ref="L424:P426" si="239">ROUND(+$K424*E424,0)</f>
        <v>4500</v>
      </c>
      <c r="M424" s="36">
        <f t="shared" si="239"/>
        <v>0</v>
      </c>
      <c r="N424" s="36">
        <f t="shared" si="239"/>
        <v>0</v>
      </c>
      <c r="O424" s="36">
        <f t="shared" si="239"/>
        <v>0</v>
      </c>
      <c r="P424" s="268">
        <f t="shared" si="239"/>
        <v>0</v>
      </c>
      <c r="Q424" s="281">
        <f>SUM(L424:P424)</f>
        <v>4500</v>
      </c>
      <c r="R424" s="22"/>
      <c r="S424" s="21"/>
      <c r="T424" s="51"/>
    </row>
    <row r="425" spans="1:20" x14ac:dyDescent="0.2">
      <c r="A425" s="95">
        <v>11</v>
      </c>
      <c r="B425" s="108" t="str">
        <f>IF(A425&lt;&gt;0,INDEX(Coûts,'PA-Détails'!A425, 2),)</f>
        <v>Atelier technique</v>
      </c>
      <c r="C425" s="51"/>
      <c r="D425" s="94" t="str">
        <f>IF(A425&lt;&gt;0,INDEX(Coûts, 'PA-Détails'!A425, 5),)</f>
        <v>Pers / j</v>
      </c>
      <c r="E425" s="96">
        <v>50</v>
      </c>
      <c r="F425" s="100"/>
      <c r="G425" s="100"/>
      <c r="H425" s="100"/>
      <c r="I425" s="100"/>
      <c r="J425" s="101">
        <f t="shared" si="217"/>
        <v>50</v>
      </c>
      <c r="K425" s="115">
        <f>IF(A425&lt;&gt;0,INDEX(Coûts, 'PA-Détails'!A425, 3),)</f>
        <v>70</v>
      </c>
      <c r="L425" s="37">
        <f t="shared" si="239"/>
        <v>3500</v>
      </c>
      <c r="M425" s="36">
        <f t="shared" si="239"/>
        <v>0</v>
      </c>
      <c r="N425" s="36">
        <f t="shared" si="239"/>
        <v>0</v>
      </c>
      <c r="O425" s="36">
        <f t="shared" si="239"/>
        <v>0</v>
      </c>
      <c r="P425" s="268">
        <f t="shared" si="239"/>
        <v>0</v>
      </c>
      <c r="Q425" s="281">
        <f>SUM(L425:P425)</f>
        <v>3500</v>
      </c>
      <c r="R425" s="22"/>
      <c r="S425" s="21"/>
      <c r="T425" s="51"/>
    </row>
    <row r="426" spans="1:20" x14ac:dyDescent="0.2">
      <c r="A426" s="95">
        <v>5</v>
      </c>
      <c r="B426" s="108" t="str">
        <f>IF(A426&lt;&gt;0,INDEX(Coûts,'PA-Détails'!A426, 2),)</f>
        <v>Atelier de validation</v>
      </c>
      <c r="C426" s="51"/>
      <c r="D426" s="94" t="str">
        <f>IF(A426&lt;&gt;0,INDEX(Coûts, 'PA-Détails'!A426, 5),)</f>
        <v>Pers / j</v>
      </c>
      <c r="E426" s="96">
        <v>60</v>
      </c>
      <c r="F426" s="100"/>
      <c r="G426" s="100"/>
      <c r="H426" s="100"/>
      <c r="I426" s="100"/>
      <c r="J426" s="101">
        <f t="shared" si="217"/>
        <v>60</v>
      </c>
      <c r="K426" s="115">
        <f>IF(A426&lt;&gt;0,INDEX(Coûts, 'PA-Détails'!A426, 3),)</f>
        <v>50</v>
      </c>
      <c r="L426" s="37">
        <f t="shared" si="239"/>
        <v>3000</v>
      </c>
      <c r="M426" s="36">
        <f t="shared" si="239"/>
        <v>0</v>
      </c>
      <c r="N426" s="36">
        <f t="shared" si="239"/>
        <v>0</v>
      </c>
      <c r="O426" s="36">
        <f t="shared" si="239"/>
        <v>0</v>
      </c>
      <c r="P426" s="268">
        <f t="shared" si="239"/>
        <v>0</v>
      </c>
      <c r="Q426" s="281">
        <f>SUM(L426:P426)</f>
        <v>3000</v>
      </c>
      <c r="R426" s="22"/>
      <c r="S426" s="21"/>
      <c r="T426" s="51"/>
    </row>
    <row r="427" spans="1:20" x14ac:dyDescent="0.2">
      <c r="A427" s="20" t="s">
        <v>1065</v>
      </c>
      <c r="B427" s="46"/>
      <c r="C427" s="51"/>
      <c r="D427" s="21"/>
      <c r="E427" s="96"/>
      <c r="F427" s="100"/>
      <c r="G427" s="100"/>
      <c r="H427" s="100"/>
      <c r="I427" s="100"/>
      <c r="J427" s="101">
        <f t="shared" si="217"/>
        <v>0</v>
      </c>
      <c r="K427" s="115"/>
      <c r="L427" s="161">
        <f t="shared" ref="L427:Q427" si="240">SUM(L428:L430)</f>
        <v>0</v>
      </c>
      <c r="M427" s="157">
        <f t="shared" si="240"/>
        <v>11000</v>
      </c>
      <c r="N427" s="157">
        <f t="shared" si="240"/>
        <v>0</v>
      </c>
      <c r="O427" s="157">
        <f t="shared" si="240"/>
        <v>0</v>
      </c>
      <c r="P427" s="270">
        <f t="shared" si="240"/>
        <v>0</v>
      </c>
      <c r="Q427" s="284">
        <f t="shared" si="240"/>
        <v>11000</v>
      </c>
      <c r="R427" s="39" t="s">
        <v>725</v>
      </c>
      <c r="S427" s="115" t="s">
        <v>665</v>
      </c>
      <c r="T427" s="51"/>
    </row>
    <row r="428" spans="1:20" x14ac:dyDescent="0.2">
      <c r="A428" s="95">
        <v>2</v>
      </c>
      <c r="B428" s="108" t="str">
        <f>IF(A428&lt;&gt;0,INDEX(Coûts,'PA-Détails'!A428, 2),)</f>
        <v>Assistance technique nationale (consultants)</v>
      </c>
      <c r="C428" s="51"/>
      <c r="D428" s="94" t="str">
        <f>IF(A428&lt;&gt;0,INDEX(Coûts, 'PA-Détails'!A428, 5),)</f>
        <v>Pers / j</v>
      </c>
      <c r="E428" s="96"/>
      <c r="F428" s="100">
        <v>15</v>
      </c>
      <c r="G428" s="100"/>
      <c r="H428" s="100"/>
      <c r="I428" s="100"/>
      <c r="J428" s="101">
        <f t="shared" si="217"/>
        <v>15</v>
      </c>
      <c r="K428" s="115">
        <f>IF(A428&lt;&gt;0,INDEX(Coûts, 'PA-Détails'!A428, 3),)</f>
        <v>300</v>
      </c>
      <c r="L428" s="37">
        <f t="shared" ref="L428:P430" si="241">ROUND(+$K428*E428,0)</f>
        <v>0</v>
      </c>
      <c r="M428" s="36">
        <f t="shared" si="241"/>
        <v>4500</v>
      </c>
      <c r="N428" s="36">
        <f t="shared" si="241"/>
        <v>0</v>
      </c>
      <c r="O428" s="36">
        <f t="shared" si="241"/>
        <v>0</v>
      </c>
      <c r="P428" s="268">
        <f t="shared" si="241"/>
        <v>0</v>
      </c>
      <c r="Q428" s="281">
        <f>SUM(L428:P428)</f>
        <v>4500</v>
      </c>
      <c r="R428" s="22"/>
      <c r="S428" s="21"/>
      <c r="T428" s="51"/>
    </row>
    <row r="429" spans="1:20" x14ac:dyDescent="0.2">
      <c r="A429" s="95">
        <v>11</v>
      </c>
      <c r="B429" s="108" t="str">
        <f>IF(A429&lt;&gt;0,INDEX(Coûts,'PA-Détails'!A429, 2),)</f>
        <v>Atelier technique</v>
      </c>
      <c r="C429" s="51"/>
      <c r="D429" s="94" t="str">
        <f>IF(A429&lt;&gt;0,INDEX(Coûts, 'PA-Détails'!A429, 5),)</f>
        <v>Pers / j</v>
      </c>
      <c r="E429" s="96"/>
      <c r="F429" s="100">
        <v>50</v>
      </c>
      <c r="G429" s="100"/>
      <c r="H429" s="100"/>
      <c r="I429" s="100"/>
      <c r="J429" s="101">
        <f t="shared" si="217"/>
        <v>50</v>
      </c>
      <c r="K429" s="115">
        <f>IF(A429&lt;&gt;0,INDEX(Coûts, 'PA-Détails'!A429, 3),)</f>
        <v>70</v>
      </c>
      <c r="L429" s="37">
        <f t="shared" si="241"/>
        <v>0</v>
      </c>
      <c r="M429" s="36">
        <f t="shared" si="241"/>
        <v>3500</v>
      </c>
      <c r="N429" s="36">
        <f t="shared" si="241"/>
        <v>0</v>
      </c>
      <c r="O429" s="36">
        <f t="shared" si="241"/>
        <v>0</v>
      </c>
      <c r="P429" s="268">
        <f t="shared" si="241"/>
        <v>0</v>
      </c>
      <c r="Q429" s="281">
        <f>SUM(L429:P429)</f>
        <v>3500</v>
      </c>
      <c r="R429" s="22"/>
      <c r="S429" s="21"/>
      <c r="T429" s="51"/>
    </row>
    <row r="430" spans="1:20" x14ac:dyDescent="0.2">
      <c r="A430" s="95">
        <v>5</v>
      </c>
      <c r="B430" s="108" t="str">
        <f>IF(A430&lt;&gt;0,INDEX(Coûts,'PA-Détails'!A430, 2),)</f>
        <v>Atelier de validation</v>
      </c>
      <c r="C430" s="51"/>
      <c r="D430" s="94" t="str">
        <f>IF(A430&lt;&gt;0,INDEX(Coûts, 'PA-Détails'!A430, 5),)</f>
        <v>Pers / j</v>
      </c>
      <c r="E430" s="96"/>
      <c r="F430" s="100">
        <v>60</v>
      </c>
      <c r="G430" s="100"/>
      <c r="H430" s="100"/>
      <c r="I430" s="100"/>
      <c r="J430" s="101">
        <f t="shared" si="217"/>
        <v>60</v>
      </c>
      <c r="K430" s="115">
        <f>IF(A430&lt;&gt;0,INDEX(Coûts, 'PA-Détails'!A430, 3),)</f>
        <v>50</v>
      </c>
      <c r="L430" s="37">
        <f t="shared" si="241"/>
        <v>0</v>
      </c>
      <c r="M430" s="36">
        <f t="shared" si="241"/>
        <v>3000</v>
      </c>
      <c r="N430" s="36">
        <f t="shared" si="241"/>
        <v>0</v>
      </c>
      <c r="O430" s="36">
        <f t="shared" si="241"/>
        <v>0</v>
      </c>
      <c r="P430" s="268">
        <f t="shared" si="241"/>
        <v>0</v>
      </c>
      <c r="Q430" s="281">
        <f>SUM(L430:P430)</f>
        <v>3000</v>
      </c>
      <c r="R430" s="22"/>
      <c r="S430" s="21"/>
      <c r="T430" s="51"/>
    </row>
    <row r="431" spans="1:20" x14ac:dyDescent="0.2">
      <c r="A431" s="20" t="s">
        <v>1066</v>
      </c>
      <c r="B431" s="46"/>
      <c r="C431" s="51"/>
      <c r="D431" s="21"/>
      <c r="E431" s="96"/>
      <c r="F431" s="100"/>
      <c r="G431" s="100"/>
      <c r="H431" s="100"/>
      <c r="I431" s="100"/>
      <c r="J431" s="101">
        <f t="shared" si="217"/>
        <v>0</v>
      </c>
      <c r="K431" s="115"/>
      <c r="L431" s="161">
        <f t="shared" ref="L431:Q431" si="242">SUM(L432:L433)</f>
        <v>6500</v>
      </c>
      <c r="M431" s="157">
        <f t="shared" si="242"/>
        <v>0</v>
      </c>
      <c r="N431" s="157">
        <f t="shared" si="242"/>
        <v>0</v>
      </c>
      <c r="O431" s="157">
        <f t="shared" si="242"/>
        <v>0</v>
      </c>
      <c r="P431" s="270">
        <f t="shared" si="242"/>
        <v>0</v>
      </c>
      <c r="Q431" s="284">
        <f t="shared" si="242"/>
        <v>6500</v>
      </c>
      <c r="R431" s="39" t="s">
        <v>726</v>
      </c>
      <c r="S431" s="115" t="s">
        <v>665</v>
      </c>
      <c r="T431" s="51"/>
    </row>
    <row r="432" spans="1:20" x14ac:dyDescent="0.2">
      <c r="A432" s="95">
        <v>11</v>
      </c>
      <c r="B432" s="108" t="str">
        <f>IF(A432&lt;&gt;0,INDEX(Coûts,'PA-Détails'!A432, 2),)</f>
        <v>Atelier technique</v>
      </c>
      <c r="C432" s="51"/>
      <c r="D432" s="94" t="str">
        <f>IF(A432&lt;&gt;0,INDEX(Coûts, 'PA-Détails'!A432, 5),)</f>
        <v>Pers / j</v>
      </c>
      <c r="E432" s="96">
        <v>50</v>
      </c>
      <c r="F432" s="100"/>
      <c r="G432" s="100"/>
      <c r="H432" s="100"/>
      <c r="I432" s="100"/>
      <c r="J432" s="101">
        <f t="shared" si="217"/>
        <v>50</v>
      </c>
      <c r="K432" s="115">
        <f>IF(A432&lt;&gt;0,INDEX(Coûts, 'PA-Détails'!A432, 3),)</f>
        <v>70</v>
      </c>
      <c r="L432" s="37">
        <f t="shared" ref="L432:P433" si="243">ROUND(+$K432*E432,0)</f>
        <v>3500</v>
      </c>
      <c r="M432" s="36">
        <f t="shared" si="243"/>
        <v>0</v>
      </c>
      <c r="N432" s="36">
        <f t="shared" si="243"/>
        <v>0</v>
      </c>
      <c r="O432" s="36">
        <f t="shared" si="243"/>
        <v>0</v>
      </c>
      <c r="P432" s="268">
        <f t="shared" si="243"/>
        <v>0</v>
      </c>
      <c r="Q432" s="281">
        <f>SUM(L432:P432)</f>
        <v>3500</v>
      </c>
      <c r="R432" s="22"/>
      <c r="S432" s="21"/>
      <c r="T432" s="51"/>
    </row>
    <row r="433" spans="1:20" x14ac:dyDescent="0.2">
      <c r="A433" s="95">
        <v>5</v>
      </c>
      <c r="B433" s="108" t="str">
        <f>IF(A433&lt;&gt;0,INDEX(Coûts,'PA-Détails'!A433, 2),)</f>
        <v>Atelier de validation</v>
      </c>
      <c r="C433" s="51"/>
      <c r="D433" s="94" t="str">
        <f>IF(A433&lt;&gt;0,INDEX(Coûts, 'PA-Détails'!A433, 5),)</f>
        <v>Pers / j</v>
      </c>
      <c r="E433" s="96">
        <v>60</v>
      </c>
      <c r="F433" s="100"/>
      <c r="G433" s="100"/>
      <c r="H433" s="100"/>
      <c r="I433" s="100"/>
      <c r="J433" s="101">
        <f t="shared" si="217"/>
        <v>60</v>
      </c>
      <c r="K433" s="115">
        <f>IF(A433&lt;&gt;0,INDEX(Coûts, 'PA-Détails'!A433, 3),)</f>
        <v>50</v>
      </c>
      <c r="L433" s="37">
        <f t="shared" si="243"/>
        <v>3000</v>
      </c>
      <c r="M433" s="36">
        <f t="shared" si="243"/>
        <v>0</v>
      </c>
      <c r="N433" s="36">
        <f t="shared" si="243"/>
        <v>0</v>
      </c>
      <c r="O433" s="36">
        <f t="shared" si="243"/>
        <v>0</v>
      </c>
      <c r="P433" s="268">
        <f t="shared" si="243"/>
        <v>0</v>
      </c>
      <c r="Q433" s="281">
        <f>SUM(L433:P433)</f>
        <v>3000</v>
      </c>
      <c r="R433" s="22"/>
      <c r="S433" s="21"/>
      <c r="T433" s="51"/>
    </row>
    <row r="434" spans="1:20" x14ac:dyDescent="0.2">
      <c r="A434" s="20" t="s">
        <v>993</v>
      </c>
      <c r="B434" s="46"/>
      <c r="C434" s="51"/>
      <c r="D434" s="21"/>
      <c r="E434" s="96"/>
      <c r="F434" s="100"/>
      <c r="G434" s="100"/>
      <c r="H434" s="100"/>
      <c r="I434" s="100"/>
      <c r="J434" s="101">
        <f t="shared" si="217"/>
        <v>0</v>
      </c>
      <c r="K434" s="115"/>
      <c r="L434" s="161">
        <f t="shared" ref="L434:Q434" si="244">SUM(L435:L436)</f>
        <v>6500</v>
      </c>
      <c r="M434" s="157">
        <f t="shared" si="244"/>
        <v>0</v>
      </c>
      <c r="N434" s="157">
        <f t="shared" si="244"/>
        <v>0</v>
      </c>
      <c r="O434" s="157">
        <f t="shared" si="244"/>
        <v>0</v>
      </c>
      <c r="P434" s="270">
        <f t="shared" si="244"/>
        <v>0</v>
      </c>
      <c r="Q434" s="284">
        <f t="shared" si="244"/>
        <v>6500</v>
      </c>
      <c r="R434" s="39" t="s">
        <v>724</v>
      </c>
      <c r="S434" s="115" t="s">
        <v>665</v>
      </c>
      <c r="T434" s="51"/>
    </row>
    <row r="435" spans="1:20" x14ac:dyDescent="0.2">
      <c r="A435" s="95">
        <v>11</v>
      </c>
      <c r="B435" s="108" t="str">
        <f>IF(A435&lt;&gt;0,INDEX(Coûts,'PA-Détails'!A435, 2),)</f>
        <v>Atelier technique</v>
      </c>
      <c r="C435" s="51"/>
      <c r="D435" s="94" t="str">
        <f>IF(A435&lt;&gt;0,INDEX(Coûts, 'PA-Détails'!A435, 5),)</f>
        <v>Pers / j</v>
      </c>
      <c r="E435" s="96">
        <v>50</v>
      </c>
      <c r="F435" s="100"/>
      <c r="G435" s="100"/>
      <c r="H435" s="100"/>
      <c r="I435" s="100"/>
      <c r="J435" s="101">
        <f t="shared" si="217"/>
        <v>50</v>
      </c>
      <c r="K435" s="115">
        <f>IF(A435&lt;&gt;0,INDEX(Coûts, 'PA-Détails'!A435, 3),)</f>
        <v>70</v>
      </c>
      <c r="L435" s="37">
        <f t="shared" ref="L435:P436" si="245">ROUND(+$K435*E435,0)</f>
        <v>3500</v>
      </c>
      <c r="M435" s="36">
        <f t="shared" si="245"/>
        <v>0</v>
      </c>
      <c r="N435" s="36">
        <f t="shared" si="245"/>
        <v>0</v>
      </c>
      <c r="O435" s="36">
        <f t="shared" si="245"/>
        <v>0</v>
      </c>
      <c r="P435" s="268">
        <f t="shared" si="245"/>
        <v>0</v>
      </c>
      <c r="Q435" s="281">
        <f>SUM(L435:P435)</f>
        <v>3500</v>
      </c>
      <c r="R435" s="22"/>
      <c r="S435" s="21"/>
      <c r="T435" s="51"/>
    </row>
    <row r="436" spans="1:20" x14ac:dyDescent="0.2">
      <c r="A436" s="95">
        <v>5</v>
      </c>
      <c r="B436" s="108" t="str">
        <f>IF(A436&lt;&gt;0,INDEX(Coûts,'PA-Détails'!A436, 2),)</f>
        <v>Atelier de validation</v>
      </c>
      <c r="C436" s="51"/>
      <c r="D436" s="94" t="str">
        <f>IF(A436&lt;&gt;0,INDEX(Coûts, 'PA-Détails'!A436, 5),)</f>
        <v>Pers / j</v>
      </c>
      <c r="E436" s="96">
        <v>60</v>
      </c>
      <c r="F436" s="100"/>
      <c r="G436" s="100"/>
      <c r="H436" s="100"/>
      <c r="I436" s="100"/>
      <c r="J436" s="101">
        <f t="shared" si="217"/>
        <v>60</v>
      </c>
      <c r="K436" s="115">
        <f>IF(A436&lt;&gt;0,INDEX(Coûts, 'PA-Détails'!A436, 3),)</f>
        <v>50</v>
      </c>
      <c r="L436" s="37">
        <f t="shared" si="245"/>
        <v>3000</v>
      </c>
      <c r="M436" s="36">
        <f t="shared" si="245"/>
        <v>0</v>
      </c>
      <c r="N436" s="36">
        <f t="shared" si="245"/>
        <v>0</v>
      </c>
      <c r="O436" s="36">
        <f t="shared" si="245"/>
        <v>0</v>
      </c>
      <c r="P436" s="268">
        <f t="shared" si="245"/>
        <v>0</v>
      </c>
      <c r="Q436" s="281">
        <f>SUM(L436:P436)</f>
        <v>3000</v>
      </c>
      <c r="R436" s="22"/>
      <c r="S436" s="21"/>
      <c r="T436" s="51"/>
    </row>
    <row r="437" spans="1:20" x14ac:dyDescent="0.2">
      <c r="A437" s="20" t="s">
        <v>994</v>
      </c>
      <c r="B437" s="46"/>
      <c r="C437" s="51"/>
      <c r="D437" s="21"/>
      <c r="E437" s="96"/>
      <c r="F437" s="100"/>
      <c r="G437" s="100"/>
      <c r="H437" s="100"/>
      <c r="I437" s="100"/>
      <c r="J437" s="101">
        <f t="shared" si="217"/>
        <v>0</v>
      </c>
      <c r="K437" s="115"/>
      <c r="L437" s="161">
        <f t="shared" ref="L437:Q437" si="246">SUM(L438:L439)</f>
        <v>0</v>
      </c>
      <c r="M437" s="157">
        <f t="shared" si="246"/>
        <v>6500</v>
      </c>
      <c r="N437" s="157">
        <f t="shared" si="246"/>
        <v>0</v>
      </c>
      <c r="O437" s="157">
        <f t="shared" si="246"/>
        <v>0</v>
      </c>
      <c r="P437" s="270">
        <f t="shared" si="246"/>
        <v>0</v>
      </c>
      <c r="Q437" s="284">
        <f t="shared" si="246"/>
        <v>6500</v>
      </c>
      <c r="R437" s="39" t="s">
        <v>725</v>
      </c>
      <c r="S437" s="115" t="s">
        <v>665</v>
      </c>
      <c r="T437" s="51"/>
    </row>
    <row r="438" spans="1:20" x14ac:dyDescent="0.2">
      <c r="A438" s="95">
        <v>11</v>
      </c>
      <c r="B438" s="108" t="str">
        <f>IF(A438&lt;&gt;0,INDEX(Coûts,'PA-Détails'!A438, 2),)</f>
        <v>Atelier technique</v>
      </c>
      <c r="C438" s="51"/>
      <c r="D438" s="94" t="str">
        <f>IF(A438&lt;&gt;0,INDEX(Coûts, 'PA-Détails'!A438, 5),)</f>
        <v>Pers / j</v>
      </c>
      <c r="E438" s="96"/>
      <c r="F438" s="100">
        <v>50</v>
      </c>
      <c r="G438" s="100"/>
      <c r="H438" s="100"/>
      <c r="I438" s="100"/>
      <c r="J438" s="101">
        <f t="shared" si="217"/>
        <v>50</v>
      </c>
      <c r="K438" s="115">
        <f>IF(A438&lt;&gt;0,INDEX(Coûts, 'PA-Détails'!A438, 3),)</f>
        <v>70</v>
      </c>
      <c r="L438" s="37">
        <f t="shared" ref="L438:P440" si="247">ROUND(+$K438*E438,0)</f>
        <v>0</v>
      </c>
      <c r="M438" s="36">
        <f t="shared" si="247"/>
        <v>3500</v>
      </c>
      <c r="N438" s="36">
        <f t="shared" si="247"/>
        <v>0</v>
      </c>
      <c r="O438" s="36">
        <f t="shared" si="247"/>
        <v>0</v>
      </c>
      <c r="P438" s="268">
        <f t="shared" si="247"/>
        <v>0</v>
      </c>
      <c r="Q438" s="281">
        <f>SUM(L438:P438)</f>
        <v>3500</v>
      </c>
      <c r="R438" s="22"/>
      <c r="S438" s="21"/>
      <c r="T438" s="51"/>
    </row>
    <row r="439" spans="1:20" x14ac:dyDescent="0.2">
      <c r="A439" s="95">
        <v>5</v>
      </c>
      <c r="B439" s="108" t="str">
        <f>IF(A439&lt;&gt;0,INDEX(Coûts,'PA-Détails'!A439, 2),)</f>
        <v>Atelier de validation</v>
      </c>
      <c r="C439" s="51"/>
      <c r="D439" s="94" t="str">
        <f>IF(A439&lt;&gt;0,INDEX(Coûts, 'PA-Détails'!A439, 5),)</f>
        <v>Pers / j</v>
      </c>
      <c r="E439" s="96"/>
      <c r="F439" s="100">
        <v>60</v>
      </c>
      <c r="G439" s="100"/>
      <c r="H439" s="100"/>
      <c r="I439" s="100"/>
      <c r="J439" s="101">
        <f t="shared" si="217"/>
        <v>60</v>
      </c>
      <c r="K439" s="115">
        <f>IF(A439&lt;&gt;0,INDEX(Coûts, 'PA-Détails'!A439, 3),)</f>
        <v>50</v>
      </c>
      <c r="L439" s="37">
        <f t="shared" si="247"/>
        <v>0</v>
      </c>
      <c r="M439" s="36">
        <f t="shared" si="247"/>
        <v>3000</v>
      </c>
      <c r="N439" s="36">
        <f t="shared" si="247"/>
        <v>0</v>
      </c>
      <c r="O439" s="36">
        <f t="shared" si="247"/>
        <v>0</v>
      </c>
      <c r="P439" s="268">
        <f t="shared" si="247"/>
        <v>0</v>
      </c>
      <c r="Q439" s="281">
        <f>SUM(L439:P439)</f>
        <v>3000</v>
      </c>
      <c r="R439" s="22"/>
      <c r="S439" s="21"/>
      <c r="T439" s="51"/>
    </row>
    <row r="440" spans="1:20" x14ac:dyDescent="0.2">
      <c r="A440" s="17" t="s">
        <v>1067</v>
      </c>
      <c r="B440" s="45"/>
      <c r="C440" s="51" t="s">
        <v>442</v>
      </c>
      <c r="D440" s="18"/>
      <c r="E440" s="97"/>
      <c r="F440" s="98"/>
      <c r="G440" s="98"/>
      <c r="H440" s="98"/>
      <c r="I440" s="98"/>
      <c r="J440" s="99">
        <f t="shared" si="217"/>
        <v>0</v>
      </c>
      <c r="K440" s="116"/>
      <c r="L440" s="35">
        <f t="shared" si="247"/>
        <v>0</v>
      </c>
      <c r="M440" s="34">
        <f t="shared" si="247"/>
        <v>0</v>
      </c>
      <c r="N440" s="34">
        <f t="shared" si="247"/>
        <v>0</v>
      </c>
      <c r="O440" s="34">
        <f t="shared" si="247"/>
        <v>0</v>
      </c>
      <c r="P440" s="269">
        <f t="shared" si="247"/>
        <v>0</v>
      </c>
      <c r="Q440" s="279">
        <f>SUM(L440:P440)</f>
        <v>0</v>
      </c>
      <c r="R440" s="19"/>
      <c r="S440" s="18"/>
      <c r="T440" s="51"/>
    </row>
    <row r="441" spans="1:20" x14ac:dyDescent="0.2">
      <c r="A441" s="20" t="s">
        <v>1068</v>
      </c>
      <c r="B441" s="46"/>
      <c r="C441" s="51"/>
      <c r="D441" s="21"/>
      <c r="E441" s="96"/>
      <c r="F441" s="100"/>
      <c r="G441" s="100"/>
      <c r="H441" s="100"/>
      <c r="I441" s="100"/>
      <c r="J441" s="101">
        <f t="shared" ref="J441:J504" si="248">SUM(E441:I441)</f>
        <v>0</v>
      </c>
      <c r="K441" s="115"/>
      <c r="L441" s="161">
        <f t="shared" ref="L441:Q441" si="249">SUM(L442:L444)</f>
        <v>27000</v>
      </c>
      <c r="M441" s="157">
        <f t="shared" si="249"/>
        <v>27000</v>
      </c>
      <c r="N441" s="157">
        <f t="shared" si="249"/>
        <v>27000</v>
      </c>
      <c r="O441" s="157">
        <f t="shared" si="249"/>
        <v>0</v>
      </c>
      <c r="P441" s="270">
        <f t="shared" si="249"/>
        <v>0</v>
      </c>
      <c r="Q441" s="284">
        <f t="shared" si="249"/>
        <v>81000</v>
      </c>
      <c r="R441" s="39" t="s">
        <v>719</v>
      </c>
      <c r="S441" s="115" t="s">
        <v>665</v>
      </c>
      <c r="T441" s="51"/>
    </row>
    <row r="442" spans="1:20" x14ac:dyDescent="0.2">
      <c r="A442" s="95">
        <v>2</v>
      </c>
      <c r="B442" s="108" t="str">
        <f>IF(A442&lt;&gt;0,INDEX(Coûts,'PA-Détails'!A442, 2),)</f>
        <v>Assistance technique nationale (consultants)</v>
      </c>
      <c r="C442" s="51"/>
      <c r="D442" s="94" t="str">
        <f>IF(A442&lt;&gt;0,INDEX(Coûts, 'PA-Détails'!A442, 5),)</f>
        <v>Pers / j</v>
      </c>
      <c r="E442" s="96">
        <f>3*10</f>
        <v>30</v>
      </c>
      <c r="F442" s="100">
        <f t="shared" ref="F442:G444" si="250">E442</f>
        <v>30</v>
      </c>
      <c r="G442" s="100">
        <f t="shared" si="250"/>
        <v>30</v>
      </c>
      <c r="H442" s="100"/>
      <c r="I442" s="100"/>
      <c r="J442" s="101">
        <f t="shared" si="248"/>
        <v>90</v>
      </c>
      <c r="K442" s="115">
        <f>IF(A442&lt;&gt;0,INDEX(Coûts, 'PA-Détails'!A442, 3),)</f>
        <v>300</v>
      </c>
      <c r="L442" s="37">
        <f t="shared" ref="L442:P444" si="251">ROUND(+$K442*E442,0)</f>
        <v>9000</v>
      </c>
      <c r="M442" s="36">
        <f t="shared" si="251"/>
        <v>9000</v>
      </c>
      <c r="N442" s="36">
        <f t="shared" si="251"/>
        <v>9000</v>
      </c>
      <c r="O442" s="36">
        <f t="shared" si="251"/>
        <v>0</v>
      </c>
      <c r="P442" s="268">
        <f t="shared" si="251"/>
        <v>0</v>
      </c>
      <c r="Q442" s="281">
        <f>SUM(L442:P442)</f>
        <v>27000</v>
      </c>
      <c r="R442" s="22"/>
      <c r="S442" s="115"/>
      <c r="T442" s="51"/>
    </row>
    <row r="443" spans="1:20" x14ac:dyDescent="0.2">
      <c r="A443" s="95">
        <v>11</v>
      </c>
      <c r="B443" s="108" t="str">
        <f>IF(A443&lt;&gt;0,INDEX(Coûts,'PA-Détails'!A443, 2),)</f>
        <v>Atelier technique</v>
      </c>
      <c r="C443" s="51"/>
      <c r="D443" s="94" t="str">
        <f>IF(A443&lt;&gt;0,INDEX(Coûts, 'PA-Détails'!A443, 5),)</f>
        <v>Pers / j</v>
      </c>
      <c r="E443" s="96">
        <f>3*50</f>
        <v>150</v>
      </c>
      <c r="F443" s="100">
        <f t="shared" si="250"/>
        <v>150</v>
      </c>
      <c r="G443" s="100">
        <f t="shared" si="250"/>
        <v>150</v>
      </c>
      <c r="H443" s="100"/>
      <c r="I443" s="100"/>
      <c r="J443" s="101">
        <f t="shared" si="248"/>
        <v>450</v>
      </c>
      <c r="K443" s="115">
        <f>IF(A443&lt;&gt;0,INDEX(Coûts, 'PA-Détails'!A443, 3),)</f>
        <v>70</v>
      </c>
      <c r="L443" s="37">
        <f t="shared" si="251"/>
        <v>10500</v>
      </c>
      <c r="M443" s="36">
        <f t="shared" si="251"/>
        <v>10500</v>
      </c>
      <c r="N443" s="36">
        <f t="shared" si="251"/>
        <v>10500</v>
      </c>
      <c r="O443" s="36">
        <f t="shared" si="251"/>
        <v>0</v>
      </c>
      <c r="P443" s="268">
        <f t="shared" si="251"/>
        <v>0</v>
      </c>
      <c r="Q443" s="281">
        <f>SUM(L443:P443)</f>
        <v>31500</v>
      </c>
      <c r="R443" s="22"/>
      <c r="S443" s="115"/>
      <c r="T443" s="51"/>
    </row>
    <row r="444" spans="1:20" x14ac:dyDescent="0.2">
      <c r="A444" s="95">
        <v>5</v>
      </c>
      <c r="B444" s="108" t="str">
        <f>IF(A444&lt;&gt;0,INDEX(Coûts,'PA-Détails'!A444, 2),)</f>
        <v>Atelier de validation</v>
      </c>
      <c r="C444" s="51"/>
      <c r="D444" s="94" t="str">
        <f>IF(A444&lt;&gt;0,INDEX(Coûts, 'PA-Détails'!A444, 5),)</f>
        <v>Pers / j</v>
      </c>
      <c r="E444" s="96">
        <f>50*3</f>
        <v>150</v>
      </c>
      <c r="F444" s="100">
        <f t="shared" si="250"/>
        <v>150</v>
      </c>
      <c r="G444" s="100">
        <f t="shared" si="250"/>
        <v>150</v>
      </c>
      <c r="H444" s="100"/>
      <c r="I444" s="100"/>
      <c r="J444" s="101">
        <f t="shared" si="248"/>
        <v>450</v>
      </c>
      <c r="K444" s="115">
        <f>IF(A444&lt;&gt;0,INDEX(Coûts, 'PA-Détails'!A444, 3),)</f>
        <v>50</v>
      </c>
      <c r="L444" s="37">
        <f t="shared" si="251"/>
        <v>7500</v>
      </c>
      <c r="M444" s="36">
        <f t="shared" si="251"/>
        <v>7500</v>
      </c>
      <c r="N444" s="36">
        <f t="shared" si="251"/>
        <v>7500</v>
      </c>
      <c r="O444" s="36">
        <f t="shared" si="251"/>
        <v>0</v>
      </c>
      <c r="P444" s="268">
        <f t="shared" si="251"/>
        <v>0</v>
      </c>
      <c r="Q444" s="281">
        <f>SUM(L444:P444)</f>
        <v>22500</v>
      </c>
      <c r="R444" s="22"/>
      <c r="S444" s="115"/>
      <c r="T444" s="51"/>
    </row>
    <row r="445" spans="1:20" x14ac:dyDescent="0.2">
      <c r="A445" s="20" t="s">
        <v>443</v>
      </c>
      <c r="B445" s="46"/>
      <c r="C445" s="51"/>
      <c r="D445" s="21"/>
      <c r="E445" s="96"/>
      <c r="F445" s="100"/>
      <c r="G445" s="100"/>
      <c r="H445" s="100"/>
      <c r="I445" s="100"/>
      <c r="J445" s="101">
        <f t="shared" si="248"/>
        <v>0</v>
      </c>
      <c r="K445" s="115"/>
      <c r="L445" s="161">
        <f t="shared" ref="L445:Q445" si="252">SUM(L446:L447)</f>
        <v>0</v>
      </c>
      <c r="M445" s="157">
        <f t="shared" si="252"/>
        <v>214000</v>
      </c>
      <c r="N445" s="157">
        <f t="shared" si="252"/>
        <v>214000</v>
      </c>
      <c r="O445" s="157">
        <f t="shared" si="252"/>
        <v>214000</v>
      </c>
      <c r="P445" s="270">
        <f t="shared" si="252"/>
        <v>0</v>
      </c>
      <c r="Q445" s="284">
        <f t="shared" si="252"/>
        <v>642000</v>
      </c>
      <c r="R445" s="39" t="s">
        <v>721</v>
      </c>
      <c r="S445" s="115" t="s">
        <v>665</v>
      </c>
      <c r="T445" s="51"/>
    </row>
    <row r="446" spans="1:20" x14ac:dyDescent="0.2">
      <c r="A446" s="95">
        <v>12</v>
      </c>
      <c r="B446" s="108" t="str">
        <f>IF(A446&lt;&gt;0,INDEX(Coûts,'PA-Détails'!A446, 2),)</f>
        <v>Formation - Action et Formation de formateurs</v>
      </c>
      <c r="C446" s="51"/>
      <c r="D446" s="94" t="str">
        <f>IF(A446&lt;&gt;0,INDEX(Coûts, 'PA-Détails'!A446, 5),)</f>
        <v>Pers / j</v>
      </c>
      <c r="E446" s="96"/>
      <c r="F446" s="100">
        <f>7000/35*2</f>
        <v>400</v>
      </c>
      <c r="G446" s="100">
        <f>F446</f>
        <v>400</v>
      </c>
      <c r="H446" s="100">
        <f>G446</f>
        <v>400</v>
      </c>
      <c r="I446" s="100"/>
      <c r="J446" s="101">
        <f t="shared" si="248"/>
        <v>1200</v>
      </c>
      <c r="K446" s="115">
        <f>IF(A446&lt;&gt;0,INDEX(Coûts, 'PA-Détails'!A446, 3),)</f>
        <v>150</v>
      </c>
      <c r="L446" s="37">
        <f t="shared" ref="L446:P448" si="253">ROUND(+$K446*E446,0)</f>
        <v>0</v>
      </c>
      <c r="M446" s="36">
        <f t="shared" si="253"/>
        <v>60000</v>
      </c>
      <c r="N446" s="36">
        <f t="shared" si="253"/>
        <v>60000</v>
      </c>
      <c r="O446" s="36">
        <f t="shared" si="253"/>
        <v>60000</v>
      </c>
      <c r="P446" s="268">
        <f t="shared" si="253"/>
        <v>0</v>
      </c>
      <c r="Q446" s="281">
        <f>SUM(L446:P446)</f>
        <v>180000</v>
      </c>
      <c r="R446" s="22"/>
      <c r="S446" s="21"/>
      <c r="T446" s="51"/>
    </row>
    <row r="447" spans="1:20" x14ac:dyDescent="0.2">
      <c r="A447" s="95">
        <v>8</v>
      </c>
      <c r="B447" s="108" t="str">
        <f>IF(A447&lt;&gt;0,INDEX(Coûts,'PA-Détails'!A447, 2),)</f>
        <v>Formation</v>
      </c>
      <c r="C447" s="51"/>
      <c r="D447" s="94" t="str">
        <f>IF(A447&lt;&gt;0,INDEX(Coûts, 'PA-Détails'!A447, 5),)</f>
        <v>Pers / j</v>
      </c>
      <c r="E447" s="96"/>
      <c r="F447" s="100">
        <f>7000/5</f>
        <v>1400</v>
      </c>
      <c r="G447" s="100">
        <f>F447</f>
        <v>1400</v>
      </c>
      <c r="H447" s="100">
        <f>G447</f>
        <v>1400</v>
      </c>
      <c r="I447" s="100"/>
      <c r="J447" s="101">
        <f t="shared" si="248"/>
        <v>4200</v>
      </c>
      <c r="K447" s="115">
        <f>IF(A447&lt;&gt;0,INDEX(Coûts, 'PA-Détails'!A447, 3),)</f>
        <v>110</v>
      </c>
      <c r="L447" s="37">
        <f t="shared" si="253"/>
        <v>0</v>
      </c>
      <c r="M447" s="36">
        <f t="shared" si="253"/>
        <v>154000</v>
      </c>
      <c r="N447" s="36">
        <f t="shared" si="253"/>
        <v>154000</v>
      </c>
      <c r="O447" s="36">
        <f t="shared" si="253"/>
        <v>154000</v>
      </c>
      <c r="P447" s="268">
        <f t="shared" si="253"/>
        <v>0</v>
      </c>
      <c r="Q447" s="281">
        <f>SUM(L447:P447)</f>
        <v>462000</v>
      </c>
      <c r="R447" s="22"/>
      <c r="S447" s="21"/>
      <c r="T447" s="51"/>
    </row>
    <row r="448" spans="1:20" x14ac:dyDescent="0.2">
      <c r="A448" s="17" t="s">
        <v>444</v>
      </c>
      <c r="B448" s="45"/>
      <c r="C448" s="51"/>
      <c r="D448" s="18"/>
      <c r="E448" s="97"/>
      <c r="F448" s="98"/>
      <c r="G448" s="98"/>
      <c r="H448" s="98"/>
      <c r="I448" s="98"/>
      <c r="J448" s="99">
        <f t="shared" si="248"/>
        <v>0</v>
      </c>
      <c r="K448" s="116"/>
      <c r="L448" s="35">
        <f t="shared" si="253"/>
        <v>0</v>
      </c>
      <c r="M448" s="34">
        <f t="shared" si="253"/>
        <v>0</v>
      </c>
      <c r="N448" s="34">
        <f t="shared" si="253"/>
        <v>0</v>
      </c>
      <c r="O448" s="34">
        <f t="shared" si="253"/>
        <v>0</v>
      </c>
      <c r="P448" s="269">
        <f t="shared" si="253"/>
        <v>0</v>
      </c>
      <c r="Q448" s="279">
        <f>SUM(L448:P448)</f>
        <v>0</v>
      </c>
      <c r="R448" s="19"/>
      <c r="S448" s="18"/>
      <c r="T448" s="51"/>
    </row>
    <row r="449" spans="1:20" x14ac:dyDescent="0.2">
      <c r="A449" s="20" t="s">
        <v>995</v>
      </c>
      <c r="B449" s="46"/>
      <c r="C449" s="51"/>
      <c r="D449" s="21"/>
      <c r="E449" s="96"/>
      <c r="F449" s="100"/>
      <c r="G449" s="100"/>
      <c r="H449" s="100"/>
      <c r="I449" s="100"/>
      <c r="J449" s="101">
        <f t="shared" si="248"/>
        <v>0</v>
      </c>
      <c r="K449" s="115"/>
      <c r="L449" s="161">
        <f t="shared" ref="L449:Q449" si="254">SUM(L450:L452)</f>
        <v>0</v>
      </c>
      <c r="M449" s="157">
        <f t="shared" si="254"/>
        <v>0</v>
      </c>
      <c r="N449" s="157">
        <f t="shared" si="254"/>
        <v>44000</v>
      </c>
      <c r="O449" s="157">
        <f t="shared" si="254"/>
        <v>0</v>
      </c>
      <c r="P449" s="270">
        <f t="shared" si="254"/>
        <v>0</v>
      </c>
      <c r="Q449" s="284">
        <f t="shared" si="254"/>
        <v>44000</v>
      </c>
      <c r="R449" s="39" t="s">
        <v>719</v>
      </c>
      <c r="S449" s="115" t="s">
        <v>665</v>
      </c>
      <c r="T449" s="51"/>
    </row>
    <row r="450" spans="1:20" x14ac:dyDescent="0.2">
      <c r="A450" s="95">
        <v>2</v>
      </c>
      <c r="B450" s="108" t="str">
        <f>IF(A450&lt;&gt;0,INDEX(Coûts,'PA-Détails'!A450, 2),)</f>
        <v>Assistance technique nationale (consultants)</v>
      </c>
      <c r="C450" s="51"/>
      <c r="D450" s="94" t="str">
        <f>IF(A450&lt;&gt;0,INDEX(Coûts, 'PA-Détails'!A450, 5),)</f>
        <v>Pers / j</v>
      </c>
      <c r="E450" s="96"/>
      <c r="F450" s="100"/>
      <c r="G450" s="100">
        <f>4*15</f>
        <v>60</v>
      </c>
      <c r="H450" s="100"/>
      <c r="I450" s="100"/>
      <c r="J450" s="101">
        <f t="shared" si="248"/>
        <v>60</v>
      </c>
      <c r="K450" s="115">
        <f>IF(A450&lt;&gt;0,INDEX(Coûts, 'PA-Détails'!A450, 3),)</f>
        <v>300</v>
      </c>
      <c r="L450" s="37">
        <f t="shared" ref="L450:P452" si="255">ROUND(+$K450*E450,0)</f>
        <v>0</v>
      </c>
      <c r="M450" s="36">
        <f t="shared" si="255"/>
        <v>0</v>
      </c>
      <c r="N450" s="36">
        <f t="shared" si="255"/>
        <v>18000</v>
      </c>
      <c r="O450" s="36">
        <f t="shared" si="255"/>
        <v>0</v>
      </c>
      <c r="P450" s="268">
        <f t="shared" si="255"/>
        <v>0</v>
      </c>
      <c r="Q450" s="281">
        <f>SUM(L450:P450)</f>
        <v>18000</v>
      </c>
      <c r="R450" s="22"/>
      <c r="S450" s="21"/>
      <c r="T450" s="51"/>
    </row>
    <row r="451" spans="1:20" x14ac:dyDescent="0.2">
      <c r="A451" s="95">
        <v>11</v>
      </c>
      <c r="B451" s="108" t="str">
        <f>IF(A451&lt;&gt;0,INDEX(Coûts,'PA-Détails'!A451, 2),)</f>
        <v>Atelier technique</v>
      </c>
      <c r="C451" s="51"/>
      <c r="D451" s="94" t="str">
        <f>IF(A451&lt;&gt;0,INDEX(Coûts, 'PA-Détails'!A451, 5),)</f>
        <v>Pers / j</v>
      </c>
      <c r="E451" s="96"/>
      <c r="F451" s="100"/>
      <c r="G451" s="100">
        <f>4*50</f>
        <v>200</v>
      </c>
      <c r="H451" s="100"/>
      <c r="I451" s="100"/>
      <c r="J451" s="101">
        <f t="shared" si="248"/>
        <v>200</v>
      </c>
      <c r="K451" s="115">
        <f>IF(A451&lt;&gt;0,INDEX(Coûts, 'PA-Détails'!A451, 3),)</f>
        <v>70</v>
      </c>
      <c r="L451" s="37">
        <f t="shared" si="255"/>
        <v>0</v>
      </c>
      <c r="M451" s="36">
        <f t="shared" si="255"/>
        <v>0</v>
      </c>
      <c r="N451" s="36">
        <f t="shared" si="255"/>
        <v>14000</v>
      </c>
      <c r="O451" s="36">
        <f t="shared" si="255"/>
        <v>0</v>
      </c>
      <c r="P451" s="268">
        <f t="shared" si="255"/>
        <v>0</v>
      </c>
      <c r="Q451" s="281">
        <f>SUM(L451:P451)</f>
        <v>14000</v>
      </c>
      <c r="R451" s="22"/>
      <c r="S451" s="21"/>
      <c r="T451" s="51"/>
    </row>
    <row r="452" spans="1:20" x14ac:dyDescent="0.2">
      <c r="A452" s="95">
        <v>5</v>
      </c>
      <c r="B452" s="108" t="str">
        <f>IF(A452&lt;&gt;0,INDEX(Coûts,'PA-Détails'!A452, 2),)</f>
        <v>Atelier de validation</v>
      </c>
      <c r="C452" s="51"/>
      <c r="D452" s="94" t="str">
        <f>IF(A452&lt;&gt;0,INDEX(Coûts, 'PA-Détails'!A452, 5),)</f>
        <v>Pers / j</v>
      </c>
      <c r="E452" s="96"/>
      <c r="F452" s="100"/>
      <c r="G452" s="100">
        <f>4*60</f>
        <v>240</v>
      </c>
      <c r="H452" s="100"/>
      <c r="I452" s="100"/>
      <c r="J452" s="101">
        <f t="shared" si="248"/>
        <v>240</v>
      </c>
      <c r="K452" s="115">
        <f>IF(A452&lt;&gt;0,INDEX(Coûts, 'PA-Détails'!A452, 3),)</f>
        <v>50</v>
      </c>
      <c r="L452" s="37">
        <f t="shared" si="255"/>
        <v>0</v>
      </c>
      <c r="M452" s="36">
        <f t="shared" si="255"/>
        <v>0</v>
      </c>
      <c r="N452" s="36">
        <f t="shared" si="255"/>
        <v>12000</v>
      </c>
      <c r="O452" s="36">
        <f t="shared" si="255"/>
        <v>0</v>
      </c>
      <c r="P452" s="268">
        <f t="shared" si="255"/>
        <v>0</v>
      </c>
      <c r="Q452" s="281">
        <f>SUM(L452:P452)</f>
        <v>12000</v>
      </c>
      <c r="R452" s="22"/>
      <c r="S452" s="21"/>
      <c r="T452" s="51"/>
    </row>
    <row r="453" spans="1:20" x14ac:dyDescent="0.2">
      <c r="A453" s="20" t="s">
        <v>996</v>
      </c>
      <c r="B453" s="46"/>
      <c r="C453" s="51"/>
      <c r="D453" s="21"/>
      <c r="E453" s="96"/>
      <c r="F453" s="100"/>
      <c r="G453" s="100"/>
      <c r="H453" s="100"/>
      <c r="I453" s="100"/>
      <c r="J453" s="101">
        <f t="shared" si="248"/>
        <v>0</v>
      </c>
      <c r="K453" s="115"/>
      <c r="L453" s="161">
        <f t="shared" ref="L453:Q453" si="256">SUM(L454:L456)</f>
        <v>0</v>
      </c>
      <c r="M453" s="157">
        <f t="shared" si="256"/>
        <v>0</v>
      </c>
      <c r="N453" s="157">
        <f t="shared" si="256"/>
        <v>0</v>
      </c>
      <c r="O453" s="157">
        <f t="shared" si="256"/>
        <v>572143</v>
      </c>
      <c r="P453" s="270">
        <f t="shared" si="256"/>
        <v>495000</v>
      </c>
      <c r="Q453" s="284">
        <f t="shared" si="256"/>
        <v>1067143</v>
      </c>
      <c r="R453" s="39" t="s">
        <v>721</v>
      </c>
      <c r="S453" s="115" t="s">
        <v>665</v>
      </c>
      <c r="T453" s="51"/>
    </row>
    <row r="454" spans="1:20" x14ac:dyDescent="0.2">
      <c r="A454" s="95">
        <v>12</v>
      </c>
      <c r="B454" s="108" t="str">
        <f>IF(A454&lt;&gt;0,INDEX(Coûts,'PA-Détails'!A454, 2),)</f>
        <v>Formation - Action et Formation de formateurs</v>
      </c>
      <c r="C454" s="51"/>
      <c r="D454" s="94" t="str">
        <f>IF(A454&lt;&gt;0,INDEX(Coûts, 'PA-Détails'!A454, 5),)</f>
        <v>Pers / j</v>
      </c>
      <c r="E454" s="96"/>
      <c r="F454" s="100"/>
      <c r="G454" s="100"/>
      <c r="H454" s="100">
        <f>9000/35*2</f>
        <v>514.28571428571433</v>
      </c>
      <c r="I454" s="100"/>
      <c r="J454" s="101">
        <f t="shared" si="248"/>
        <v>514.28571428571433</v>
      </c>
      <c r="K454" s="115">
        <f>IF(A454&lt;&gt;0,INDEX(Coûts, 'PA-Détails'!A454, 3),)</f>
        <v>150</v>
      </c>
      <c r="L454" s="37">
        <f t="shared" ref="L454:P456" si="257">ROUND(+$K454*E454,0)</f>
        <v>0</v>
      </c>
      <c r="M454" s="36">
        <f t="shared" si="257"/>
        <v>0</v>
      </c>
      <c r="N454" s="36">
        <f t="shared" si="257"/>
        <v>0</v>
      </c>
      <c r="O454" s="36">
        <f t="shared" si="257"/>
        <v>77143</v>
      </c>
      <c r="P454" s="268">
        <f t="shared" si="257"/>
        <v>0</v>
      </c>
      <c r="Q454" s="281">
        <f>SUM(L454:P454)</f>
        <v>77143</v>
      </c>
      <c r="R454" s="22"/>
      <c r="S454" s="21"/>
      <c r="T454" s="51"/>
    </row>
    <row r="455" spans="1:20" x14ac:dyDescent="0.2">
      <c r="A455" s="95">
        <v>8</v>
      </c>
      <c r="B455" s="108" t="str">
        <f>IF(A455&lt;&gt;0,INDEX(Coûts,'PA-Détails'!A455, 2),)</f>
        <v>Formation</v>
      </c>
      <c r="C455" s="51"/>
      <c r="D455" s="94" t="str">
        <f>IF(A455&lt;&gt;0,INDEX(Coûts, 'PA-Détails'!A455, 5),)</f>
        <v>Pers / j</v>
      </c>
      <c r="E455" s="96"/>
      <c r="F455" s="100"/>
      <c r="G455" s="100"/>
      <c r="H455" s="100">
        <f>9000/2</f>
        <v>4500</v>
      </c>
      <c r="I455" s="100">
        <f>H455</f>
        <v>4500</v>
      </c>
      <c r="J455" s="101">
        <f t="shared" si="248"/>
        <v>9000</v>
      </c>
      <c r="K455" s="115">
        <f>IF(A455&lt;&gt;0,INDEX(Coûts, 'PA-Détails'!A455, 3),)</f>
        <v>110</v>
      </c>
      <c r="L455" s="37">
        <f t="shared" si="257"/>
        <v>0</v>
      </c>
      <c r="M455" s="36">
        <f t="shared" si="257"/>
        <v>0</v>
      </c>
      <c r="N455" s="36">
        <f t="shared" si="257"/>
        <v>0</v>
      </c>
      <c r="O455" s="36">
        <f t="shared" si="257"/>
        <v>495000</v>
      </c>
      <c r="P455" s="268">
        <f t="shared" si="257"/>
        <v>495000</v>
      </c>
      <c r="Q455" s="281">
        <f>SUM(L455:P455)</f>
        <v>990000</v>
      </c>
      <c r="R455" s="22"/>
      <c r="S455" s="21"/>
      <c r="T455" s="51"/>
    </row>
    <row r="456" spans="1:20" x14ac:dyDescent="0.2">
      <c r="A456" s="17" t="s">
        <v>997</v>
      </c>
      <c r="B456" s="45"/>
      <c r="C456" s="51" t="s">
        <v>442</v>
      </c>
      <c r="D456" s="18"/>
      <c r="E456" s="97"/>
      <c r="F456" s="98"/>
      <c r="G456" s="98"/>
      <c r="H456" s="100"/>
      <c r="I456" s="98"/>
      <c r="J456" s="99">
        <f t="shared" si="248"/>
        <v>0</v>
      </c>
      <c r="K456" s="116"/>
      <c r="L456" s="35">
        <f t="shared" si="257"/>
        <v>0</v>
      </c>
      <c r="M456" s="34">
        <f t="shared" si="257"/>
        <v>0</v>
      </c>
      <c r="N456" s="34">
        <f t="shared" si="257"/>
        <v>0</v>
      </c>
      <c r="O456" s="34">
        <f t="shared" si="257"/>
        <v>0</v>
      </c>
      <c r="P456" s="269">
        <f t="shared" si="257"/>
        <v>0</v>
      </c>
      <c r="Q456" s="279">
        <f>SUM(L456:P456)</f>
        <v>0</v>
      </c>
      <c r="R456" s="19"/>
      <c r="S456" s="18"/>
      <c r="T456" s="51"/>
    </row>
    <row r="457" spans="1:20" x14ac:dyDescent="0.2">
      <c r="A457" s="20" t="s">
        <v>998</v>
      </c>
      <c r="B457" s="46"/>
      <c r="C457" s="51"/>
      <c r="D457" s="21"/>
      <c r="E457" s="96"/>
      <c r="F457" s="100"/>
      <c r="G457" s="100"/>
      <c r="H457" s="100"/>
      <c r="I457" s="100"/>
      <c r="J457" s="101">
        <f t="shared" si="248"/>
        <v>0</v>
      </c>
      <c r="K457" s="115"/>
      <c r="L457" s="161">
        <f t="shared" ref="L457:Q457" si="258">SUM(L458:L458)</f>
        <v>0</v>
      </c>
      <c r="M457" s="157">
        <f t="shared" si="258"/>
        <v>0</v>
      </c>
      <c r="N457" s="157">
        <f t="shared" si="258"/>
        <v>24667</v>
      </c>
      <c r="O457" s="157">
        <f t="shared" si="258"/>
        <v>24667</v>
      </c>
      <c r="P457" s="270">
        <f t="shared" si="258"/>
        <v>24667</v>
      </c>
      <c r="Q457" s="284">
        <f t="shared" si="258"/>
        <v>74001</v>
      </c>
      <c r="R457" s="39" t="s">
        <v>727</v>
      </c>
      <c r="S457" s="115" t="s">
        <v>665</v>
      </c>
      <c r="T457" s="51"/>
    </row>
    <row r="458" spans="1:20" x14ac:dyDescent="0.2">
      <c r="A458" s="95">
        <v>59</v>
      </c>
      <c r="B458" s="108" t="str">
        <f>IF(A458&lt;&gt;0,INDEX(Coûts,'PA-Détails'!A458, 2),)</f>
        <v>Acquisition et distribution de plaquettes/brochures/guides/livres</v>
      </c>
      <c r="C458" s="51"/>
      <c r="D458" s="94" t="str">
        <f>IF(A458&lt;&gt;0,INDEX(Coûts, 'PA-Détails'!A458, 5),)</f>
        <v>Unité</v>
      </c>
      <c r="E458" s="96"/>
      <c r="F458" s="100"/>
      <c r="G458" s="100">
        <f>((7000*4)+(9000*1))/3</f>
        <v>12333.333333333334</v>
      </c>
      <c r="H458" s="100">
        <f>G458</f>
        <v>12333.333333333334</v>
      </c>
      <c r="I458" s="100">
        <f>H458</f>
        <v>12333.333333333334</v>
      </c>
      <c r="J458" s="101">
        <f t="shared" si="248"/>
        <v>37000</v>
      </c>
      <c r="K458" s="115">
        <f>IF(A458&lt;&gt;0,INDEX(Coûts, 'PA-Détails'!A458, 3),)</f>
        <v>2</v>
      </c>
      <c r="L458" s="37">
        <f>ROUND(+$K458*E458,0)</f>
        <v>0</v>
      </c>
      <c r="M458" s="36">
        <f>ROUND(+$K458*F458,0)</f>
        <v>0</v>
      </c>
      <c r="N458" s="36">
        <f>ROUND(+$K458*G458,0)</f>
        <v>24667</v>
      </c>
      <c r="O458" s="36">
        <f>ROUND(+$K458*H458,0)</f>
        <v>24667</v>
      </c>
      <c r="P458" s="268">
        <f>ROUND(+$K458*I458,0)</f>
        <v>24667</v>
      </c>
      <c r="Q458" s="281">
        <f>SUM(L458:P458)</f>
        <v>74001</v>
      </c>
      <c r="R458" s="39"/>
      <c r="S458" s="115"/>
      <c r="T458" s="51"/>
    </row>
    <row r="459" spans="1:20" x14ac:dyDescent="0.2">
      <c r="A459" s="20" t="s">
        <v>999</v>
      </c>
      <c r="B459" s="46"/>
      <c r="C459" s="51"/>
      <c r="D459" s="21"/>
      <c r="E459" s="96"/>
      <c r="F459" s="100"/>
      <c r="G459" s="100"/>
      <c r="H459" s="100"/>
      <c r="I459" s="100"/>
      <c r="J459" s="101">
        <f t="shared" si="248"/>
        <v>0</v>
      </c>
      <c r="K459" s="115"/>
      <c r="L459" s="161">
        <f t="shared" ref="L459:Q459" si="259">SUM(L460:L460)</f>
        <v>0</v>
      </c>
      <c r="M459" s="157">
        <f t="shared" si="259"/>
        <v>0</v>
      </c>
      <c r="N459" s="157">
        <f t="shared" si="259"/>
        <v>2358000</v>
      </c>
      <c r="O459" s="157">
        <f t="shared" si="259"/>
        <v>2358000</v>
      </c>
      <c r="P459" s="270">
        <f t="shared" si="259"/>
        <v>2358000</v>
      </c>
      <c r="Q459" s="284">
        <f t="shared" si="259"/>
        <v>7074000</v>
      </c>
      <c r="R459" s="39" t="s">
        <v>727</v>
      </c>
      <c r="S459" s="115" t="s">
        <v>665</v>
      </c>
      <c r="T459" s="51"/>
    </row>
    <row r="460" spans="1:20" x14ac:dyDescent="0.2">
      <c r="A460" s="95">
        <v>58</v>
      </c>
      <c r="B460" s="108" t="str">
        <f>IF(A460&lt;&gt;0,INDEX(Coûts,'PA-Détails'!A460, 2),)</f>
        <v>Acquisition et distribution des manuels scolaires</v>
      </c>
      <c r="C460" s="51"/>
      <c r="D460" s="94" t="str">
        <f>IF(A460&lt;&gt;0,INDEX(Coûts, 'PA-Détails'!A460, 5),)</f>
        <v>Unité</v>
      </c>
      <c r="E460" s="96"/>
      <c r="F460" s="100"/>
      <c r="G460" s="100">
        <f>ROUND(H!K46/3,-1)</f>
        <v>786000</v>
      </c>
      <c r="H460" s="100">
        <f>G460</f>
        <v>786000</v>
      </c>
      <c r="I460" s="100">
        <f>H460</f>
        <v>786000</v>
      </c>
      <c r="J460" s="101">
        <f>SUM(E460:I460)</f>
        <v>2358000</v>
      </c>
      <c r="K460" s="115">
        <f>IF(A460&lt;&gt;0,INDEX(Coûts, 'PA-Détails'!A460, 3),)</f>
        <v>3</v>
      </c>
      <c r="L460" s="37">
        <f>ROUND(+$K460*E460,0)</f>
        <v>0</v>
      </c>
      <c r="M460" s="36">
        <f>ROUND(+$K460*F460,0)</f>
        <v>0</v>
      </c>
      <c r="N460" s="36">
        <f>ROUND(+$K460*G460,0)</f>
        <v>2358000</v>
      </c>
      <c r="O460" s="36">
        <f>ROUND(+$K460*H460,0)</f>
        <v>2358000</v>
      </c>
      <c r="P460" s="268">
        <f>ROUND(+$K460*I460,0)</f>
        <v>2358000</v>
      </c>
      <c r="Q460" s="281">
        <f>SUM(L460:P460)</f>
        <v>7074000</v>
      </c>
      <c r="R460" s="39"/>
      <c r="S460" s="115"/>
      <c r="T460" s="51"/>
    </row>
    <row r="461" spans="1:20" x14ac:dyDescent="0.2">
      <c r="A461" s="20" t="s">
        <v>1000</v>
      </c>
      <c r="B461" s="46"/>
      <c r="C461" s="51"/>
      <c r="D461" s="21"/>
      <c r="E461" s="96"/>
      <c r="F461" s="100"/>
      <c r="G461" s="100"/>
      <c r="H461" s="100"/>
      <c r="I461" s="100"/>
      <c r="J461" s="101">
        <f t="shared" si="248"/>
        <v>0</v>
      </c>
      <c r="K461" s="115"/>
      <c r="L461" s="161">
        <f t="shared" ref="L461:Q461" si="260">SUM(L462:L462)</f>
        <v>0</v>
      </c>
      <c r="M461" s="157">
        <f t="shared" si="260"/>
        <v>0</v>
      </c>
      <c r="N461" s="157">
        <f t="shared" si="260"/>
        <v>24667</v>
      </c>
      <c r="O461" s="157">
        <f t="shared" si="260"/>
        <v>24667</v>
      </c>
      <c r="P461" s="270">
        <f t="shared" si="260"/>
        <v>24667</v>
      </c>
      <c r="Q461" s="284">
        <f t="shared" si="260"/>
        <v>74001</v>
      </c>
      <c r="R461" s="39" t="s">
        <v>727</v>
      </c>
      <c r="S461" s="115" t="s">
        <v>665</v>
      </c>
      <c r="T461" s="51"/>
    </row>
    <row r="462" spans="1:20" x14ac:dyDescent="0.2">
      <c r="A462" s="95">
        <v>59</v>
      </c>
      <c r="B462" s="108" t="str">
        <f>IF(A462&lt;&gt;0,INDEX(Coûts,'PA-Détails'!A462, 2),)</f>
        <v>Acquisition et distribution de plaquettes/brochures/guides/livres</v>
      </c>
      <c r="C462" s="51"/>
      <c r="D462" s="94" t="str">
        <f>IF(A462&lt;&gt;0,INDEX(Coûts, 'PA-Détails'!A462, 5),)</f>
        <v>Unité</v>
      </c>
      <c r="E462" s="96"/>
      <c r="F462" s="100"/>
      <c r="G462" s="100">
        <f>((7000*4)+(9000*1))/3</f>
        <v>12333.333333333334</v>
      </c>
      <c r="H462" s="100">
        <f>G462</f>
        <v>12333.333333333334</v>
      </c>
      <c r="I462" s="100">
        <f>H462</f>
        <v>12333.333333333334</v>
      </c>
      <c r="J462" s="101">
        <f t="shared" si="248"/>
        <v>37000</v>
      </c>
      <c r="K462" s="115">
        <f>IF(A462&lt;&gt;0,INDEX(Coûts, 'PA-Détails'!A462, 3),)</f>
        <v>2</v>
      </c>
      <c r="L462" s="37">
        <f t="shared" ref="L462:P464" si="261">ROUND(+$K462*E462,0)</f>
        <v>0</v>
      </c>
      <c r="M462" s="36">
        <f t="shared" si="261"/>
        <v>0</v>
      </c>
      <c r="N462" s="36">
        <f t="shared" si="261"/>
        <v>24667</v>
      </c>
      <c r="O462" s="36">
        <f t="shared" si="261"/>
        <v>24667</v>
      </c>
      <c r="P462" s="268">
        <f t="shared" si="261"/>
        <v>24667</v>
      </c>
      <c r="Q462" s="281">
        <f>SUM(L462:P462)</f>
        <v>74001</v>
      </c>
      <c r="R462" s="22"/>
      <c r="S462" s="21"/>
      <c r="T462" s="51"/>
    </row>
    <row r="463" spans="1:20" x14ac:dyDescent="0.2">
      <c r="A463" s="14" t="s">
        <v>728</v>
      </c>
      <c r="B463" s="44"/>
      <c r="C463" s="112"/>
      <c r="D463" s="15"/>
      <c r="E463" s="102"/>
      <c r="F463" s="103"/>
      <c r="G463" s="103"/>
      <c r="H463" s="103"/>
      <c r="I463" s="103"/>
      <c r="J463" s="104">
        <f t="shared" si="248"/>
        <v>0</v>
      </c>
      <c r="K463" s="145"/>
      <c r="L463" s="33">
        <f t="shared" si="261"/>
        <v>0</v>
      </c>
      <c r="M463" s="32">
        <f t="shared" si="261"/>
        <v>0</v>
      </c>
      <c r="N463" s="32">
        <f t="shared" si="261"/>
        <v>0</v>
      </c>
      <c r="O463" s="32">
        <f t="shared" si="261"/>
        <v>0</v>
      </c>
      <c r="P463" s="267">
        <f t="shared" si="261"/>
        <v>0</v>
      </c>
      <c r="Q463" s="278">
        <f>SUM(L463:P463)</f>
        <v>0</v>
      </c>
      <c r="R463" s="16"/>
      <c r="S463" s="15"/>
      <c r="T463" s="112">
        <v>2</v>
      </c>
    </row>
    <row r="464" spans="1:20" x14ac:dyDescent="0.2">
      <c r="A464" s="17" t="s">
        <v>62</v>
      </c>
      <c r="B464" s="45"/>
      <c r="C464" s="51" t="s">
        <v>445</v>
      </c>
      <c r="D464" s="18"/>
      <c r="E464" s="97"/>
      <c r="F464" s="98"/>
      <c r="G464" s="98"/>
      <c r="H464" s="98"/>
      <c r="I464" s="98"/>
      <c r="J464" s="99">
        <f t="shared" si="248"/>
        <v>0</v>
      </c>
      <c r="K464" s="116"/>
      <c r="L464" s="35">
        <f t="shared" si="261"/>
        <v>0</v>
      </c>
      <c r="M464" s="34">
        <f t="shared" si="261"/>
        <v>0</v>
      </c>
      <c r="N464" s="34">
        <f t="shared" si="261"/>
        <v>0</v>
      </c>
      <c r="O464" s="34">
        <f t="shared" si="261"/>
        <v>0</v>
      </c>
      <c r="P464" s="269">
        <f t="shared" si="261"/>
        <v>0</v>
      </c>
      <c r="Q464" s="279">
        <f>SUM(L464:P464)</f>
        <v>0</v>
      </c>
      <c r="R464" s="19"/>
      <c r="S464" s="18"/>
      <c r="T464" s="51"/>
    </row>
    <row r="465" spans="1:20" x14ac:dyDescent="0.2">
      <c r="A465" s="20" t="s">
        <v>1069</v>
      </c>
      <c r="B465" s="46"/>
      <c r="C465" s="51"/>
      <c r="D465" s="21"/>
      <c r="E465" s="96"/>
      <c r="F465" s="100"/>
      <c r="G465" s="100"/>
      <c r="H465" s="100"/>
      <c r="I465" s="100"/>
      <c r="J465" s="101">
        <f t="shared" si="248"/>
        <v>0</v>
      </c>
      <c r="K465" s="115"/>
      <c r="L465" s="161">
        <f t="shared" ref="L465:Q465" si="262">SUM(L466:L467)</f>
        <v>0</v>
      </c>
      <c r="M465" s="157">
        <f t="shared" si="262"/>
        <v>15000</v>
      </c>
      <c r="N465" s="157">
        <f t="shared" si="262"/>
        <v>0</v>
      </c>
      <c r="O465" s="157">
        <f t="shared" si="262"/>
        <v>0</v>
      </c>
      <c r="P465" s="270">
        <f t="shared" si="262"/>
        <v>0</v>
      </c>
      <c r="Q465" s="284">
        <f t="shared" si="262"/>
        <v>15000</v>
      </c>
      <c r="R465" s="39" t="s">
        <v>729</v>
      </c>
      <c r="S465" s="115" t="s">
        <v>665</v>
      </c>
      <c r="T465" s="51"/>
    </row>
    <row r="466" spans="1:20" x14ac:dyDescent="0.2">
      <c r="A466" s="95">
        <v>2</v>
      </c>
      <c r="B466" s="108" t="str">
        <f>IF(A466&lt;&gt;0,INDEX(Coûts,'PA-Détails'!A466, 2),)</f>
        <v>Assistance technique nationale (consultants)</v>
      </c>
      <c r="C466" s="51"/>
      <c r="D466" s="94" t="str">
        <f>IF(A466&lt;&gt;0,INDEX(Coûts, 'PA-Détails'!A466, 5),)</f>
        <v>Pers / j</v>
      </c>
      <c r="E466" s="96"/>
      <c r="F466" s="100">
        <f>4*10</f>
        <v>40</v>
      </c>
      <c r="G466" s="100"/>
      <c r="H466" s="100"/>
      <c r="I466" s="100"/>
      <c r="J466" s="101">
        <f t="shared" si="248"/>
        <v>40</v>
      </c>
      <c r="K466" s="115">
        <f>IF(A466&lt;&gt;0,INDEX(Coûts, 'PA-Détails'!A466, 3),)</f>
        <v>300</v>
      </c>
      <c r="L466" s="37">
        <f t="shared" ref="L466:P468" si="263">ROUND(+$K466*E466,0)</f>
        <v>0</v>
      </c>
      <c r="M466" s="36">
        <f t="shared" si="263"/>
        <v>12000</v>
      </c>
      <c r="N466" s="36">
        <f t="shared" si="263"/>
        <v>0</v>
      </c>
      <c r="O466" s="36">
        <f t="shared" si="263"/>
        <v>0</v>
      </c>
      <c r="P466" s="268">
        <f t="shared" si="263"/>
        <v>0</v>
      </c>
      <c r="Q466" s="281">
        <f>SUM(L466:P466)</f>
        <v>12000</v>
      </c>
      <c r="R466" s="22"/>
      <c r="S466" s="115"/>
      <c r="T466" s="51"/>
    </row>
    <row r="467" spans="1:20" x14ac:dyDescent="0.2">
      <c r="A467" s="95">
        <v>5</v>
      </c>
      <c r="B467" s="108" t="str">
        <f>IF(A467&lt;&gt;0,INDEX(Coûts,'PA-Détails'!A467, 2),)</f>
        <v>Atelier de validation</v>
      </c>
      <c r="C467" s="51"/>
      <c r="D467" s="94" t="str">
        <f>IF(A467&lt;&gt;0,INDEX(Coûts, 'PA-Détails'!A467, 5),)</f>
        <v>Pers / j</v>
      </c>
      <c r="E467" s="96"/>
      <c r="F467" s="100">
        <v>60</v>
      </c>
      <c r="G467" s="100"/>
      <c r="H467" s="100"/>
      <c r="I467" s="100"/>
      <c r="J467" s="101">
        <f t="shared" si="248"/>
        <v>60</v>
      </c>
      <c r="K467" s="115">
        <f>IF(A467&lt;&gt;0,INDEX(Coûts, 'PA-Détails'!A467, 3),)</f>
        <v>50</v>
      </c>
      <c r="L467" s="37">
        <f t="shared" si="263"/>
        <v>0</v>
      </c>
      <c r="M467" s="36">
        <f t="shared" si="263"/>
        <v>3000</v>
      </c>
      <c r="N467" s="36">
        <f t="shared" si="263"/>
        <v>0</v>
      </c>
      <c r="O467" s="36">
        <f t="shared" si="263"/>
        <v>0</v>
      </c>
      <c r="P467" s="268">
        <f t="shared" si="263"/>
        <v>0</v>
      </c>
      <c r="Q467" s="281">
        <f>SUM(L467:P467)</f>
        <v>3000</v>
      </c>
      <c r="R467" s="22"/>
      <c r="S467" s="115"/>
      <c r="T467" s="51"/>
    </row>
    <row r="468" spans="1:20" x14ac:dyDescent="0.2">
      <c r="A468" s="17" t="s">
        <v>446</v>
      </c>
      <c r="B468" s="45"/>
      <c r="C468" s="51" t="s">
        <v>447</v>
      </c>
      <c r="D468" s="18"/>
      <c r="E468" s="97"/>
      <c r="F468" s="98"/>
      <c r="G468" s="98"/>
      <c r="H468" s="98"/>
      <c r="I468" s="98"/>
      <c r="J468" s="99">
        <f t="shared" si="248"/>
        <v>0</v>
      </c>
      <c r="K468" s="116"/>
      <c r="L468" s="35">
        <f t="shared" si="263"/>
        <v>0</v>
      </c>
      <c r="M468" s="34">
        <f t="shared" si="263"/>
        <v>0</v>
      </c>
      <c r="N468" s="34">
        <f t="shared" si="263"/>
        <v>0</v>
      </c>
      <c r="O468" s="34">
        <f t="shared" si="263"/>
        <v>0</v>
      </c>
      <c r="P468" s="269">
        <f t="shared" si="263"/>
        <v>0</v>
      </c>
      <c r="Q468" s="279">
        <f>SUM(L468:P468)</f>
        <v>0</v>
      </c>
      <c r="R468" s="19"/>
      <c r="S468" s="116"/>
      <c r="T468" s="51"/>
    </row>
    <row r="469" spans="1:20" x14ac:dyDescent="0.2">
      <c r="A469" s="20" t="s">
        <v>448</v>
      </c>
      <c r="B469" s="46"/>
      <c r="C469" s="51"/>
      <c r="D469" s="21"/>
      <c r="E469" s="96"/>
      <c r="F469" s="100"/>
      <c r="G469" s="100"/>
      <c r="H469" s="100"/>
      <c r="I469" s="100"/>
      <c r="J469" s="101">
        <f t="shared" si="248"/>
        <v>0</v>
      </c>
      <c r="K469" s="115"/>
      <c r="L469" s="161">
        <f t="shared" ref="L469:Q469" si="264">SUM(L470:L470)</f>
        <v>0</v>
      </c>
      <c r="M469" s="157">
        <f t="shared" si="264"/>
        <v>6000</v>
      </c>
      <c r="N469" s="157">
        <f t="shared" si="264"/>
        <v>0</v>
      </c>
      <c r="O469" s="157">
        <f t="shared" si="264"/>
        <v>0</v>
      </c>
      <c r="P469" s="270">
        <f t="shared" si="264"/>
        <v>0</v>
      </c>
      <c r="Q469" s="284">
        <f t="shared" si="264"/>
        <v>6000</v>
      </c>
      <c r="R469" s="39" t="s">
        <v>729</v>
      </c>
      <c r="S469" s="115" t="s">
        <v>665</v>
      </c>
      <c r="T469" s="51"/>
    </row>
    <row r="470" spans="1:20" x14ac:dyDescent="0.2">
      <c r="A470" s="95">
        <v>5</v>
      </c>
      <c r="B470" s="108" t="str">
        <f>IF(A470&lt;&gt;0,INDEX(Coûts,'PA-Détails'!A470, 2),)</f>
        <v>Atelier de validation</v>
      </c>
      <c r="C470" s="51"/>
      <c r="D470" s="94" t="str">
        <f>IF(A470&lt;&gt;0,INDEX(Coûts, 'PA-Détails'!A470, 5),)</f>
        <v>Pers / j</v>
      </c>
      <c r="E470" s="96"/>
      <c r="F470" s="100">
        <f>3*40</f>
        <v>120</v>
      </c>
      <c r="G470" s="100"/>
      <c r="H470" s="100"/>
      <c r="I470" s="100"/>
      <c r="J470" s="101">
        <f t="shared" si="248"/>
        <v>120</v>
      </c>
      <c r="K470" s="115">
        <f>IF(A470&lt;&gt;0,INDEX(Coûts, 'PA-Détails'!A470, 3),)</f>
        <v>50</v>
      </c>
      <c r="L470" s="37">
        <f>ROUND(+$K470*E470,0)</f>
        <v>0</v>
      </c>
      <c r="M470" s="36">
        <f>ROUND(+$K470*F470,0)</f>
        <v>6000</v>
      </c>
      <c r="N470" s="36">
        <f>ROUND(+$K470*G470,0)</f>
        <v>0</v>
      </c>
      <c r="O470" s="36">
        <f>ROUND(+$K470*H470,0)</f>
        <v>0</v>
      </c>
      <c r="P470" s="268">
        <f>ROUND(+$K470*I470,0)</f>
        <v>0</v>
      </c>
      <c r="Q470" s="281">
        <f>SUM(L470:P470)</f>
        <v>6000</v>
      </c>
      <c r="R470" s="22"/>
      <c r="S470" s="115"/>
      <c r="T470" s="51"/>
    </row>
    <row r="471" spans="1:20" x14ac:dyDescent="0.2">
      <c r="A471" s="20" t="s">
        <v>449</v>
      </c>
      <c r="B471" s="46"/>
      <c r="C471" s="51"/>
      <c r="D471" s="21"/>
      <c r="E471" s="96"/>
      <c r="F471" s="100"/>
      <c r="G471" s="100"/>
      <c r="H471" s="100"/>
      <c r="I471" s="100"/>
      <c r="J471" s="101">
        <f t="shared" si="248"/>
        <v>0</v>
      </c>
      <c r="K471" s="115"/>
      <c r="L471" s="161">
        <f t="shared" ref="L471:Q471" si="265">SUM(L472:L472)</f>
        <v>0</v>
      </c>
      <c r="M471" s="157">
        <f t="shared" si="265"/>
        <v>0</v>
      </c>
      <c r="N471" s="157">
        <f t="shared" si="265"/>
        <v>0</v>
      </c>
      <c r="O471" s="157">
        <f t="shared" si="265"/>
        <v>1184441</v>
      </c>
      <c r="P471" s="270">
        <f t="shared" si="265"/>
        <v>1184441</v>
      </c>
      <c r="Q471" s="284">
        <f t="shared" si="265"/>
        <v>2368882</v>
      </c>
      <c r="R471" s="39" t="s">
        <v>727</v>
      </c>
      <c r="S471" s="115" t="s">
        <v>665</v>
      </c>
      <c r="T471" s="51"/>
    </row>
    <row r="472" spans="1:20" x14ac:dyDescent="0.2">
      <c r="A472" s="95">
        <v>58</v>
      </c>
      <c r="B472" s="108" t="str">
        <f>IF(A472&lt;&gt;0,INDEX(Coûts,'PA-Détails'!A472, 2),)</f>
        <v>Acquisition et distribution des manuels scolaires</v>
      </c>
      <c r="C472" s="51"/>
      <c r="D472" s="94" t="str">
        <f>IF(A472&lt;&gt;0,INDEX(Coûts, 'PA-Détails'!A472, 5),)</f>
        <v>Unité</v>
      </c>
      <c r="E472" s="96"/>
      <c r="F472" s="100"/>
      <c r="G472" s="100"/>
      <c r="H472" s="100">
        <f>H!K47*4/2</f>
        <v>394813.61725837504</v>
      </c>
      <c r="I472" s="100">
        <f>H472</f>
        <v>394813.61725837504</v>
      </c>
      <c r="J472" s="101">
        <f t="shared" si="248"/>
        <v>789627.23451675009</v>
      </c>
      <c r="K472" s="115">
        <f>IF(A472&lt;&gt;0,INDEX(Coûts, 'PA-Détails'!A472, 3),)</f>
        <v>3</v>
      </c>
      <c r="L472" s="37">
        <f t="shared" ref="L472:P473" si="266">ROUND(+$K472*E472,0)</f>
        <v>0</v>
      </c>
      <c r="M472" s="36">
        <f t="shared" si="266"/>
        <v>0</v>
      </c>
      <c r="N472" s="36">
        <f t="shared" si="266"/>
        <v>0</v>
      </c>
      <c r="O472" s="36">
        <f t="shared" si="266"/>
        <v>1184441</v>
      </c>
      <c r="P472" s="268">
        <f t="shared" si="266"/>
        <v>1184441</v>
      </c>
      <c r="Q472" s="281">
        <f>SUM(L472:P472)</f>
        <v>2368882</v>
      </c>
      <c r="R472" s="22"/>
      <c r="S472" s="115"/>
      <c r="T472" s="51"/>
    </row>
    <row r="473" spans="1:20" x14ac:dyDescent="0.2">
      <c r="A473" s="17" t="s">
        <v>63</v>
      </c>
      <c r="B473" s="45"/>
      <c r="C473" s="51" t="s">
        <v>450</v>
      </c>
      <c r="D473" s="18"/>
      <c r="E473" s="97"/>
      <c r="F473" s="98"/>
      <c r="G473" s="98"/>
      <c r="H473" s="98"/>
      <c r="I473" s="98"/>
      <c r="J473" s="99">
        <f t="shared" si="248"/>
        <v>0</v>
      </c>
      <c r="K473" s="116"/>
      <c r="L473" s="35">
        <f t="shared" si="266"/>
        <v>0</v>
      </c>
      <c r="M473" s="34">
        <f t="shared" si="266"/>
        <v>0</v>
      </c>
      <c r="N473" s="34">
        <f t="shared" si="266"/>
        <v>0</v>
      </c>
      <c r="O473" s="34">
        <f t="shared" si="266"/>
        <v>0</v>
      </c>
      <c r="P473" s="269">
        <f t="shared" si="266"/>
        <v>0</v>
      </c>
      <c r="Q473" s="279">
        <f>SUM(L473:P473)</f>
        <v>0</v>
      </c>
      <c r="R473" s="19"/>
      <c r="S473" s="116"/>
      <c r="T473" s="51"/>
    </row>
    <row r="474" spans="1:20" x14ac:dyDescent="0.2">
      <c r="A474" s="20" t="s">
        <v>451</v>
      </c>
      <c r="B474" s="46"/>
      <c r="C474" s="51"/>
      <c r="D474" s="21"/>
      <c r="E474" s="96"/>
      <c r="F474" s="100"/>
      <c r="G474" s="100"/>
      <c r="H474" s="100"/>
      <c r="I474" s="100"/>
      <c r="J474" s="101">
        <f t="shared" si="248"/>
        <v>0</v>
      </c>
      <c r="K474" s="115"/>
      <c r="L474" s="161">
        <f t="shared" ref="L474:Q474" si="267">SUM(L475:L475)</f>
        <v>0</v>
      </c>
      <c r="M474" s="157">
        <f t="shared" si="267"/>
        <v>0</v>
      </c>
      <c r="N474" s="157">
        <f t="shared" si="267"/>
        <v>0</v>
      </c>
      <c r="O474" s="157">
        <f t="shared" si="267"/>
        <v>247500</v>
      </c>
      <c r="P474" s="270">
        <f t="shared" si="267"/>
        <v>247500</v>
      </c>
      <c r="Q474" s="284">
        <f t="shared" si="267"/>
        <v>495000</v>
      </c>
      <c r="R474" s="39" t="s">
        <v>730</v>
      </c>
      <c r="S474" s="115" t="s">
        <v>665</v>
      </c>
      <c r="T474" s="51"/>
    </row>
    <row r="475" spans="1:20" x14ac:dyDescent="0.2">
      <c r="A475" s="95">
        <v>8</v>
      </c>
      <c r="B475" s="108" t="str">
        <f>IF(A475&lt;&gt;0,INDEX(Coûts,'PA-Détails'!A475, 2),)</f>
        <v>Formation</v>
      </c>
      <c r="C475" s="51"/>
      <c r="D475" s="94" t="str">
        <f>IF(A475&lt;&gt;0,INDEX(Coûts, 'PA-Détails'!A475, 5),)</f>
        <v>Pers / j</v>
      </c>
      <c r="E475" s="96"/>
      <c r="F475" s="100"/>
      <c r="G475" s="100"/>
      <c r="H475" s="100">
        <f>9000/4</f>
        <v>2250</v>
      </c>
      <c r="I475" s="100">
        <f>H475</f>
        <v>2250</v>
      </c>
      <c r="J475" s="101">
        <f t="shared" si="248"/>
        <v>4500</v>
      </c>
      <c r="K475" s="115">
        <f>IF(A475&lt;&gt;0,INDEX(Coûts, 'PA-Détails'!A475, 3),)</f>
        <v>110</v>
      </c>
      <c r="L475" s="37">
        <f t="shared" ref="L475:P477" si="268">ROUND(+$K475*E475,0)</f>
        <v>0</v>
      </c>
      <c r="M475" s="36">
        <f t="shared" si="268"/>
        <v>0</v>
      </c>
      <c r="N475" s="36">
        <f t="shared" si="268"/>
        <v>0</v>
      </c>
      <c r="O475" s="36">
        <f t="shared" si="268"/>
        <v>247500</v>
      </c>
      <c r="P475" s="268">
        <f t="shared" si="268"/>
        <v>247500</v>
      </c>
      <c r="Q475" s="281">
        <f>SUM(L475:P475)</f>
        <v>495000</v>
      </c>
      <c r="R475" s="22"/>
      <c r="S475" s="21"/>
      <c r="T475" s="51"/>
    </row>
    <row r="476" spans="1:20" x14ac:dyDescent="0.2">
      <c r="A476" s="14" t="s">
        <v>1070</v>
      </c>
      <c r="B476" s="44"/>
      <c r="C476" s="112"/>
      <c r="D476" s="15"/>
      <c r="E476" s="102"/>
      <c r="F476" s="103"/>
      <c r="G476" s="103"/>
      <c r="H476" s="103"/>
      <c r="I476" s="103"/>
      <c r="J476" s="104">
        <f t="shared" si="248"/>
        <v>0</v>
      </c>
      <c r="K476" s="145"/>
      <c r="L476" s="33">
        <f t="shared" si="268"/>
        <v>0</v>
      </c>
      <c r="M476" s="32">
        <f t="shared" si="268"/>
        <v>0</v>
      </c>
      <c r="N476" s="32">
        <f t="shared" si="268"/>
        <v>0</v>
      </c>
      <c r="O476" s="32">
        <f t="shared" si="268"/>
        <v>0</v>
      </c>
      <c r="P476" s="267">
        <f t="shared" si="268"/>
        <v>0</v>
      </c>
      <c r="Q476" s="278">
        <f>SUM(L476:P476)</f>
        <v>0</v>
      </c>
      <c r="R476" s="16"/>
      <c r="S476" s="15"/>
      <c r="T476" s="112">
        <v>2</v>
      </c>
    </row>
    <row r="477" spans="1:20" x14ac:dyDescent="0.2">
      <c r="A477" s="17" t="s">
        <v>452</v>
      </c>
      <c r="B477" s="45"/>
      <c r="C477" s="51" t="s">
        <v>453</v>
      </c>
      <c r="D477" s="18"/>
      <c r="E477" s="97"/>
      <c r="F477" s="98"/>
      <c r="G477" s="98"/>
      <c r="H477" s="98"/>
      <c r="I477" s="98"/>
      <c r="J477" s="99">
        <f t="shared" si="248"/>
        <v>0</v>
      </c>
      <c r="K477" s="116"/>
      <c r="L477" s="35">
        <f t="shared" si="268"/>
        <v>0</v>
      </c>
      <c r="M477" s="34">
        <f t="shared" si="268"/>
        <v>0</v>
      </c>
      <c r="N477" s="34">
        <f t="shared" si="268"/>
        <v>0</v>
      </c>
      <c r="O477" s="34">
        <f t="shared" si="268"/>
        <v>0</v>
      </c>
      <c r="P477" s="269">
        <f t="shared" si="268"/>
        <v>0</v>
      </c>
      <c r="Q477" s="279">
        <f>SUM(L477:P477)</f>
        <v>0</v>
      </c>
      <c r="R477" s="19"/>
      <c r="S477" s="18"/>
      <c r="T477" s="51"/>
    </row>
    <row r="478" spans="1:20" x14ac:dyDescent="0.2">
      <c r="A478" s="20" t="s">
        <v>731</v>
      </c>
      <c r="B478" s="46"/>
      <c r="C478" s="51"/>
      <c r="D478" s="21"/>
      <c r="E478" s="96"/>
      <c r="F478" s="100"/>
      <c r="G478" s="100"/>
      <c r="H478" s="100"/>
      <c r="I478" s="100"/>
      <c r="J478" s="101">
        <f t="shared" si="248"/>
        <v>0</v>
      </c>
      <c r="K478" s="115"/>
      <c r="L478" s="161">
        <f t="shared" ref="L478:Q478" si="269">SUM(L479:L481)</f>
        <v>11000</v>
      </c>
      <c r="M478" s="157">
        <f t="shared" si="269"/>
        <v>0</v>
      </c>
      <c r="N478" s="157">
        <f t="shared" si="269"/>
        <v>0</v>
      </c>
      <c r="O478" s="157">
        <f t="shared" si="269"/>
        <v>0</v>
      </c>
      <c r="P478" s="270">
        <f t="shared" si="269"/>
        <v>0</v>
      </c>
      <c r="Q478" s="284">
        <f t="shared" si="269"/>
        <v>11000</v>
      </c>
      <c r="R478" s="39" t="s">
        <v>723</v>
      </c>
      <c r="S478" s="115" t="s">
        <v>665</v>
      </c>
      <c r="T478" s="51"/>
    </row>
    <row r="479" spans="1:20" x14ac:dyDescent="0.2">
      <c r="A479" s="95">
        <v>2</v>
      </c>
      <c r="B479" s="108" t="str">
        <f>IF(A479&lt;&gt;0,INDEX(Coûts,'PA-Détails'!A479, 2),)</f>
        <v>Assistance technique nationale (consultants)</v>
      </c>
      <c r="C479" s="51"/>
      <c r="D479" s="94" t="str">
        <f>IF(A479&lt;&gt;0,INDEX(Coûts, 'PA-Détails'!A479, 5),)</f>
        <v>Pers / j</v>
      </c>
      <c r="E479" s="96">
        <v>15</v>
      </c>
      <c r="F479" s="100"/>
      <c r="G479" s="100"/>
      <c r="H479" s="100"/>
      <c r="I479" s="100"/>
      <c r="J479" s="101">
        <f t="shared" si="248"/>
        <v>15</v>
      </c>
      <c r="K479" s="115">
        <f>IF(A479&lt;&gt;0,INDEX(Coûts, 'PA-Détails'!A479, 3),)</f>
        <v>300</v>
      </c>
      <c r="L479" s="37">
        <f t="shared" ref="L479:P482" si="270">ROUND(+$K479*E479,0)</f>
        <v>4500</v>
      </c>
      <c r="M479" s="36">
        <f t="shared" si="270"/>
        <v>0</v>
      </c>
      <c r="N479" s="36">
        <f t="shared" si="270"/>
        <v>0</v>
      </c>
      <c r="O479" s="36">
        <f t="shared" si="270"/>
        <v>0</v>
      </c>
      <c r="P479" s="268">
        <f t="shared" si="270"/>
        <v>0</v>
      </c>
      <c r="Q479" s="281">
        <f>SUM(L479:P479)</f>
        <v>4500</v>
      </c>
      <c r="R479" s="22"/>
      <c r="S479" s="21"/>
      <c r="T479" s="51"/>
    </row>
    <row r="480" spans="1:20" x14ac:dyDescent="0.2">
      <c r="A480" s="95">
        <v>11</v>
      </c>
      <c r="B480" s="108" t="str">
        <f>IF(A480&lt;&gt;0,INDEX(Coûts,'PA-Détails'!A480, 2),)</f>
        <v>Atelier technique</v>
      </c>
      <c r="C480" s="51"/>
      <c r="D480" s="94" t="str">
        <f>IF(A480&lt;&gt;0,INDEX(Coûts, 'PA-Détails'!A480, 5),)</f>
        <v>Pers / j</v>
      </c>
      <c r="E480" s="96">
        <v>50</v>
      </c>
      <c r="F480" s="100"/>
      <c r="G480" s="100"/>
      <c r="H480" s="100"/>
      <c r="I480" s="100"/>
      <c r="J480" s="101">
        <f t="shared" si="248"/>
        <v>50</v>
      </c>
      <c r="K480" s="115">
        <f>IF(A480&lt;&gt;0,INDEX(Coûts, 'PA-Détails'!A480, 3),)</f>
        <v>70</v>
      </c>
      <c r="L480" s="37">
        <f t="shared" si="270"/>
        <v>3500</v>
      </c>
      <c r="M480" s="36">
        <f t="shared" si="270"/>
        <v>0</v>
      </c>
      <c r="N480" s="36">
        <f t="shared" si="270"/>
        <v>0</v>
      </c>
      <c r="O480" s="36">
        <f t="shared" si="270"/>
        <v>0</v>
      </c>
      <c r="P480" s="268">
        <f t="shared" si="270"/>
        <v>0</v>
      </c>
      <c r="Q480" s="281">
        <f>SUM(L480:P480)</f>
        <v>3500</v>
      </c>
      <c r="R480" s="22"/>
      <c r="S480" s="21"/>
      <c r="T480" s="51"/>
    </row>
    <row r="481" spans="1:20" x14ac:dyDescent="0.2">
      <c r="A481" s="95">
        <v>5</v>
      </c>
      <c r="B481" s="108" t="str">
        <f>IF(A481&lt;&gt;0,INDEX(Coûts,'PA-Détails'!A481, 2),)</f>
        <v>Atelier de validation</v>
      </c>
      <c r="C481" s="51"/>
      <c r="D481" s="94" t="str">
        <f>IF(A481&lt;&gt;0,INDEX(Coûts, 'PA-Détails'!A481, 5),)</f>
        <v>Pers / j</v>
      </c>
      <c r="E481" s="96">
        <v>60</v>
      </c>
      <c r="F481" s="100"/>
      <c r="G481" s="100"/>
      <c r="H481" s="100"/>
      <c r="I481" s="100"/>
      <c r="J481" s="101">
        <f t="shared" si="248"/>
        <v>60</v>
      </c>
      <c r="K481" s="115">
        <f>IF(A481&lt;&gt;0,INDEX(Coûts, 'PA-Détails'!A481, 3),)</f>
        <v>50</v>
      </c>
      <c r="L481" s="37">
        <f t="shared" si="270"/>
        <v>3000</v>
      </c>
      <c r="M481" s="36">
        <f t="shared" si="270"/>
        <v>0</v>
      </c>
      <c r="N481" s="36">
        <f t="shared" si="270"/>
        <v>0</v>
      </c>
      <c r="O481" s="36">
        <f t="shared" si="270"/>
        <v>0</v>
      </c>
      <c r="P481" s="268">
        <f t="shared" si="270"/>
        <v>0</v>
      </c>
      <c r="Q481" s="281">
        <f>SUM(L481:P481)</f>
        <v>3000</v>
      </c>
      <c r="R481" s="22"/>
      <c r="S481" s="21"/>
      <c r="T481" s="51"/>
    </row>
    <row r="482" spans="1:20" x14ac:dyDescent="0.2">
      <c r="A482" s="17" t="s">
        <v>64</v>
      </c>
      <c r="B482" s="45"/>
      <c r="C482" s="51" t="s">
        <v>454</v>
      </c>
      <c r="D482" s="18"/>
      <c r="E482" s="97"/>
      <c r="F482" s="98"/>
      <c r="G482" s="98"/>
      <c r="H482" s="98"/>
      <c r="I482" s="98"/>
      <c r="J482" s="99">
        <f t="shared" si="248"/>
        <v>0</v>
      </c>
      <c r="K482" s="116"/>
      <c r="L482" s="35">
        <f t="shared" si="270"/>
        <v>0</v>
      </c>
      <c r="M482" s="34">
        <f t="shared" si="270"/>
        <v>0</v>
      </c>
      <c r="N482" s="34">
        <f t="shared" si="270"/>
        <v>0</v>
      </c>
      <c r="O482" s="34">
        <f t="shared" si="270"/>
        <v>0</v>
      </c>
      <c r="P482" s="269">
        <f t="shared" si="270"/>
        <v>0</v>
      </c>
      <c r="Q482" s="279">
        <f>SUM(L482:P482)</f>
        <v>0</v>
      </c>
      <c r="R482" s="19"/>
      <c r="S482" s="18"/>
      <c r="T482" s="51"/>
    </row>
    <row r="483" spans="1:20" x14ac:dyDescent="0.2">
      <c r="A483" s="20" t="s">
        <v>455</v>
      </c>
      <c r="B483" s="46"/>
      <c r="C483" s="51"/>
      <c r="D483" s="21"/>
      <c r="E483" s="96"/>
      <c r="F483" s="100"/>
      <c r="G483" s="100"/>
      <c r="H483" s="100"/>
      <c r="I483" s="100"/>
      <c r="J483" s="101">
        <f t="shared" si="248"/>
        <v>0</v>
      </c>
      <c r="K483" s="115"/>
      <c r="L483" s="161">
        <f t="shared" ref="L483:Q483" si="271">SUM(L484:L486)</f>
        <v>11000</v>
      </c>
      <c r="M483" s="157">
        <f t="shared" si="271"/>
        <v>0</v>
      </c>
      <c r="N483" s="157">
        <f t="shared" si="271"/>
        <v>0</v>
      </c>
      <c r="O483" s="157">
        <f t="shared" si="271"/>
        <v>0</v>
      </c>
      <c r="P483" s="270">
        <f t="shared" si="271"/>
        <v>0</v>
      </c>
      <c r="Q483" s="284">
        <f t="shared" si="271"/>
        <v>11000</v>
      </c>
      <c r="R483" s="39" t="s">
        <v>732</v>
      </c>
      <c r="S483" s="115" t="s">
        <v>665</v>
      </c>
      <c r="T483" s="51"/>
    </row>
    <row r="484" spans="1:20" x14ac:dyDescent="0.2">
      <c r="A484" s="95">
        <v>2</v>
      </c>
      <c r="B484" s="108" t="str">
        <f>IF(A484&lt;&gt;0,INDEX(Coûts,'PA-Détails'!A484, 2),)</f>
        <v>Assistance technique nationale (consultants)</v>
      </c>
      <c r="C484" s="51"/>
      <c r="D484" s="94" t="str">
        <f>IF(A484&lt;&gt;0,INDEX(Coûts, 'PA-Détails'!A484, 5),)</f>
        <v>Pers / j</v>
      </c>
      <c r="E484" s="96">
        <v>15</v>
      </c>
      <c r="F484" s="100"/>
      <c r="G484" s="100"/>
      <c r="H484" s="100"/>
      <c r="I484" s="100"/>
      <c r="J484" s="101">
        <f t="shared" si="248"/>
        <v>15</v>
      </c>
      <c r="K484" s="115">
        <f>IF(A484&lt;&gt;0,INDEX(Coûts, 'PA-Détails'!A484, 3),)</f>
        <v>300</v>
      </c>
      <c r="L484" s="37">
        <f t="shared" ref="L484:P487" si="272">ROUND(+$K484*E484,0)</f>
        <v>4500</v>
      </c>
      <c r="M484" s="36">
        <f t="shared" si="272"/>
        <v>0</v>
      </c>
      <c r="N484" s="36">
        <f t="shared" si="272"/>
        <v>0</v>
      </c>
      <c r="O484" s="36">
        <f t="shared" si="272"/>
        <v>0</v>
      </c>
      <c r="P484" s="268">
        <f t="shared" si="272"/>
        <v>0</v>
      </c>
      <c r="Q484" s="281">
        <f>SUM(L484:P484)</f>
        <v>4500</v>
      </c>
      <c r="R484" s="22"/>
      <c r="S484" s="21"/>
      <c r="T484" s="51"/>
    </row>
    <row r="485" spans="1:20" x14ac:dyDescent="0.2">
      <c r="A485" s="95">
        <v>11</v>
      </c>
      <c r="B485" s="108" t="str">
        <f>IF(A485&lt;&gt;0,INDEX(Coûts,'PA-Détails'!A485, 2),)</f>
        <v>Atelier technique</v>
      </c>
      <c r="C485" s="51"/>
      <c r="D485" s="94" t="str">
        <f>IF(A485&lt;&gt;0,INDEX(Coûts, 'PA-Détails'!A485, 5),)</f>
        <v>Pers / j</v>
      </c>
      <c r="E485" s="96">
        <v>50</v>
      </c>
      <c r="F485" s="100"/>
      <c r="G485" s="100"/>
      <c r="H485" s="100"/>
      <c r="I485" s="100"/>
      <c r="J485" s="101">
        <f t="shared" si="248"/>
        <v>50</v>
      </c>
      <c r="K485" s="115">
        <f>IF(A485&lt;&gt;0,INDEX(Coûts, 'PA-Détails'!A485, 3),)</f>
        <v>70</v>
      </c>
      <c r="L485" s="37">
        <f t="shared" si="272"/>
        <v>3500</v>
      </c>
      <c r="M485" s="36">
        <f t="shared" si="272"/>
        <v>0</v>
      </c>
      <c r="N485" s="36">
        <f t="shared" si="272"/>
        <v>0</v>
      </c>
      <c r="O485" s="36">
        <f t="shared" si="272"/>
        <v>0</v>
      </c>
      <c r="P485" s="268">
        <f t="shared" si="272"/>
        <v>0</v>
      </c>
      <c r="Q485" s="281">
        <f>SUM(L485:P485)</f>
        <v>3500</v>
      </c>
      <c r="R485" s="22"/>
      <c r="S485" s="21"/>
      <c r="T485" s="51"/>
    </row>
    <row r="486" spans="1:20" x14ac:dyDescent="0.2">
      <c r="A486" s="95">
        <v>5</v>
      </c>
      <c r="B486" s="108" t="str">
        <f>IF(A486&lt;&gt;0,INDEX(Coûts,'PA-Détails'!A486, 2),)</f>
        <v>Atelier de validation</v>
      </c>
      <c r="C486" s="51"/>
      <c r="D486" s="94" t="str">
        <f>IF(A486&lt;&gt;0,INDEX(Coûts, 'PA-Détails'!A486, 5),)</f>
        <v>Pers / j</v>
      </c>
      <c r="E486" s="96">
        <v>60</v>
      </c>
      <c r="F486" s="100"/>
      <c r="G486" s="100"/>
      <c r="H486" s="100"/>
      <c r="I486" s="100"/>
      <c r="J486" s="101">
        <f t="shared" si="248"/>
        <v>60</v>
      </c>
      <c r="K486" s="115">
        <f>IF(A486&lt;&gt;0,INDEX(Coûts, 'PA-Détails'!A486, 3),)</f>
        <v>50</v>
      </c>
      <c r="L486" s="37">
        <f t="shared" si="272"/>
        <v>3000</v>
      </c>
      <c r="M486" s="36">
        <f t="shared" si="272"/>
        <v>0</v>
      </c>
      <c r="N486" s="36">
        <f t="shared" si="272"/>
        <v>0</v>
      </c>
      <c r="O486" s="36">
        <f t="shared" si="272"/>
        <v>0</v>
      </c>
      <c r="P486" s="268">
        <f t="shared" si="272"/>
        <v>0</v>
      </c>
      <c r="Q486" s="281">
        <f>SUM(L486:P486)</f>
        <v>3000</v>
      </c>
      <c r="R486" s="22"/>
      <c r="S486" s="21"/>
      <c r="T486" s="51"/>
    </row>
    <row r="487" spans="1:20" x14ac:dyDescent="0.2">
      <c r="A487" s="17" t="s">
        <v>733</v>
      </c>
      <c r="B487" s="45"/>
      <c r="C487" s="51" t="s">
        <v>456</v>
      </c>
      <c r="D487" s="18"/>
      <c r="E487" s="97"/>
      <c r="F487" s="98"/>
      <c r="G487" s="98"/>
      <c r="H487" s="98"/>
      <c r="I487" s="98"/>
      <c r="J487" s="99">
        <f t="shared" si="248"/>
        <v>0</v>
      </c>
      <c r="K487" s="116"/>
      <c r="L487" s="35">
        <f t="shared" si="272"/>
        <v>0</v>
      </c>
      <c r="M487" s="34">
        <f t="shared" si="272"/>
        <v>0</v>
      </c>
      <c r="N487" s="34">
        <f t="shared" si="272"/>
        <v>0</v>
      </c>
      <c r="O487" s="34">
        <f t="shared" si="272"/>
        <v>0</v>
      </c>
      <c r="P487" s="269">
        <f t="shared" si="272"/>
        <v>0</v>
      </c>
      <c r="Q487" s="279">
        <f>SUM(L487:P487)</f>
        <v>0</v>
      </c>
      <c r="R487" s="19"/>
      <c r="S487" s="18"/>
      <c r="T487" s="51"/>
    </row>
    <row r="488" spans="1:20" x14ac:dyDescent="0.2">
      <c r="A488" s="20" t="s">
        <v>1071</v>
      </c>
      <c r="B488" s="46"/>
      <c r="C488" s="51"/>
      <c r="D488" s="21"/>
      <c r="E488" s="96"/>
      <c r="F488" s="100"/>
      <c r="G488" s="100"/>
      <c r="H488" s="100"/>
      <c r="I488" s="100"/>
      <c r="J488" s="101">
        <f t="shared" si="248"/>
        <v>0</v>
      </c>
      <c r="K488" s="115"/>
      <c r="L488" s="161">
        <f t="shared" ref="L488:Q488" si="273">SUM(L489:L489)</f>
        <v>0</v>
      </c>
      <c r="M488" s="157">
        <f t="shared" si="273"/>
        <v>264000</v>
      </c>
      <c r="N488" s="157">
        <f t="shared" si="273"/>
        <v>264000</v>
      </c>
      <c r="O488" s="157">
        <f t="shared" si="273"/>
        <v>0</v>
      </c>
      <c r="P488" s="270">
        <f t="shared" si="273"/>
        <v>0</v>
      </c>
      <c r="Q488" s="284">
        <f t="shared" si="273"/>
        <v>528000</v>
      </c>
      <c r="R488" s="39" t="s">
        <v>732</v>
      </c>
      <c r="S488" s="115" t="s">
        <v>665</v>
      </c>
      <c r="T488" s="51"/>
    </row>
    <row r="489" spans="1:20" x14ac:dyDescent="0.2">
      <c r="A489" s="95">
        <v>8</v>
      </c>
      <c r="B489" s="108" t="str">
        <f>IF(A489&lt;&gt;0,INDEX(Coûts,'PA-Détails'!A489, 2),)</f>
        <v>Formation</v>
      </c>
      <c r="C489" s="51"/>
      <c r="D489" s="94" t="str">
        <f>IF(A489&lt;&gt;0,INDEX(Coûts, 'PA-Détails'!A489, 5),)</f>
        <v>Pers / j</v>
      </c>
      <c r="E489" s="96"/>
      <c r="F489" s="100">
        <f>800*3</f>
        <v>2400</v>
      </c>
      <c r="G489" s="100">
        <f>F489</f>
        <v>2400</v>
      </c>
      <c r="H489" s="100"/>
      <c r="I489" s="100"/>
      <c r="J489" s="101">
        <f t="shared" si="248"/>
        <v>4800</v>
      </c>
      <c r="K489" s="115">
        <f>IF(A489&lt;&gt;0,INDEX(Coûts, 'PA-Détails'!A489, 3),)</f>
        <v>110</v>
      </c>
      <c r="L489" s="37">
        <f>ROUND(+$K489*E489,0)</f>
        <v>0</v>
      </c>
      <c r="M489" s="36">
        <f>ROUND(+$K489*F489,0)</f>
        <v>264000</v>
      </c>
      <c r="N489" s="36">
        <f>ROUND(+$K489*G489,0)</f>
        <v>264000</v>
      </c>
      <c r="O489" s="36">
        <f>ROUND(+$K489*H489,0)</f>
        <v>0</v>
      </c>
      <c r="P489" s="268">
        <f>ROUND(+$K489*I489,0)</f>
        <v>0</v>
      </c>
      <c r="Q489" s="281">
        <f>SUM(L489:P489)</f>
        <v>528000</v>
      </c>
      <c r="R489" s="22"/>
      <c r="S489" s="115"/>
      <c r="T489" s="51"/>
    </row>
    <row r="490" spans="1:20" x14ac:dyDescent="0.2">
      <c r="A490" s="20" t="s">
        <v>1072</v>
      </c>
      <c r="B490" s="46"/>
      <c r="C490" s="51"/>
      <c r="D490" s="21"/>
      <c r="E490" s="96"/>
      <c r="F490" s="100"/>
      <c r="G490" s="100"/>
      <c r="H490" s="100"/>
      <c r="I490" s="100"/>
      <c r="J490" s="101">
        <f t="shared" si="248"/>
        <v>0</v>
      </c>
      <c r="K490" s="115"/>
      <c r="L490" s="161">
        <f t="shared" ref="L490:Q490" si="274">SUM(L491:L491)</f>
        <v>0</v>
      </c>
      <c r="M490" s="157">
        <f t="shared" si="274"/>
        <v>13200</v>
      </c>
      <c r="N490" s="157">
        <f t="shared" si="274"/>
        <v>13200</v>
      </c>
      <c r="O490" s="157">
        <f t="shared" si="274"/>
        <v>0</v>
      </c>
      <c r="P490" s="270">
        <f t="shared" si="274"/>
        <v>0</v>
      </c>
      <c r="Q490" s="284">
        <f t="shared" si="274"/>
        <v>26400</v>
      </c>
      <c r="R490" s="39" t="s">
        <v>732</v>
      </c>
      <c r="S490" s="115" t="s">
        <v>665</v>
      </c>
      <c r="T490" s="51"/>
    </row>
    <row r="491" spans="1:20" x14ac:dyDescent="0.2">
      <c r="A491" s="95">
        <v>8</v>
      </c>
      <c r="B491" s="108" t="str">
        <f>IF(A491&lt;&gt;0,INDEX(Coûts,'PA-Détails'!A491, 2),)</f>
        <v>Formation</v>
      </c>
      <c r="C491" s="51"/>
      <c r="D491" s="94" t="str">
        <f>IF(A491&lt;&gt;0,INDEX(Coûts, 'PA-Détails'!A491, 5),)</f>
        <v>Pers / j</v>
      </c>
      <c r="E491" s="96"/>
      <c r="F491" s="100">
        <f>40*3</f>
        <v>120</v>
      </c>
      <c r="G491" s="100">
        <f>40*3</f>
        <v>120</v>
      </c>
      <c r="H491" s="100"/>
      <c r="I491" s="100"/>
      <c r="J491" s="101">
        <f t="shared" si="248"/>
        <v>240</v>
      </c>
      <c r="K491" s="115">
        <f>IF(A491&lt;&gt;0,INDEX(Coûts, 'PA-Détails'!A491, 3),)</f>
        <v>110</v>
      </c>
      <c r="L491" s="37">
        <f t="shared" ref="L491:P493" si="275">ROUND(+$K491*E491,0)</f>
        <v>0</v>
      </c>
      <c r="M491" s="36">
        <f t="shared" si="275"/>
        <v>13200</v>
      </c>
      <c r="N491" s="36">
        <f t="shared" si="275"/>
        <v>13200</v>
      </c>
      <c r="O491" s="36">
        <f t="shared" si="275"/>
        <v>0</v>
      </c>
      <c r="P491" s="268">
        <f t="shared" si="275"/>
        <v>0</v>
      </c>
      <c r="Q491" s="281">
        <f>SUM(L491:P491)</f>
        <v>26400</v>
      </c>
      <c r="R491" s="22"/>
      <c r="S491" s="21"/>
      <c r="T491" s="51"/>
    </row>
    <row r="492" spans="1:20" x14ac:dyDescent="0.2">
      <c r="A492" s="14" t="s">
        <v>985</v>
      </c>
      <c r="B492" s="44"/>
      <c r="C492" s="112"/>
      <c r="D492" s="15"/>
      <c r="E492" s="102"/>
      <c r="F492" s="103"/>
      <c r="G492" s="103"/>
      <c r="H492" s="103"/>
      <c r="I492" s="103"/>
      <c r="J492" s="104">
        <f t="shared" si="248"/>
        <v>0</v>
      </c>
      <c r="K492" s="145"/>
      <c r="L492" s="33">
        <f t="shared" si="275"/>
        <v>0</v>
      </c>
      <c r="M492" s="32">
        <f t="shared" si="275"/>
        <v>0</v>
      </c>
      <c r="N492" s="32">
        <f t="shared" si="275"/>
        <v>0</v>
      </c>
      <c r="O492" s="32">
        <f t="shared" si="275"/>
        <v>0</v>
      </c>
      <c r="P492" s="267">
        <f t="shared" si="275"/>
        <v>0</v>
      </c>
      <c r="Q492" s="278">
        <f>SUM(L492:P492)</f>
        <v>0</v>
      </c>
      <c r="R492" s="16"/>
      <c r="S492" s="15"/>
      <c r="T492" s="112"/>
    </row>
    <row r="493" spans="1:20" x14ac:dyDescent="0.2">
      <c r="A493" s="17" t="s">
        <v>457</v>
      </c>
      <c r="B493" s="45"/>
      <c r="C493" s="51" t="s">
        <v>458</v>
      </c>
      <c r="D493" s="18"/>
      <c r="E493" s="97"/>
      <c r="F493" s="98"/>
      <c r="G493" s="98"/>
      <c r="H493" s="98"/>
      <c r="I493" s="98"/>
      <c r="J493" s="99">
        <f t="shared" si="248"/>
        <v>0</v>
      </c>
      <c r="K493" s="116"/>
      <c r="L493" s="35">
        <f t="shared" si="275"/>
        <v>0</v>
      </c>
      <c r="M493" s="34">
        <f t="shared" si="275"/>
        <v>0</v>
      </c>
      <c r="N493" s="34">
        <f t="shared" si="275"/>
        <v>0</v>
      </c>
      <c r="O493" s="34">
        <f t="shared" si="275"/>
        <v>0</v>
      </c>
      <c r="P493" s="269">
        <f t="shared" si="275"/>
        <v>0</v>
      </c>
      <c r="Q493" s="279">
        <f>SUM(L493:P493)</f>
        <v>0</v>
      </c>
      <c r="R493" s="19"/>
      <c r="S493" s="18"/>
      <c r="T493" s="51">
        <v>2</v>
      </c>
    </row>
    <row r="494" spans="1:20" x14ac:dyDescent="0.2">
      <c r="A494" s="20" t="s">
        <v>459</v>
      </c>
      <c r="B494" s="46"/>
      <c r="C494" s="51"/>
      <c r="D494" s="21"/>
      <c r="E494" s="96"/>
      <c r="F494" s="100"/>
      <c r="G494" s="100"/>
      <c r="H494" s="100"/>
      <c r="I494" s="100"/>
      <c r="J494" s="101">
        <f t="shared" si="248"/>
        <v>0</v>
      </c>
      <c r="K494" s="115"/>
      <c r="L494" s="161">
        <f t="shared" ref="L494:Q494" si="276">SUM(L495:L496)</f>
        <v>10000</v>
      </c>
      <c r="M494" s="157">
        <f t="shared" si="276"/>
        <v>0</v>
      </c>
      <c r="N494" s="157">
        <f t="shared" si="276"/>
        <v>0</v>
      </c>
      <c r="O494" s="157">
        <f t="shared" si="276"/>
        <v>0</v>
      </c>
      <c r="P494" s="270">
        <f t="shared" si="276"/>
        <v>0</v>
      </c>
      <c r="Q494" s="284">
        <f t="shared" si="276"/>
        <v>10000</v>
      </c>
      <c r="R494" s="39" t="s">
        <v>734</v>
      </c>
      <c r="S494" s="115" t="s">
        <v>665</v>
      </c>
      <c r="T494" s="51">
        <v>2</v>
      </c>
    </row>
    <row r="495" spans="1:20" x14ac:dyDescent="0.2">
      <c r="A495" s="95">
        <v>11</v>
      </c>
      <c r="B495" s="108" t="str">
        <f>IF(A495&lt;&gt;0,INDEX(Coûts,'PA-Détails'!A495, 2),)</f>
        <v>Atelier technique</v>
      </c>
      <c r="C495" s="51"/>
      <c r="D495" s="94" t="str">
        <f>IF(A495&lt;&gt;0,INDEX(Coûts, 'PA-Détails'!A495, 5),)</f>
        <v>Pers / j</v>
      </c>
      <c r="E495" s="96">
        <f>20*5</f>
        <v>100</v>
      </c>
      <c r="F495" s="100"/>
      <c r="G495" s="100"/>
      <c r="H495" s="100"/>
      <c r="I495" s="100"/>
      <c r="J495" s="101">
        <f t="shared" si="248"/>
        <v>100</v>
      </c>
      <c r="K495" s="115">
        <f>IF(A495&lt;&gt;0,INDEX(Coûts, 'PA-Détails'!A495, 3),)</f>
        <v>70</v>
      </c>
      <c r="L495" s="37">
        <f t="shared" ref="L495:P496" si="277">ROUND(+$K495*E495,0)</f>
        <v>7000</v>
      </c>
      <c r="M495" s="36">
        <f t="shared" si="277"/>
        <v>0</v>
      </c>
      <c r="N495" s="36">
        <f t="shared" si="277"/>
        <v>0</v>
      </c>
      <c r="O495" s="36">
        <f t="shared" si="277"/>
        <v>0</v>
      </c>
      <c r="P495" s="268">
        <f t="shared" si="277"/>
        <v>0</v>
      </c>
      <c r="Q495" s="281">
        <f>SUM(L495:P495)</f>
        <v>7000</v>
      </c>
      <c r="R495" s="22"/>
      <c r="S495" s="115"/>
      <c r="T495" s="51"/>
    </row>
    <row r="496" spans="1:20" x14ac:dyDescent="0.2">
      <c r="A496" s="95">
        <v>5</v>
      </c>
      <c r="B496" s="108" t="str">
        <f>IF(A496&lt;&gt;0,INDEX(Coûts,'PA-Détails'!A496, 2),)</f>
        <v>Atelier de validation</v>
      </c>
      <c r="C496" s="51"/>
      <c r="D496" s="94" t="str">
        <f>IF(A496&lt;&gt;0,INDEX(Coûts, 'PA-Détails'!A496, 5),)</f>
        <v>Pers / j</v>
      </c>
      <c r="E496" s="96">
        <v>60</v>
      </c>
      <c r="F496" s="100"/>
      <c r="G496" s="100"/>
      <c r="H496" s="100"/>
      <c r="I496" s="100"/>
      <c r="J496" s="101">
        <f t="shared" si="248"/>
        <v>60</v>
      </c>
      <c r="K496" s="115">
        <f>IF(A496&lt;&gt;0,INDEX(Coûts, 'PA-Détails'!A496, 3),)</f>
        <v>50</v>
      </c>
      <c r="L496" s="37">
        <f t="shared" si="277"/>
        <v>3000</v>
      </c>
      <c r="M496" s="36">
        <f t="shared" si="277"/>
        <v>0</v>
      </c>
      <c r="N496" s="36">
        <f t="shared" si="277"/>
        <v>0</v>
      </c>
      <c r="O496" s="36">
        <f t="shared" si="277"/>
        <v>0</v>
      </c>
      <c r="P496" s="268">
        <f t="shared" si="277"/>
        <v>0</v>
      </c>
      <c r="Q496" s="281">
        <f>SUM(L496:P496)</f>
        <v>3000</v>
      </c>
      <c r="R496" s="22"/>
      <c r="S496" s="115"/>
      <c r="T496" s="51"/>
    </row>
    <row r="497" spans="1:20" x14ac:dyDescent="0.2">
      <c r="A497" s="20" t="s">
        <v>460</v>
      </c>
      <c r="B497" s="46"/>
      <c r="C497" s="51"/>
      <c r="D497" s="21"/>
      <c r="E497" s="96"/>
      <c r="F497" s="100"/>
      <c r="G497" s="100"/>
      <c r="H497" s="100"/>
      <c r="I497" s="100"/>
      <c r="J497" s="101">
        <f t="shared" si="248"/>
        <v>0</v>
      </c>
      <c r="K497" s="115"/>
      <c r="L497" s="161">
        <f t="shared" ref="L497:Q497" si="278">SUM(L498:L499)</f>
        <v>10000</v>
      </c>
      <c r="M497" s="157">
        <f t="shared" si="278"/>
        <v>0</v>
      </c>
      <c r="N497" s="157">
        <f t="shared" si="278"/>
        <v>0</v>
      </c>
      <c r="O497" s="157">
        <f t="shared" si="278"/>
        <v>0</v>
      </c>
      <c r="P497" s="270">
        <f t="shared" si="278"/>
        <v>0</v>
      </c>
      <c r="Q497" s="284">
        <f t="shared" si="278"/>
        <v>10000</v>
      </c>
      <c r="R497" s="39" t="s">
        <v>734</v>
      </c>
      <c r="S497" s="115" t="s">
        <v>665</v>
      </c>
      <c r="T497" s="51">
        <v>2</v>
      </c>
    </row>
    <row r="498" spans="1:20" x14ac:dyDescent="0.2">
      <c r="A498" s="95">
        <v>11</v>
      </c>
      <c r="B498" s="108" t="str">
        <f>IF(A498&lt;&gt;0,INDEX(Coûts,'PA-Détails'!A498, 2),)</f>
        <v>Atelier technique</v>
      </c>
      <c r="C498" s="51"/>
      <c r="D498" s="94" t="str">
        <f>IF(A498&lt;&gt;0,INDEX(Coûts, 'PA-Détails'!A498, 5),)</f>
        <v>Pers / j</v>
      </c>
      <c r="E498" s="96">
        <f>20*5</f>
        <v>100</v>
      </c>
      <c r="F498" s="100"/>
      <c r="G498" s="100"/>
      <c r="H498" s="100"/>
      <c r="I498" s="100"/>
      <c r="J498" s="101">
        <f t="shared" si="248"/>
        <v>100</v>
      </c>
      <c r="K498" s="115">
        <f>IF(A498&lt;&gt;0,INDEX(Coûts, 'PA-Détails'!A498, 3),)</f>
        <v>70</v>
      </c>
      <c r="L498" s="37">
        <f t="shared" ref="L498:P499" si="279">ROUND(+$K498*E498,0)</f>
        <v>7000</v>
      </c>
      <c r="M498" s="36">
        <f t="shared" si="279"/>
        <v>0</v>
      </c>
      <c r="N498" s="36">
        <f t="shared" si="279"/>
        <v>0</v>
      </c>
      <c r="O498" s="36">
        <f t="shared" si="279"/>
        <v>0</v>
      </c>
      <c r="P498" s="268">
        <f t="shared" si="279"/>
        <v>0</v>
      </c>
      <c r="Q498" s="281">
        <f>SUM(L498:P498)</f>
        <v>7000</v>
      </c>
      <c r="R498" s="22"/>
      <c r="S498" s="115"/>
      <c r="T498" s="51"/>
    </row>
    <row r="499" spans="1:20" x14ac:dyDescent="0.2">
      <c r="A499" s="95">
        <v>5</v>
      </c>
      <c r="B499" s="108" t="str">
        <f>IF(A499&lt;&gt;0,INDEX(Coûts,'PA-Détails'!A499, 2),)</f>
        <v>Atelier de validation</v>
      </c>
      <c r="C499" s="51"/>
      <c r="D499" s="94" t="str">
        <f>IF(A499&lt;&gt;0,INDEX(Coûts, 'PA-Détails'!A499, 5),)</f>
        <v>Pers / j</v>
      </c>
      <c r="E499" s="96">
        <v>60</v>
      </c>
      <c r="F499" s="100"/>
      <c r="G499" s="100"/>
      <c r="H499" s="100"/>
      <c r="I499" s="100"/>
      <c r="J499" s="101">
        <f t="shared" si="248"/>
        <v>60</v>
      </c>
      <c r="K499" s="115">
        <f>IF(A499&lt;&gt;0,INDEX(Coûts, 'PA-Détails'!A499, 3),)</f>
        <v>50</v>
      </c>
      <c r="L499" s="37">
        <f t="shared" si="279"/>
        <v>3000</v>
      </c>
      <c r="M499" s="36">
        <f t="shared" si="279"/>
        <v>0</v>
      </c>
      <c r="N499" s="36">
        <f t="shared" si="279"/>
        <v>0</v>
      </c>
      <c r="O499" s="36">
        <f t="shared" si="279"/>
        <v>0</v>
      </c>
      <c r="P499" s="268">
        <f t="shared" si="279"/>
        <v>0</v>
      </c>
      <c r="Q499" s="281">
        <f>SUM(L499:P499)</f>
        <v>3000</v>
      </c>
      <c r="R499" s="22"/>
      <c r="S499" s="115"/>
      <c r="T499" s="51"/>
    </row>
    <row r="500" spans="1:20" x14ac:dyDescent="0.2">
      <c r="A500" s="20" t="s">
        <v>461</v>
      </c>
      <c r="B500" s="46"/>
      <c r="C500" s="51"/>
      <c r="D500" s="21"/>
      <c r="E500" s="96"/>
      <c r="F500" s="100"/>
      <c r="G500" s="100"/>
      <c r="H500" s="100"/>
      <c r="I500" s="100"/>
      <c r="J500" s="101">
        <f t="shared" si="248"/>
        <v>0</v>
      </c>
      <c r="K500" s="115"/>
      <c r="L500" s="161">
        <f t="shared" ref="L500:Q500" si="280">SUM(L501:L502)</f>
        <v>0</v>
      </c>
      <c r="M500" s="157">
        <f t="shared" si="280"/>
        <v>10000</v>
      </c>
      <c r="N500" s="157">
        <f t="shared" si="280"/>
        <v>0</v>
      </c>
      <c r="O500" s="157">
        <f t="shared" si="280"/>
        <v>0</v>
      </c>
      <c r="P500" s="270">
        <f t="shared" si="280"/>
        <v>0</v>
      </c>
      <c r="Q500" s="284">
        <f t="shared" si="280"/>
        <v>10000</v>
      </c>
      <c r="R500" s="39" t="s">
        <v>735</v>
      </c>
      <c r="S500" s="115" t="s">
        <v>665</v>
      </c>
      <c r="T500" s="51">
        <v>2</v>
      </c>
    </row>
    <row r="501" spans="1:20" x14ac:dyDescent="0.2">
      <c r="A501" s="95">
        <v>11</v>
      </c>
      <c r="B501" s="108" t="str">
        <f>IF(A501&lt;&gt;0,INDEX(Coûts,'PA-Détails'!A501, 2),)</f>
        <v>Atelier technique</v>
      </c>
      <c r="C501" s="51"/>
      <c r="D501" s="94" t="str">
        <f>IF(A501&lt;&gt;0,INDEX(Coûts, 'PA-Détails'!A501, 5),)</f>
        <v>Pers / j</v>
      </c>
      <c r="E501" s="96"/>
      <c r="F501" s="100">
        <f>20*5</f>
        <v>100</v>
      </c>
      <c r="G501" s="100"/>
      <c r="H501" s="100"/>
      <c r="I501" s="100"/>
      <c r="J501" s="101">
        <f t="shared" si="248"/>
        <v>100</v>
      </c>
      <c r="K501" s="115">
        <f>IF(A501&lt;&gt;0,INDEX(Coûts, 'PA-Détails'!A501, 3),)</f>
        <v>70</v>
      </c>
      <c r="L501" s="37">
        <f t="shared" ref="L501:P503" si="281">ROUND(+$K501*E501,0)</f>
        <v>0</v>
      </c>
      <c r="M501" s="36">
        <f t="shared" si="281"/>
        <v>7000</v>
      </c>
      <c r="N501" s="36">
        <f t="shared" si="281"/>
        <v>0</v>
      </c>
      <c r="O501" s="36">
        <f t="shared" si="281"/>
        <v>0</v>
      </c>
      <c r="P501" s="268">
        <f t="shared" si="281"/>
        <v>0</v>
      </c>
      <c r="Q501" s="281">
        <f>SUM(L501:P501)</f>
        <v>7000</v>
      </c>
      <c r="R501" s="22"/>
      <c r="S501" s="115"/>
      <c r="T501" s="51"/>
    </row>
    <row r="502" spans="1:20" x14ac:dyDescent="0.2">
      <c r="A502" s="95">
        <v>5</v>
      </c>
      <c r="B502" s="108" t="str">
        <f>IF(A502&lt;&gt;0,INDEX(Coûts,'PA-Détails'!A502, 2),)</f>
        <v>Atelier de validation</v>
      </c>
      <c r="C502" s="51"/>
      <c r="D502" s="94" t="str">
        <f>IF(A502&lt;&gt;0,INDEX(Coûts, 'PA-Détails'!A502, 5),)</f>
        <v>Pers / j</v>
      </c>
      <c r="E502" s="96"/>
      <c r="F502" s="100">
        <v>60</v>
      </c>
      <c r="G502" s="100"/>
      <c r="H502" s="100"/>
      <c r="I502" s="100"/>
      <c r="J502" s="101">
        <f t="shared" si="248"/>
        <v>60</v>
      </c>
      <c r="K502" s="115">
        <f>IF(A502&lt;&gt;0,INDEX(Coûts, 'PA-Détails'!A502, 3),)</f>
        <v>50</v>
      </c>
      <c r="L502" s="37">
        <f t="shared" si="281"/>
        <v>0</v>
      </c>
      <c r="M502" s="36">
        <f t="shared" si="281"/>
        <v>3000</v>
      </c>
      <c r="N502" s="36">
        <f t="shared" si="281"/>
        <v>0</v>
      </c>
      <c r="O502" s="36">
        <f t="shared" si="281"/>
        <v>0</v>
      </c>
      <c r="P502" s="268">
        <f t="shared" si="281"/>
        <v>0</v>
      </c>
      <c r="Q502" s="281">
        <f>SUM(L502:P502)</f>
        <v>3000</v>
      </c>
      <c r="R502" s="22"/>
      <c r="S502" s="115"/>
      <c r="T502" s="51"/>
    </row>
    <row r="503" spans="1:20" x14ac:dyDescent="0.2">
      <c r="A503" s="17" t="s">
        <v>462</v>
      </c>
      <c r="B503" s="45"/>
      <c r="C503" s="51" t="s">
        <v>458</v>
      </c>
      <c r="D503" s="18"/>
      <c r="E503" s="97"/>
      <c r="F503" s="98"/>
      <c r="G503" s="98"/>
      <c r="H503" s="98"/>
      <c r="I503" s="98"/>
      <c r="J503" s="99">
        <f t="shared" si="248"/>
        <v>0</v>
      </c>
      <c r="K503" s="116"/>
      <c r="L503" s="35">
        <f t="shared" si="281"/>
        <v>0</v>
      </c>
      <c r="M503" s="34">
        <f t="shared" si="281"/>
        <v>0</v>
      </c>
      <c r="N503" s="34">
        <f t="shared" si="281"/>
        <v>0</v>
      </c>
      <c r="O503" s="34">
        <f t="shared" si="281"/>
        <v>0</v>
      </c>
      <c r="P503" s="269">
        <f t="shared" si="281"/>
        <v>0</v>
      </c>
      <c r="Q503" s="279">
        <f>SUM(L503:P503)</f>
        <v>0</v>
      </c>
      <c r="R503" s="19"/>
      <c r="S503" s="116"/>
      <c r="T503" s="51">
        <v>2</v>
      </c>
    </row>
    <row r="504" spans="1:20" x14ac:dyDescent="0.2">
      <c r="A504" s="20" t="s">
        <v>463</v>
      </c>
      <c r="B504" s="46"/>
      <c r="C504" s="51"/>
      <c r="D504" s="21"/>
      <c r="E504" s="96"/>
      <c r="F504" s="100"/>
      <c r="G504" s="100"/>
      <c r="H504" s="100"/>
      <c r="I504" s="100"/>
      <c r="J504" s="101">
        <f t="shared" si="248"/>
        <v>0</v>
      </c>
      <c r="K504" s="115"/>
      <c r="L504" s="161">
        <f t="shared" ref="L504:Q504" si="282">SUM(L505:L506)</f>
        <v>726000</v>
      </c>
      <c r="M504" s="157">
        <f t="shared" si="282"/>
        <v>0</v>
      </c>
      <c r="N504" s="157">
        <f t="shared" si="282"/>
        <v>726000</v>
      </c>
      <c r="O504" s="157">
        <f t="shared" si="282"/>
        <v>0</v>
      </c>
      <c r="P504" s="270">
        <f t="shared" si="282"/>
        <v>726000</v>
      </c>
      <c r="Q504" s="284">
        <f t="shared" si="282"/>
        <v>2178000</v>
      </c>
      <c r="R504" s="39" t="s">
        <v>736</v>
      </c>
      <c r="S504" s="115" t="s">
        <v>665</v>
      </c>
      <c r="T504" s="51">
        <v>2</v>
      </c>
    </row>
    <row r="505" spans="1:20" x14ac:dyDescent="0.2">
      <c r="A505" s="95">
        <v>12</v>
      </c>
      <c r="B505" s="108" t="str">
        <f>IF(A505&lt;&gt;0,INDEX(Coûts,'PA-Détails'!A505, 2),)</f>
        <v>Formation - Action et Formation de formateurs</v>
      </c>
      <c r="C505" s="51"/>
      <c r="D505" s="94" t="str">
        <f>IF(A505&lt;&gt;0,INDEX(Coûts, 'PA-Détails'!A505, 5),)</f>
        <v>Pers / j</v>
      </c>
      <c r="E505" s="96">
        <v>40</v>
      </c>
      <c r="F505" s="100"/>
      <c r="G505" s="100">
        <v>40</v>
      </c>
      <c r="H505" s="100"/>
      <c r="I505" s="100">
        <v>40</v>
      </c>
      <c r="J505" s="101">
        <f t="shared" ref="J505:J567" si="283">SUM(E505:I505)</f>
        <v>120</v>
      </c>
      <c r="K505" s="115">
        <f>IF(A505&lt;&gt;0,INDEX(Coûts, 'PA-Détails'!A505, 3),)</f>
        <v>150</v>
      </c>
      <c r="L505" s="37">
        <f t="shared" ref="L505:P507" si="284">ROUND(+$K505*E505,0)</f>
        <v>6000</v>
      </c>
      <c r="M505" s="36">
        <f t="shared" si="284"/>
        <v>0</v>
      </c>
      <c r="N505" s="36">
        <f t="shared" si="284"/>
        <v>6000</v>
      </c>
      <c r="O505" s="36">
        <f t="shared" si="284"/>
        <v>0</v>
      </c>
      <c r="P505" s="268">
        <f t="shared" si="284"/>
        <v>6000</v>
      </c>
      <c r="Q505" s="281">
        <f>SUM(L505:P505)</f>
        <v>18000</v>
      </c>
      <c r="R505" s="22"/>
      <c r="S505" s="21"/>
      <c r="T505" s="51"/>
    </row>
    <row r="506" spans="1:20" x14ac:dyDescent="0.2">
      <c r="A506" s="95">
        <v>13</v>
      </c>
      <c r="B506" s="108" t="str">
        <f>IF(A506&lt;&gt;0,INDEX(Coûts,'PA-Détails'!A506, 2),)</f>
        <v>Formation au niveau local</v>
      </c>
      <c r="C506" s="51"/>
      <c r="D506" s="94" t="str">
        <f>IF(A506&lt;&gt;0,INDEX(Coûts, 'PA-Détails'!A506, 5),)</f>
        <v>Pers / j</v>
      </c>
      <c r="E506" s="96">
        <f>(7000+9000)*3</f>
        <v>48000</v>
      </c>
      <c r="F506" s="100"/>
      <c r="G506" s="100">
        <f>E506</f>
        <v>48000</v>
      </c>
      <c r="H506" s="100"/>
      <c r="I506" s="100">
        <f>G506</f>
        <v>48000</v>
      </c>
      <c r="J506" s="101">
        <f t="shared" si="283"/>
        <v>144000</v>
      </c>
      <c r="K506" s="115">
        <f>IF(A506&lt;&gt;0,INDEX(Coûts, 'PA-Détails'!A506, 3),)</f>
        <v>15</v>
      </c>
      <c r="L506" s="37">
        <f t="shared" si="284"/>
        <v>720000</v>
      </c>
      <c r="M506" s="36">
        <f t="shared" si="284"/>
        <v>0</v>
      </c>
      <c r="N506" s="36">
        <f t="shared" si="284"/>
        <v>720000</v>
      </c>
      <c r="O506" s="36">
        <f t="shared" si="284"/>
        <v>0</v>
      </c>
      <c r="P506" s="268">
        <f t="shared" si="284"/>
        <v>720000</v>
      </c>
      <c r="Q506" s="281">
        <f>SUM(L506:P506)</f>
        <v>2160000</v>
      </c>
      <c r="R506" s="22"/>
      <c r="S506" s="21"/>
      <c r="T506" s="51"/>
    </row>
    <row r="507" spans="1:20" x14ac:dyDescent="0.2">
      <c r="A507" s="17" t="s">
        <v>986</v>
      </c>
      <c r="B507" s="45"/>
      <c r="C507" s="51" t="s">
        <v>458</v>
      </c>
      <c r="D507" s="18"/>
      <c r="E507" s="97"/>
      <c r="F507" s="98"/>
      <c r="G507" s="98"/>
      <c r="H507" s="98"/>
      <c r="I507" s="98"/>
      <c r="J507" s="99">
        <f t="shared" si="283"/>
        <v>0</v>
      </c>
      <c r="K507" s="116"/>
      <c r="L507" s="35">
        <f t="shared" si="284"/>
        <v>0</v>
      </c>
      <c r="M507" s="34">
        <f t="shared" si="284"/>
        <v>0</v>
      </c>
      <c r="N507" s="34">
        <f t="shared" si="284"/>
        <v>0</v>
      </c>
      <c r="O507" s="34">
        <f t="shared" si="284"/>
        <v>0</v>
      </c>
      <c r="P507" s="269">
        <f t="shared" si="284"/>
        <v>0</v>
      </c>
      <c r="Q507" s="279">
        <f>SUM(L507:P507)</f>
        <v>0</v>
      </c>
      <c r="R507" s="19"/>
      <c r="S507" s="116"/>
      <c r="T507" s="51">
        <v>1</v>
      </c>
    </row>
    <row r="508" spans="1:20" x14ac:dyDescent="0.2">
      <c r="A508" s="20" t="s">
        <v>988</v>
      </c>
      <c r="B508" s="46"/>
      <c r="C508" s="51"/>
      <c r="D508" s="21"/>
      <c r="E508" s="96"/>
      <c r="F508" s="100"/>
      <c r="G508" s="100"/>
      <c r="H508" s="100"/>
      <c r="I508" s="100"/>
      <c r="J508" s="101">
        <f t="shared" si="283"/>
        <v>0</v>
      </c>
      <c r="K508" s="115"/>
      <c r="L508" s="161">
        <f t="shared" ref="L508:Q508" si="285">SUM(L509:L509)</f>
        <v>8710178.0159834251</v>
      </c>
      <c r="M508" s="157">
        <f t="shared" si="285"/>
        <v>9213832.8723199721</v>
      </c>
      <c r="N508" s="157">
        <f t="shared" si="285"/>
        <v>9708144.0472692177</v>
      </c>
      <c r="O508" s="157">
        <f t="shared" si="285"/>
        <v>10124819.302845683</v>
      </c>
      <c r="P508" s="270">
        <f t="shared" si="285"/>
        <v>10451679.711646976</v>
      </c>
      <c r="Q508" s="284">
        <f t="shared" si="285"/>
        <v>48208653.95006527</v>
      </c>
      <c r="R508" s="39" t="s">
        <v>736</v>
      </c>
      <c r="S508" s="115" t="s">
        <v>665</v>
      </c>
      <c r="T508" s="51">
        <v>1</v>
      </c>
    </row>
    <row r="509" spans="1:20" x14ac:dyDescent="0.2">
      <c r="A509" s="95">
        <v>215</v>
      </c>
      <c r="B509" s="108" t="str">
        <f>IF(A509&lt;&gt;0,INDEX(Coûts,'PA-Détails'!A509, 2),)</f>
        <v>Rémunération d'un enseignant ENF</v>
      </c>
      <c r="C509" s="51"/>
      <c r="D509" s="94">
        <f>IF(A509&lt;&gt;0,INDEX(Coûts, 'PA-Détails'!A509, 5),)</f>
        <v>0</v>
      </c>
      <c r="E509" s="96">
        <f>'[5]Non Formel'!I$55+'[5]Non Formel'!I$133</f>
        <v>7704.7706667624989</v>
      </c>
      <c r="F509" s="100">
        <f>'[5]Non Formel'!J$55+'[5]Non Formel'!J$133</f>
        <v>7512.8799873646467</v>
      </c>
      <c r="G509" s="100">
        <f>'[5]Non Formel'!K$55+'[5]Non Formel'!K$133</f>
        <v>7384.7379896202638</v>
      </c>
      <c r="H509" s="100">
        <f>'[5]Non Formel'!L$55+'[5]Non Formel'!L$133</f>
        <v>7309.5449448910631</v>
      </c>
      <c r="I509" s="100">
        <f>'[5]Non Formel'!M$55+'[5]Non Formel'!M$133</f>
        <v>7279.6514154648685</v>
      </c>
      <c r="J509" s="101">
        <f t="shared" si="283"/>
        <v>37191.585004103341</v>
      </c>
      <c r="K509" s="115">
        <f>IF(A509&lt;&gt;0,INDEX(Coûts, 'PA-Détails'!A509, 3),)</f>
        <v>0</v>
      </c>
      <c r="L509" s="37">
        <f>[5]Coûts!M$329+[5]Coûts!M$356</f>
        <v>8710178.0159834251</v>
      </c>
      <c r="M509" s="36">
        <f>[5]Coûts!N$329+[5]Coûts!N$356</f>
        <v>9213832.8723199721</v>
      </c>
      <c r="N509" s="36">
        <f>[5]Coûts!O$329+[5]Coûts!O$356</f>
        <v>9708144.0472692177</v>
      </c>
      <c r="O509" s="36">
        <f>[5]Coûts!P$329+[5]Coûts!P$356</f>
        <v>10124819.302845683</v>
      </c>
      <c r="P509" s="268">
        <f>[5]Coûts!Q$329+[5]Coûts!Q$356</f>
        <v>10451679.711646976</v>
      </c>
      <c r="Q509" s="281">
        <f>SUM(L509:P509)</f>
        <v>48208653.95006527</v>
      </c>
      <c r="R509" s="22"/>
      <c r="S509" s="21"/>
      <c r="T509" s="51"/>
    </row>
    <row r="510" spans="1:20" x14ac:dyDescent="0.2">
      <c r="A510" s="14" t="s">
        <v>737</v>
      </c>
      <c r="B510" s="44"/>
      <c r="C510" s="112"/>
      <c r="D510" s="15"/>
      <c r="E510" s="102"/>
      <c r="F510" s="103"/>
      <c r="G510" s="103"/>
      <c r="H510" s="103"/>
      <c r="I510" s="103"/>
      <c r="J510" s="104">
        <f t="shared" si="283"/>
        <v>0</v>
      </c>
      <c r="K510" s="145"/>
      <c r="L510" s="33">
        <f t="shared" ref="L510:P511" si="286">ROUND(+$K510*E510,0)</f>
        <v>0</v>
      </c>
      <c r="M510" s="32">
        <f t="shared" si="286"/>
        <v>0</v>
      </c>
      <c r="N510" s="32">
        <f t="shared" si="286"/>
        <v>0</v>
      </c>
      <c r="O510" s="32">
        <f t="shared" si="286"/>
        <v>0</v>
      </c>
      <c r="P510" s="267">
        <f t="shared" si="286"/>
        <v>0</v>
      </c>
      <c r="Q510" s="278">
        <f>SUM(L510:P510)</f>
        <v>0</v>
      </c>
      <c r="R510" s="40"/>
      <c r="S510" s="145"/>
      <c r="T510" s="49">
        <v>3</v>
      </c>
    </row>
    <row r="511" spans="1:20" x14ac:dyDescent="0.2">
      <c r="A511" s="17" t="s">
        <v>594</v>
      </c>
      <c r="B511" s="45"/>
      <c r="C511" s="51" t="s">
        <v>595</v>
      </c>
      <c r="D511" s="18"/>
      <c r="E511" s="97"/>
      <c r="F511" s="98"/>
      <c r="G511" s="98"/>
      <c r="H511" s="98"/>
      <c r="I511" s="98"/>
      <c r="J511" s="99">
        <f t="shared" si="283"/>
        <v>0</v>
      </c>
      <c r="K511" s="116"/>
      <c r="L511" s="35">
        <f t="shared" si="286"/>
        <v>0</v>
      </c>
      <c r="M511" s="34">
        <f t="shared" si="286"/>
        <v>0</v>
      </c>
      <c r="N511" s="34">
        <f t="shared" si="286"/>
        <v>0</v>
      </c>
      <c r="O511" s="34">
        <f t="shared" si="286"/>
        <v>0</v>
      </c>
      <c r="P511" s="269">
        <f t="shared" si="286"/>
        <v>0</v>
      </c>
      <c r="Q511" s="279">
        <f>SUM(L511:P511)</f>
        <v>0</v>
      </c>
      <c r="R511" s="38"/>
      <c r="S511" s="116"/>
      <c r="T511" s="50"/>
    </row>
    <row r="512" spans="1:20" x14ac:dyDescent="0.2">
      <c r="A512" s="20" t="s">
        <v>596</v>
      </c>
      <c r="B512" s="149"/>
      <c r="C512" s="51"/>
      <c r="D512" s="21"/>
      <c r="E512" s="96"/>
      <c r="F512" s="100"/>
      <c r="G512" s="100"/>
      <c r="H512" s="100"/>
      <c r="I512" s="100"/>
      <c r="J512" s="101">
        <f t="shared" si="283"/>
        <v>0</v>
      </c>
      <c r="K512" s="115"/>
      <c r="L512" s="161">
        <f t="shared" ref="L512:Q512" si="287">SUM(L513:L513)</f>
        <v>14000</v>
      </c>
      <c r="M512" s="157">
        <f t="shared" si="287"/>
        <v>14000</v>
      </c>
      <c r="N512" s="157">
        <f t="shared" si="287"/>
        <v>14000</v>
      </c>
      <c r="O512" s="157">
        <f t="shared" si="287"/>
        <v>14000</v>
      </c>
      <c r="P512" s="270">
        <f t="shared" si="287"/>
        <v>14000</v>
      </c>
      <c r="Q512" s="284">
        <f t="shared" si="287"/>
        <v>70000</v>
      </c>
      <c r="R512" s="39" t="s">
        <v>739</v>
      </c>
      <c r="S512" s="115" t="s">
        <v>665</v>
      </c>
      <c r="T512" s="51"/>
    </row>
    <row r="513" spans="1:20" x14ac:dyDescent="0.2">
      <c r="A513" s="95">
        <v>11</v>
      </c>
      <c r="B513" s="108" t="str">
        <f>IF(A513&lt;&gt;0,INDEX(Coûts,'PA-Détails'!A513, 2),)</f>
        <v>Atelier technique</v>
      </c>
      <c r="C513" s="51"/>
      <c r="D513" s="94" t="str">
        <f>IF(A513&lt;&gt;0,INDEX(Coûts, 'PA-Détails'!A513, 5),)</f>
        <v>Pers / j</v>
      </c>
      <c r="E513" s="96">
        <f>4*50</f>
        <v>200</v>
      </c>
      <c r="F513" s="100">
        <f>E513</f>
        <v>200</v>
      </c>
      <c r="G513" s="100">
        <f>F513</f>
        <v>200</v>
      </c>
      <c r="H513" s="100">
        <f>G513</f>
        <v>200</v>
      </c>
      <c r="I513" s="100">
        <f>H513</f>
        <v>200</v>
      </c>
      <c r="J513" s="101">
        <f t="shared" si="283"/>
        <v>1000</v>
      </c>
      <c r="K513" s="115">
        <f>IF(A513&lt;&gt;0,INDEX(Coûts, 'PA-Détails'!A513, 3),)</f>
        <v>70</v>
      </c>
      <c r="L513" s="37">
        <f t="shared" ref="L513:P515" si="288">ROUND(+$K513*E513,0)</f>
        <v>14000</v>
      </c>
      <c r="M513" s="36">
        <f t="shared" si="288"/>
        <v>14000</v>
      </c>
      <c r="N513" s="36">
        <f t="shared" si="288"/>
        <v>14000</v>
      </c>
      <c r="O513" s="36">
        <f t="shared" si="288"/>
        <v>14000</v>
      </c>
      <c r="P513" s="268">
        <f t="shared" si="288"/>
        <v>14000</v>
      </c>
      <c r="Q513" s="281">
        <f>SUM(L513:P513)</f>
        <v>70000</v>
      </c>
      <c r="R513" s="39"/>
      <c r="S513" s="115"/>
      <c r="T513" s="51"/>
    </row>
    <row r="514" spans="1:20" x14ac:dyDescent="0.2">
      <c r="A514" s="14" t="s">
        <v>740</v>
      </c>
      <c r="B514" s="44"/>
      <c r="C514" s="112"/>
      <c r="D514" s="15"/>
      <c r="E514" s="102"/>
      <c r="F514" s="103"/>
      <c r="G514" s="103"/>
      <c r="H514" s="103"/>
      <c r="I514" s="103"/>
      <c r="J514" s="104">
        <f t="shared" si="283"/>
        <v>0</v>
      </c>
      <c r="K514" s="145"/>
      <c r="L514" s="33">
        <f t="shared" si="288"/>
        <v>0</v>
      </c>
      <c r="M514" s="32">
        <f t="shared" si="288"/>
        <v>0</v>
      </c>
      <c r="N514" s="32">
        <f t="shared" si="288"/>
        <v>0</v>
      </c>
      <c r="O514" s="32">
        <f t="shared" si="288"/>
        <v>0</v>
      </c>
      <c r="P514" s="267">
        <f t="shared" si="288"/>
        <v>0</v>
      </c>
      <c r="Q514" s="278">
        <f>SUM(L514:P514)</f>
        <v>0</v>
      </c>
      <c r="R514" s="40"/>
      <c r="S514" s="145"/>
      <c r="T514" s="49">
        <v>3</v>
      </c>
    </row>
    <row r="515" spans="1:20" x14ac:dyDescent="0.2">
      <c r="A515" s="17" t="s">
        <v>65</v>
      </c>
      <c r="B515" s="45"/>
      <c r="C515" s="51"/>
      <c r="D515" s="18"/>
      <c r="E515" s="97"/>
      <c r="F515" s="98"/>
      <c r="G515" s="98"/>
      <c r="H515" s="98"/>
      <c r="I515" s="98"/>
      <c r="J515" s="99">
        <f t="shared" si="283"/>
        <v>0</v>
      </c>
      <c r="K515" s="116"/>
      <c r="L515" s="35">
        <f t="shared" si="288"/>
        <v>0</v>
      </c>
      <c r="M515" s="34">
        <f t="shared" si="288"/>
        <v>0</v>
      </c>
      <c r="N515" s="34">
        <f t="shared" si="288"/>
        <v>0</v>
      </c>
      <c r="O515" s="34">
        <f t="shared" si="288"/>
        <v>0</v>
      </c>
      <c r="P515" s="269">
        <f t="shared" si="288"/>
        <v>0</v>
      </c>
      <c r="Q515" s="279">
        <f>SUM(L515:P515)</f>
        <v>0</v>
      </c>
      <c r="R515" s="38"/>
      <c r="S515" s="116"/>
      <c r="T515" s="50"/>
    </row>
    <row r="516" spans="1:20" x14ac:dyDescent="0.2">
      <c r="A516" s="20" t="s">
        <v>741</v>
      </c>
      <c r="B516" s="149"/>
      <c r="C516" s="51" t="s">
        <v>597</v>
      </c>
      <c r="D516" s="21"/>
      <c r="E516" s="96"/>
      <c r="F516" s="100"/>
      <c r="G516" s="100"/>
      <c r="H516" s="100"/>
      <c r="I516" s="100"/>
      <c r="J516" s="99">
        <f t="shared" si="283"/>
        <v>0</v>
      </c>
      <c r="K516" s="115"/>
      <c r="L516" s="161">
        <f t="shared" ref="L516:Q516" si="289">SUM(L517:L518)</f>
        <v>11500</v>
      </c>
      <c r="M516" s="157">
        <f t="shared" si="289"/>
        <v>0</v>
      </c>
      <c r="N516" s="157">
        <f t="shared" si="289"/>
        <v>0</v>
      </c>
      <c r="O516" s="157">
        <f t="shared" si="289"/>
        <v>0</v>
      </c>
      <c r="P516" s="270">
        <f t="shared" si="289"/>
        <v>0</v>
      </c>
      <c r="Q516" s="284">
        <f t="shared" si="289"/>
        <v>11500</v>
      </c>
      <c r="R516" s="39" t="s">
        <v>707</v>
      </c>
      <c r="S516" s="115" t="s">
        <v>665</v>
      </c>
      <c r="T516" s="51"/>
    </row>
    <row r="517" spans="1:20" x14ac:dyDescent="0.2">
      <c r="A517" s="95">
        <v>2</v>
      </c>
      <c r="B517" s="108" t="str">
        <f>IF(A517&lt;&gt;0,INDEX(Coûts,'PA-Détails'!A517, 2),)</f>
        <v>Assistance technique nationale (consultants)</v>
      </c>
      <c r="C517" s="51"/>
      <c r="D517" s="94" t="str">
        <f>IF(A517&lt;&gt;0,INDEX(Coûts, 'PA-Détails'!A517, 5),)</f>
        <v>Pers / j</v>
      </c>
      <c r="E517" s="96">
        <v>30</v>
      </c>
      <c r="F517" s="100"/>
      <c r="G517" s="100"/>
      <c r="H517" s="100"/>
      <c r="I517" s="100"/>
      <c r="J517" s="101">
        <f t="shared" si="283"/>
        <v>30</v>
      </c>
      <c r="K517" s="115">
        <f>IF(A517&lt;&gt;0,INDEX(Coûts, 'PA-Détails'!A517, 3),)</f>
        <v>300</v>
      </c>
      <c r="L517" s="37">
        <f t="shared" ref="L517:P519" si="290">ROUND(+$K517*E517,0)</f>
        <v>9000</v>
      </c>
      <c r="M517" s="36">
        <f t="shared" si="290"/>
        <v>0</v>
      </c>
      <c r="N517" s="36">
        <f t="shared" si="290"/>
        <v>0</v>
      </c>
      <c r="O517" s="36">
        <f t="shared" si="290"/>
        <v>0</v>
      </c>
      <c r="P517" s="268">
        <f t="shared" si="290"/>
        <v>0</v>
      </c>
      <c r="Q517" s="281">
        <f>SUM(L517:P517)</f>
        <v>9000</v>
      </c>
      <c r="R517" s="39"/>
      <c r="S517" s="115"/>
      <c r="T517" s="51"/>
    </row>
    <row r="518" spans="1:20" x14ac:dyDescent="0.2">
      <c r="A518" s="95">
        <v>5</v>
      </c>
      <c r="B518" s="108" t="str">
        <f>IF(A518&lt;&gt;0,INDEX(Coûts,'PA-Détails'!A518, 2),)</f>
        <v>Atelier de validation</v>
      </c>
      <c r="C518" s="51"/>
      <c r="D518" s="94" t="str">
        <f>IF(A518&lt;&gt;0,INDEX(Coûts, 'PA-Détails'!A518, 5),)</f>
        <v>Pers / j</v>
      </c>
      <c r="E518" s="96">
        <v>50</v>
      </c>
      <c r="F518" s="100"/>
      <c r="G518" s="100"/>
      <c r="H518" s="100"/>
      <c r="I518" s="100"/>
      <c r="J518" s="101">
        <f t="shared" si="283"/>
        <v>50</v>
      </c>
      <c r="K518" s="115">
        <f>IF(A518&lt;&gt;0,INDEX(Coûts, 'PA-Détails'!A518, 3),)</f>
        <v>50</v>
      </c>
      <c r="L518" s="37">
        <f t="shared" si="290"/>
        <v>2500</v>
      </c>
      <c r="M518" s="36">
        <f t="shared" si="290"/>
        <v>0</v>
      </c>
      <c r="N518" s="36">
        <f t="shared" si="290"/>
        <v>0</v>
      </c>
      <c r="O518" s="36">
        <f t="shared" si="290"/>
        <v>0</v>
      </c>
      <c r="P518" s="268">
        <f t="shared" si="290"/>
        <v>0</v>
      </c>
      <c r="Q518" s="281">
        <f>SUM(L518:P518)</f>
        <v>2500</v>
      </c>
      <c r="R518" s="39"/>
      <c r="S518" s="115"/>
      <c r="T518" s="51"/>
    </row>
    <row r="519" spans="1:20" x14ac:dyDescent="0.2">
      <c r="A519" s="17" t="s">
        <v>66</v>
      </c>
      <c r="B519" s="45"/>
      <c r="C519" s="51"/>
      <c r="D519" s="18"/>
      <c r="E519" s="97"/>
      <c r="F519" s="98"/>
      <c r="G519" s="98"/>
      <c r="H519" s="98"/>
      <c r="I519" s="98"/>
      <c r="J519" s="99">
        <f t="shared" si="283"/>
        <v>0</v>
      </c>
      <c r="K519" s="116"/>
      <c r="L519" s="35">
        <f t="shared" si="290"/>
        <v>0</v>
      </c>
      <c r="M519" s="34">
        <f t="shared" si="290"/>
        <v>0</v>
      </c>
      <c r="N519" s="34">
        <f t="shared" si="290"/>
        <v>0</v>
      </c>
      <c r="O519" s="34">
        <f t="shared" si="290"/>
        <v>0</v>
      </c>
      <c r="P519" s="269">
        <f t="shared" si="290"/>
        <v>0</v>
      </c>
      <c r="Q519" s="279">
        <f>SUM(L519:P519)</f>
        <v>0</v>
      </c>
      <c r="R519" s="38"/>
      <c r="S519" s="116"/>
      <c r="T519" s="50"/>
    </row>
    <row r="520" spans="1:20" x14ac:dyDescent="0.2">
      <c r="A520" s="20" t="s">
        <v>598</v>
      </c>
      <c r="B520" s="149"/>
      <c r="C520" s="51"/>
      <c r="D520" s="21"/>
      <c r="E520" s="96"/>
      <c r="F520" s="100"/>
      <c r="G520" s="100"/>
      <c r="H520" s="100"/>
      <c r="I520" s="100"/>
      <c r="J520" s="101">
        <f t="shared" si="283"/>
        <v>0</v>
      </c>
      <c r="K520" s="115"/>
      <c r="L520" s="161">
        <f t="shared" ref="L520:Q520" si="291">SUM(L521:L523)</f>
        <v>0</v>
      </c>
      <c r="M520" s="157">
        <f t="shared" si="291"/>
        <v>37740</v>
      </c>
      <c r="N520" s="157">
        <f t="shared" si="291"/>
        <v>38110</v>
      </c>
      <c r="O520" s="157">
        <f t="shared" si="291"/>
        <v>38480</v>
      </c>
      <c r="P520" s="270">
        <f t="shared" si="291"/>
        <v>38850</v>
      </c>
      <c r="Q520" s="284">
        <f t="shared" si="291"/>
        <v>153180</v>
      </c>
      <c r="R520" s="39" t="s">
        <v>738</v>
      </c>
      <c r="S520" s="115" t="s">
        <v>665</v>
      </c>
      <c r="T520" s="51"/>
    </row>
    <row r="521" spans="1:20" x14ac:dyDescent="0.2">
      <c r="A521" s="95">
        <v>8</v>
      </c>
      <c r="B521" s="108" t="str">
        <f>IF(A521&lt;&gt;0,INDEX(Coûts,'PA-Détails'!A521, 2),)</f>
        <v>Formation</v>
      </c>
      <c r="C521" s="51"/>
      <c r="D521" s="94" t="str">
        <f>IF(A521&lt;&gt;0,INDEX(Coûts, 'PA-Détails'!A521, 5),)</f>
        <v>Pers / j</v>
      </c>
      <c r="E521" s="96"/>
      <c r="F521" s="100">
        <f>(2*26+5)*5</f>
        <v>285</v>
      </c>
      <c r="G521" s="100">
        <f>F521</f>
        <v>285</v>
      </c>
      <c r="H521" s="100">
        <f>G521</f>
        <v>285</v>
      </c>
      <c r="I521" s="100">
        <f>H521</f>
        <v>285</v>
      </c>
      <c r="J521" s="101">
        <f t="shared" si="283"/>
        <v>1140</v>
      </c>
      <c r="K521" s="115">
        <f>IF(A521&lt;&gt;0,INDEX(Coûts, 'PA-Détails'!A521, 3),)</f>
        <v>110</v>
      </c>
      <c r="L521" s="37">
        <f t="shared" ref="L521:P523" si="292">ROUND(+$K521*E521,0)</f>
        <v>0</v>
      </c>
      <c r="M521" s="36">
        <f t="shared" si="292"/>
        <v>31350</v>
      </c>
      <c r="N521" s="36">
        <f t="shared" si="292"/>
        <v>31350</v>
      </c>
      <c r="O521" s="36">
        <f t="shared" si="292"/>
        <v>31350</v>
      </c>
      <c r="P521" s="268">
        <f t="shared" si="292"/>
        <v>31350</v>
      </c>
      <c r="Q521" s="281">
        <f>SUM(L521:P521)</f>
        <v>125400</v>
      </c>
      <c r="R521" s="39"/>
      <c r="S521" s="115"/>
      <c r="T521" s="51"/>
    </row>
    <row r="522" spans="1:20" x14ac:dyDescent="0.2">
      <c r="A522" s="95">
        <v>9</v>
      </c>
      <c r="B522" s="108" t="str">
        <f>IF(A522&lt;&gt;0,INDEX(Coûts,'PA-Détails'!A522, 2),)</f>
        <v>Formation à l'étranger</v>
      </c>
      <c r="C522" s="51"/>
      <c r="D522" s="94" t="str">
        <f>IF(A522&lt;&gt;0,INDEX(Coûts, 'PA-Détails'!A522, 5),)</f>
        <v>Pers / j</v>
      </c>
      <c r="E522" s="96"/>
      <c r="F522" s="100">
        <f>7</f>
        <v>7</v>
      </c>
      <c r="G522" s="100">
        <f>8</f>
        <v>8</v>
      </c>
      <c r="H522" s="100">
        <f>9</f>
        <v>9</v>
      </c>
      <c r="I522" s="100">
        <f>10</f>
        <v>10</v>
      </c>
      <c r="J522" s="101">
        <f t="shared" si="283"/>
        <v>34</v>
      </c>
      <c r="K522" s="115">
        <f>IF(A522&lt;&gt;0,INDEX(Coûts, 'PA-Détails'!A522, 3),)</f>
        <v>370</v>
      </c>
      <c r="L522" s="37">
        <f t="shared" si="292"/>
        <v>0</v>
      </c>
      <c r="M522" s="36">
        <f t="shared" si="292"/>
        <v>2590</v>
      </c>
      <c r="N522" s="36">
        <f t="shared" si="292"/>
        <v>2960</v>
      </c>
      <c r="O522" s="36">
        <f t="shared" si="292"/>
        <v>3330</v>
      </c>
      <c r="P522" s="268">
        <f t="shared" si="292"/>
        <v>3700</v>
      </c>
      <c r="Q522" s="281">
        <f>SUM(L522:P522)</f>
        <v>12580</v>
      </c>
      <c r="R522" s="39"/>
      <c r="S522" s="115"/>
      <c r="T522" s="51"/>
    </row>
    <row r="523" spans="1:20" x14ac:dyDescent="0.2">
      <c r="A523" s="95">
        <v>7</v>
      </c>
      <c r="B523" s="108" t="str">
        <f>IF(A523&lt;&gt;0,INDEX(Coûts,'PA-Détails'!A523, 2),)</f>
        <v>Séminaire</v>
      </c>
      <c r="C523" s="51"/>
      <c r="D523" s="94" t="str">
        <f>IF(A523&lt;&gt;0,INDEX(Coûts, 'PA-Détails'!A523, 5),)</f>
        <v>Pers / j</v>
      </c>
      <c r="E523" s="96"/>
      <c r="F523" s="100">
        <f>20</f>
        <v>20</v>
      </c>
      <c r="G523" s="100">
        <f>20</f>
        <v>20</v>
      </c>
      <c r="H523" s="100">
        <f>20</f>
        <v>20</v>
      </c>
      <c r="I523" s="100">
        <f>20</f>
        <v>20</v>
      </c>
      <c r="J523" s="101">
        <f t="shared" si="283"/>
        <v>80</v>
      </c>
      <c r="K523" s="115">
        <f>IF(A523&lt;&gt;0,INDEX(Coûts, 'PA-Détails'!A523, 3),)</f>
        <v>190</v>
      </c>
      <c r="L523" s="37">
        <f t="shared" si="292"/>
        <v>0</v>
      </c>
      <c r="M523" s="36">
        <f t="shared" si="292"/>
        <v>3800</v>
      </c>
      <c r="N523" s="36">
        <f t="shared" si="292"/>
        <v>3800</v>
      </c>
      <c r="O523" s="36">
        <f t="shared" si="292"/>
        <v>3800</v>
      </c>
      <c r="P523" s="268">
        <f t="shared" si="292"/>
        <v>3800</v>
      </c>
      <c r="Q523" s="281">
        <f>SUM(L523:P523)</f>
        <v>15200</v>
      </c>
      <c r="R523" s="39"/>
      <c r="S523" s="115"/>
      <c r="T523" s="51"/>
    </row>
    <row r="524" spans="1:20" x14ac:dyDescent="0.2">
      <c r="A524" s="20" t="s">
        <v>599</v>
      </c>
      <c r="B524" s="149"/>
      <c r="C524" s="51" t="s">
        <v>600</v>
      </c>
      <c r="D524" s="21"/>
      <c r="E524" s="96"/>
      <c r="F524" s="100"/>
      <c r="G524" s="100"/>
      <c r="H524" s="100"/>
      <c r="I524" s="100"/>
      <c r="J524" s="101">
        <f t="shared" si="283"/>
        <v>0</v>
      </c>
      <c r="K524" s="115"/>
      <c r="L524" s="161">
        <f t="shared" ref="L524:Q524" si="293">SUM(L525:L528)</f>
        <v>0</v>
      </c>
      <c r="M524" s="157">
        <f t="shared" si="293"/>
        <v>158000</v>
      </c>
      <c r="N524" s="157">
        <f t="shared" si="293"/>
        <v>128000</v>
      </c>
      <c r="O524" s="157">
        <f t="shared" si="293"/>
        <v>0</v>
      </c>
      <c r="P524" s="270">
        <f t="shared" si="293"/>
        <v>0</v>
      </c>
      <c r="Q524" s="284">
        <f t="shared" si="293"/>
        <v>286000</v>
      </c>
      <c r="R524" s="39" t="s">
        <v>738</v>
      </c>
      <c r="S524" s="115" t="s">
        <v>665</v>
      </c>
      <c r="T524" s="51"/>
    </row>
    <row r="525" spans="1:20" x14ac:dyDescent="0.2">
      <c r="A525" s="95">
        <v>40</v>
      </c>
      <c r="B525" s="108" t="str">
        <f>IF(A525&lt;&gt;0,INDEX(Coûts,'PA-Détails'!A525, 2),)</f>
        <v>Achat Voiture et ou Jeep (4x4)</v>
      </c>
      <c r="C525" s="51"/>
      <c r="D525" s="94" t="str">
        <f>IF(A525&lt;&gt;0,INDEX(Coûts, 'PA-Détails'!A525, 5),)</f>
        <v>Unité</v>
      </c>
      <c r="E525" s="96"/>
      <c r="F525" s="100">
        <v>1</v>
      </c>
      <c r="G525" s="100"/>
      <c r="H525" s="100"/>
      <c r="I525" s="100"/>
      <c r="J525" s="101">
        <f t="shared" si="283"/>
        <v>1</v>
      </c>
      <c r="K525" s="115">
        <f>IF(A525&lt;&gt;0,INDEX(Coûts, 'PA-Détails'!A525, 3),)</f>
        <v>30000</v>
      </c>
      <c r="L525" s="37">
        <f t="shared" ref="L525:P529" si="294">ROUND(+$K525*E525,0)</f>
        <v>0</v>
      </c>
      <c r="M525" s="36">
        <f t="shared" si="294"/>
        <v>30000</v>
      </c>
      <c r="N525" s="36">
        <f t="shared" si="294"/>
        <v>0</v>
      </c>
      <c r="O525" s="36">
        <f t="shared" si="294"/>
        <v>0</v>
      </c>
      <c r="P525" s="268">
        <f t="shared" si="294"/>
        <v>0</v>
      </c>
      <c r="Q525" s="281">
        <f>SUM(L525:P525)</f>
        <v>30000</v>
      </c>
      <c r="R525" s="39"/>
      <c r="S525" s="115"/>
      <c r="T525" s="51"/>
    </row>
    <row r="526" spans="1:20" x14ac:dyDescent="0.2">
      <c r="A526" s="95">
        <v>45</v>
      </c>
      <c r="B526" s="108" t="str">
        <f>IF(A526&lt;&gt;0,INDEX(Coûts,'PA-Détails'!A526, 2),)</f>
        <v>Équipement informatique (lot PC, logiciel,  imprimante, photocopieuse, scanner)</v>
      </c>
      <c r="C526" s="51"/>
      <c r="D526" s="94" t="str">
        <f>IF(A526&lt;&gt;0,INDEX(Coûts, 'PA-Détails'!A526, 5),)</f>
        <v>Forfait</v>
      </c>
      <c r="E526" s="96"/>
      <c r="F526" s="100">
        <f>26+5</f>
        <v>31</v>
      </c>
      <c r="G526" s="100">
        <f>F526</f>
        <v>31</v>
      </c>
      <c r="H526" s="100"/>
      <c r="I526" s="100"/>
      <c r="J526" s="101">
        <f t="shared" si="283"/>
        <v>62</v>
      </c>
      <c r="K526" s="115">
        <f>IF(A526&lt;&gt;0,INDEX(Coûts, 'PA-Détails'!A526, 3),)</f>
        <v>1500</v>
      </c>
      <c r="L526" s="37">
        <f t="shared" si="294"/>
        <v>0</v>
      </c>
      <c r="M526" s="36">
        <f t="shared" si="294"/>
        <v>46500</v>
      </c>
      <c r="N526" s="36">
        <f t="shared" si="294"/>
        <v>46500</v>
      </c>
      <c r="O526" s="36">
        <f t="shared" si="294"/>
        <v>0</v>
      </c>
      <c r="P526" s="268">
        <f t="shared" si="294"/>
        <v>0</v>
      </c>
      <c r="Q526" s="281">
        <f>SUM(L526:P526)</f>
        <v>93000</v>
      </c>
      <c r="R526" s="39"/>
      <c r="S526" s="115"/>
      <c r="T526" s="51"/>
    </row>
    <row r="527" spans="1:20" x14ac:dyDescent="0.2">
      <c r="A527" s="95">
        <v>44</v>
      </c>
      <c r="B527" s="108" t="str">
        <f>IF(A527&lt;&gt;0,INDEX(Coûts,'PA-Détails'!A527, 2),)</f>
        <v>Équipement de bureau</v>
      </c>
      <c r="C527" s="51"/>
      <c r="D527" s="94" t="str">
        <f>IF(A527&lt;&gt;0,INDEX(Coûts, 'PA-Détails'!A527, 5),)</f>
        <v>Forfait</v>
      </c>
      <c r="E527" s="96"/>
      <c r="F527" s="100">
        <f>F526</f>
        <v>31</v>
      </c>
      <c r="G527" s="100">
        <f>G526</f>
        <v>31</v>
      </c>
      <c r="H527" s="100"/>
      <c r="I527" s="100"/>
      <c r="J527" s="101">
        <f t="shared" si="283"/>
        <v>62</v>
      </c>
      <c r="K527" s="115">
        <f>IF(A527&lt;&gt;0,INDEX(Coûts, 'PA-Détails'!A527, 3),)</f>
        <v>2000</v>
      </c>
      <c r="L527" s="37">
        <f t="shared" si="294"/>
        <v>0</v>
      </c>
      <c r="M527" s="36">
        <f t="shared" si="294"/>
        <v>62000</v>
      </c>
      <c r="N527" s="36">
        <f t="shared" si="294"/>
        <v>62000</v>
      </c>
      <c r="O527" s="36">
        <f t="shared" si="294"/>
        <v>0</v>
      </c>
      <c r="P527" s="268">
        <f t="shared" si="294"/>
        <v>0</v>
      </c>
      <c r="Q527" s="281">
        <f>SUM(L527:P527)</f>
        <v>124000</v>
      </c>
      <c r="R527" s="39"/>
      <c r="S527" s="115"/>
      <c r="T527" s="51"/>
    </row>
    <row r="528" spans="1:20" x14ac:dyDescent="0.2">
      <c r="A528" s="95">
        <v>42</v>
      </c>
      <c r="B528" s="108" t="str">
        <f>IF(A528&lt;&gt;0,INDEX(Coûts,'PA-Détails'!A528, 2),)</f>
        <v>Bicyclette</v>
      </c>
      <c r="C528" s="51"/>
      <c r="D528" s="94" t="str">
        <f>IF(A528&lt;&gt;0,INDEX(Coûts, 'PA-Détails'!A528, 5),)</f>
        <v>Unité</v>
      </c>
      <c r="E528" s="96"/>
      <c r="F528" s="100">
        <f>26*5</f>
        <v>130</v>
      </c>
      <c r="G528" s="100">
        <f>F528</f>
        <v>130</v>
      </c>
      <c r="H528" s="100"/>
      <c r="I528" s="100"/>
      <c r="J528" s="101">
        <f t="shared" si="283"/>
        <v>260</v>
      </c>
      <c r="K528" s="115">
        <f>IF(A528&lt;&gt;0,INDEX(Coûts, 'PA-Détails'!A528, 3),)</f>
        <v>150</v>
      </c>
      <c r="L528" s="37">
        <f t="shared" si="294"/>
        <v>0</v>
      </c>
      <c r="M528" s="36">
        <f t="shared" si="294"/>
        <v>19500</v>
      </c>
      <c r="N528" s="36">
        <f t="shared" si="294"/>
        <v>19500</v>
      </c>
      <c r="O528" s="36">
        <f t="shared" si="294"/>
        <v>0</v>
      </c>
      <c r="P528" s="268">
        <f t="shared" si="294"/>
        <v>0</v>
      </c>
      <c r="Q528" s="281">
        <f>SUM(L528:P528)</f>
        <v>39000</v>
      </c>
      <c r="R528" s="39"/>
      <c r="S528" s="115"/>
      <c r="T528" s="51"/>
    </row>
    <row r="529" spans="1:21" x14ac:dyDescent="0.2">
      <c r="A529" s="17" t="s">
        <v>67</v>
      </c>
      <c r="B529" s="45"/>
      <c r="C529" s="51" t="s">
        <v>601</v>
      </c>
      <c r="D529" s="18"/>
      <c r="E529" s="97"/>
      <c r="F529" s="98"/>
      <c r="G529" s="98"/>
      <c r="H529" s="98"/>
      <c r="I529" s="98"/>
      <c r="J529" s="99">
        <f t="shared" si="283"/>
        <v>0</v>
      </c>
      <c r="K529" s="116"/>
      <c r="L529" s="35">
        <f t="shared" si="294"/>
        <v>0</v>
      </c>
      <c r="M529" s="34">
        <f t="shared" si="294"/>
        <v>0</v>
      </c>
      <c r="N529" s="34">
        <f t="shared" si="294"/>
        <v>0</v>
      </c>
      <c r="O529" s="34">
        <f t="shared" si="294"/>
        <v>0</v>
      </c>
      <c r="P529" s="269">
        <f t="shared" si="294"/>
        <v>0</v>
      </c>
      <c r="Q529" s="279">
        <f>SUM(L529:P529)</f>
        <v>0</v>
      </c>
      <c r="R529" s="38"/>
      <c r="S529" s="116"/>
      <c r="T529" s="50"/>
    </row>
    <row r="530" spans="1:21" x14ac:dyDescent="0.2">
      <c r="A530" s="20" t="s">
        <v>602</v>
      </c>
      <c r="B530" s="149"/>
      <c r="C530" s="51"/>
      <c r="D530" s="21"/>
      <c r="E530" s="96"/>
      <c r="F530" s="100"/>
      <c r="G530" s="100"/>
      <c r="H530" s="100"/>
      <c r="I530" s="100"/>
      <c r="J530" s="101">
        <f t="shared" si="283"/>
        <v>0</v>
      </c>
      <c r="K530" s="115"/>
      <c r="L530" s="161">
        <f t="shared" ref="L530:Q530" si="295">SUM(L531:L532)</f>
        <v>8500</v>
      </c>
      <c r="M530" s="157">
        <f t="shared" si="295"/>
        <v>0</v>
      </c>
      <c r="N530" s="157">
        <f t="shared" si="295"/>
        <v>0</v>
      </c>
      <c r="O530" s="157">
        <f t="shared" si="295"/>
        <v>0</v>
      </c>
      <c r="P530" s="270">
        <f t="shared" si="295"/>
        <v>0</v>
      </c>
      <c r="Q530" s="284">
        <f t="shared" si="295"/>
        <v>8500</v>
      </c>
      <c r="R530" s="39" t="s">
        <v>742</v>
      </c>
      <c r="S530" s="115" t="s">
        <v>665</v>
      </c>
      <c r="T530" s="51"/>
    </row>
    <row r="531" spans="1:21" x14ac:dyDescent="0.2">
      <c r="A531" s="95">
        <v>2</v>
      </c>
      <c r="B531" s="108" t="str">
        <f>IF(A531&lt;&gt;0,INDEX(Coûts,'PA-Détails'!A531, 2),)</f>
        <v>Assistance technique nationale (consultants)</v>
      </c>
      <c r="C531" s="51"/>
      <c r="D531" s="94" t="str">
        <f>IF(A531&lt;&gt;0,INDEX(Coûts, 'PA-Détails'!A531, 5),)</f>
        <v>Pers / j</v>
      </c>
      <c r="E531" s="96">
        <v>20</v>
      </c>
      <c r="F531" s="100"/>
      <c r="G531" s="100"/>
      <c r="H531" s="100"/>
      <c r="I531" s="100"/>
      <c r="J531" s="101">
        <f t="shared" si="283"/>
        <v>20</v>
      </c>
      <c r="K531" s="115">
        <f>IF(A531&lt;&gt;0,INDEX(Coûts, 'PA-Détails'!A531, 3),)</f>
        <v>300</v>
      </c>
      <c r="L531" s="37">
        <f t="shared" ref="L531:P532" si="296">ROUND(+$K531*E531,0)</f>
        <v>6000</v>
      </c>
      <c r="M531" s="36">
        <f t="shared" si="296"/>
        <v>0</v>
      </c>
      <c r="N531" s="36">
        <f t="shared" si="296"/>
        <v>0</v>
      </c>
      <c r="O531" s="36">
        <f t="shared" si="296"/>
        <v>0</v>
      </c>
      <c r="P531" s="268">
        <f t="shared" si="296"/>
        <v>0</v>
      </c>
      <c r="Q531" s="281">
        <f>SUM(L531:P531)</f>
        <v>6000</v>
      </c>
      <c r="R531" s="39"/>
      <c r="S531" s="115"/>
      <c r="T531" s="51"/>
    </row>
    <row r="532" spans="1:21" x14ac:dyDescent="0.2">
      <c r="A532" s="95">
        <v>5</v>
      </c>
      <c r="B532" s="108" t="str">
        <f>IF(A532&lt;&gt;0,INDEX(Coûts,'PA-Détails'!A532, 2),)</f>
        <v>Atelier de validation</v>
      </c>
      <c r="C532" s="51"/>
      <c r="D532" s="94" t="str">
        <f>IF(A532&lt;&gt;0,INDEX(Coûts, 'PA-Détails'!A532, 5),)</f>
        <v>Pers / j</v>
      </c>
      <c r="E532" s="96">
        <v>50</v>
      </c>
      <c r="F532" s="100"/>
      <c r="G532" s="100"/>
      <c r="H532" s="100"/>
      <c r="I532" s="100"/>
      <c r="J532" s="101">
        <f t="shared" si="283"/>
        <v>50</v>
      </c>
      <c r="K532" s="115">
        <f>IF(A532&lt;&gt;0,INDEX(Coûts, 'PA-Détails'!A532, 3),)</f>
        <v>50</v>
      </c>
      <c r="L532" s="37">
        <f t="shared" si="296"/>
        <v>2500</v>
      </c>
      <c r="M532" s="36">
        <f t="shared" si="296"/>
        <v>0</v>
      </c>
      <c r="N532" s="36">
        <f t="shared" si="296"/>
        <v>0</v>
      </c>
      <c r="O532" s="36">
        <f t="shared" si="296"/>
        <v>0</v>
      </c>
      <c r="P532" s="268">
        <f t="shared" si="296"/>
        <v>0</v>
      </c>
      <c r="Q532" s="281">
        <f>SUM(L532:P532)</f>
        <v>2500</v>
      </c>
      <c r="R532" s="39"/>
      <c r="S532" s="115"/>
      <c r="T532" s="51"/>
    </row>
    <row r="533" spans="1:21" x14ac:dyDescent="0.2">
      <c r="A533" s="20" t="s">
        <v>603</v>
      </c>
      <c r="B533" s="46"/>
      <c r="C533" s="51"/>
      <c r="D533" s="21"/>
      <c r="E533" s="96"/>
      <c r="F533" s="100"/>
      <c r="G533" s="100"/>
      <c r="H533" s="100"/>
      <c r="I533" s="100"/>
      <c r="J533" s="101">
        <f t="shared" si="283"/>
        <v>0</v>
      </c>
      <c r="K533" s="115"/>
      <c r="L533" s="161">
        <f t="shared" ref="L533:Q533" si="297">SUM(L534:L535)</f>
        <v>0</v>
      </c>
      <c r="M533" s="157">
        <f t="shared" si="297"/>
        <v>50000</v>
      </c>
      <c r="N533" s="157">
        <f t="shared" si="297"/>
        <v>20000</v>
      </c>
      <c r="O533" s="157">
        <f t="shared" si="297"/>
        <v>20000</v>
      </c>
      <c r="P533" s="270">
        <f t="shared" si="297"/>
        <v>20000</v>
      </c>
      <c r="Q533" s="284">
        <f t="shared" si="297"/>
        <v>110000</v>
      </c>
      <c r="R533" s="39" t="s">
        <v>742</v>
      </c>
      <c r="S533" s="115" t="s">
        <v>665</v>
      </c>
      <c r="T533" s="51"/>
    </row>
    <row r="534" spans="1:21" x14ac:dyDescent="0.2">
      <c r="A534" s="95">
        <v>125</v>
      </c>
      <c r="B534" s="108" t="str">
        <f>IF(A534&lt;&gt;0,INDEX(Coûts,'PA-Détails'!A534, 2),)</f>
        <v>Enveloppe pour réhabilitation et équipement du centre de ressurce (ENF)</v>
      </c>
      <c r="C534" s="51"/>
      <c r="D534" s="94" t="str">
        <f>IF(A534&lt;&gt;0,INDEX(Coûts, 'PA-Détails'!A534, 5),)</f>
        <v>Forfait</v>
      </c>
      <c r="E534" s="96"/>
      <c r="F534" s="100">
        <v>1</v>
      </c>
      <c r="G534" s="100"/>
      <c r="H534" s="100"/>
      <c r="I534" s="100"/>
      <c r="J534" s="101">
        <f t="shared" si="283"/>
        <v>1</v>
      </c>
      <c r="K534" s="115">
        <f>IF(A534&lt;&gt;0,INDEX(Coûts, 'PA-Détails'!A534, 3),)</f>
        <v>50000</v>
      </c>
      <c r="L534" s="37">
        <f t="shared" ref="L534:P537" si="298">ROUND(+$K534*E534,0)</f>
        <v>0</v>
      </c>
      <c r="M534" s="36">
        <f t="shared" si="298"/>
        <v>50000</v>
      </c>
      <c r="N534" s="36">
        <f t="shared" si="298"/>
        <v>0</v>
      </c>
      <c r="O534" s="36">
        <f t="shared" si="298"/>
        <v>0</v>
      </c>
      <c r="P534" s="268">
        <f t="shared" si="298"/>
        <v>0</v>
      </c>
      <c r="Q534" s="281">
        <f>SUM(L534:P534)</f>
        <v>50000</v>
      </c>
      <c r="R534" s="39"/>
      <c r="S534" s="115"/>
      <c r="T534" s="51"/>
      <c r="U534" s="653" t="s">
        <v>1073</v>
      </c>
    </row>
    <row r="535" spans="1:21" x14ac:dyDescent="0.2">
      <c r="A535" s="95">
        <v>126</v>
      </c>
      <c r="B535" s="108" t="str">
        <f>IF(A535&lt;&gt;0,INDEX(Coûts,'PA-Détails'!A535, 2),)</f>
        <v>Budget de fonctionnement du centre de ressurce (ENF)</v>
      </c>
      <c r="C535" s="51"/>
      <c r="D535" s="94" t="str">
        <f>IF(A535&lt;&gt;0,INDEX(Coûts, 'PA-Détails'!A535, 5),)</f>
        <v>Forfait/an</v>
      </c>
      <c r="E535" s="96"/>
      <c r="F535" s="100"/>
      <c r="G535" s="100">
        <v>1</v>
      </c>
      <c r="H535" s="100">
        <v>1</v>
      </c>
      <c r="I535" s="100">
        <v>1</v>
      </c>
      <c r="J535" s="101">
        <f t="shared" si="283"/>
        <v>3</v>
      </c>
      <c r="K535" s="115">
        <f>IF(A535&lt;&gt;0,INDEX(Coûts, 'PA-Détails'!A535, 3),)</f>
        <v>20000</v>
      </c>
      <c r="L535" s="37">
        <f t="shared" si="298"/>
        <v>0</v>
      </c>
      <c r="M535" s="36">
        <f t="shared" si="298"/>
        <v>0</v>
      </c>
      <c r="N535" s="36">
        <f t="shared" si="298"/>
        <v>20000</v>
      </c>
      <c r="O535" s="36">
        <f t="shared" si="298"/>
        <v>20000</v>
      </c>
      <c r="P535" s="268">
        <f t="shared" si="298"/>
        <v>20000</v>
      </c>
      <c r="Q535" s="281">
        <f>SUM(L535:P535)</f>
        <v>60000</v>
      </c>
      <c r="R535" s="39"/>
      <c r="S535" s="115"/>
      <c r="T535" s="51"/>
    </row>
    <row r="536" spans="1:21" x14ac:dyDescent="0.2">
      <c r="A536" s="14" t="s">
        <v>743</v>
      </c>
      <c r="B536" s="44"/>
      <c r="C536" s="112"/>
      <c r="D536" s="15"/>
      <c r="E536" s="102"/>
      <c r="F536" s="103"/>
      <c r="G536" s="103"/>
      <c r="H536" s="103"/>
      <c r="I536" s="103"/>
      <c r="J536" s="104">
        <f t="shared" si="283"/>
        <v>0</v>
      </c>
      <c r="K536" s="145"/>
      <c r="L536" s="33">
        <f t="shared" si="298"/>
        <v>0</v>
      </c>
      <c r="M536" s="32">
        <f t="shared" si="298"/>
        <v>0</v>
      </c>
      <c r="N536" s="32">
        <f t="shared" si="298"/>
        <v>0</v>
      </c>
      <c r="O536" s="32">
        <f t="shared" si="298"/>
        <v>0</v>
      </c>
      <c r="P536" s="267">
        <f t="shared" si="298"/>
        <v>0</v>
      </c>
      <c r="Q536" s="278">
        <f>SUM(L536:P536)</f>
        <v>0</v>
      </c>
      <c r="R536" s="40"/>
      <c r="S536" s="145"/>
      <c r="T536" s="49">
        <v>3</v>
      </c>
    </row>
    <row r="537" spans="1:21" x14ac:dyDescent="0.2">
      <c r="A537" s="17" t="s">
        <v>68</v>
      </c>
      <c r="B537" s="45"/>
      <c r="C537" s="51"/>
      <c r="D537" s="18"/>
      <c r="E537" s="97"/>
      <c r="F537" s="98"/>
      <c r="G537" s="98"/>
      <c r="H537" s="98"/>
      <c r="I537" s="98"/>
      <c r="J537" s="99">
        <f t="shared" si="283"/>
        <v>0</v>
      </c>
      <c r="K537" s="116"/>
      <c r="L537" s="35">
        <f t="shared" si="298"/>
        <v>0</v>
      </c>
      <c r="M537" s="34">
        <f t="shared" si="298"/>
        <v>0</v>
      </c>
      <c r="N537" s="34">
        <f t="shared" si="298"/>
        <v>0</v>
      </c>
      <c r="O537" s="34">
        <f t="shared" si="298"/>
        <v>0</v>
      </c>
      <c r="P537" s="269">
        <f t="shared" si="298"/>
        <v>0</v>
      </c>
      <c r="Q537" s="279">
        <f>SUM(L537:P537)</f>
        <v>0</v>
      </c>
      <c r="R537" s="38"/>
      <c r="S537" s="116"/>
      <c r="T537" s="50"/>
    </row>
    <row r="538" spans="1:21" x14ac:dyDescent="0.2">
      <c r="A538" s="20" t="s">
        <v>604</v>
      </c>
      <c r="B538" s="149"/>
      <c r="C538" s="51" t="s">
        <v>605</v>
      </c>
      <c r="D538" s="21"/>
      <c r="E538" s="96"/>
      <c r="F538" s="100"/>
      <c r="G538" s="100"/>
      <c r="H538" s="100"/>
      <c r="I538" s="100"/>
      <c r="J538" s="101">
        <f t="shared" si="283"/>
        <v>0</v>
      </c>
      <c r="K538" s="115"/>
      <c r="L538" s="161">
        <f t="shared" ref="L538:Q538" si="299">SUM(L539)</f>
        <v>14300</v>
      </c>
      <c r="M538" s="157">
        <f t="shared" si="299"/>
        <v>14300</v>
      </c>
      <c r="N538" s="157">
        <f t="shared" si="299"/>
        <v>0</v>
      </c>
      <c r="O538" s="157">
        <f t="shared" si="299"/>
        <v>0</v>
      </c>
      <c r="P538" s="270">
        <f t="shared" si="299"/>
        <v>0</v>
      </c>
      <c r="Q538" s="284">
        <f t="shared" si="299"/>
        <v>28600</v>
      </c>
      <c r="R538" s="39" t="s">
        <v>744</v>
      </c>
      <c r="S538" s="115" t="s">
        <v>428</v>
      </c>
      <c r="T538" s="51"/>
    </row>
    <row r="539" spans="1:21" x14ac:dyDescent="0.2">
      <c r="A539" s="95">
        <v>8</v>
      </c>
      <c r="B539" s="108" t="str">
        <f>IF(A539&lt;&gt;0,INDEX(Coûts,'PA-Détails'!A539, 2),)</f>
        <v>Formation</v>
      </c>
      <c r="C539" s="51"/>
      <c r="D539" s="94" t="str">
        <f>IF(A539&lt;&gt;0,INDEX(Coûts, 'PA-Détails'!A539, 5),)</f>
        <v>Pers / j</v>
      </c>
      <c r="E539" s="96">
        <f>26*5</f>
        <v>130</v>
      </c>
      <c r="F539" s="100">
        <f>E539</f>
        <v>130</v>
      </c>
      <c r="G539" s="100"/>
      <c r="H539" s="100"/>
      <c r="I539" s="100"/>
      <c r="J539" s="101">
        <f t="shared" si="283"/>
        <v>260</v>
      </c>
      <c r="K539" s="115">
        <f>IF(A539&lt;&gt;0,INDEX(Coûts, 'PA-Détails'!A539, 3),)</f>
        <v>110</v>
      </c>
      <c r="L539" s="37">
        <f>ROUND(+$K539*E539,0)</f>
        <v>14300</v>
      </c>
      <c r="M539" s="36">
        <f>ROUND(+$K539*F539,0)</f>
        <v>14300</v>
      </c>
      <c r="N539" s="36">
        <f>ROUND(+$K539*G539,0)</f>
        <v>0</v>
      </c>
      <c r="O539" s="36">
        <f>ROUND(+$K539*H539,0)</f>
        <v>0</v>
      </c>
      <c r="P539" s="268">
        <f>ROUND(+$K539*I539,0)</f>
        <v>0</v>
      </c>
      <c r="Q539" s="281">
        <f>SUM(L539:P539)</f>
        <v>28600</v>
      </c>
      <c r="R539" s="39"/>
      <c r="S539" s="115"/>
      <c r="T539" s="51"/>
    </row>
    <row r="540" spans="1:21" x14ac:dyDescent="0.2">
      <c r="A540" s="20" t="s">
        <v>746</v>
      </c>
      <c r="B540" s="149"/>
      <c r="C540" s="51"/>
      <c r="D540" s="21"/>
      <c r="E540" s="96"/>
      <c r="F540" s="100"/>
      <c r="G540" s="100"/>
      <c r="H540" s="100"/>
      <c r="I540" s="100"/>
      <c r="J540" s="101">
        <f t="shared" si="283"/>
        <v>0</v>
      </c>
      <c r="K540" s="115"/>
      <c r="L540" s="161">
        <f t="shared" ref="L540:Q540" si="300">SUM(L541)</f>
        <v>31200</v>
      </c>
      <c r="M540" s="157">
        <f t="shared" si="300"/>
        <v>31200</v>
      </c>
      <c r="N540" s="157">
        <f t="shared" si="300"/>
        <v>31200</v>
      </c>
      <c r="O540" s="157">
        <f t="shared" si="300"/>
        <v>31200</v>
      </c>
      <c r="P540" s="270">
        <f t="shared" si="300"/>
        <v>31200</v>
      </c>
      <c r="Q540" s="284">
        <f t="shared" si="300"/>
        <v>156000</v>
      </c>
      <c r="R540" s="39" t="s">
        <v>745</v>
      </c>
      <c r="S540" s="115" t="s">
        <v>665</v>
      </c>
      <c r="T540" s="51"/>
    </row>
    <row r="541" spans="1:21" x14ac:dyDescent="0.2">
      <c r="A541" s="95">
        <v>216</v>
      </c>
      <c r="B541" s="108" t="str">
        <f>IF(A541&lt;&gt;0,INDEX(Coûts,'PA-Détails'!A541, 2),)</f>
        <v>Primes Non Permanentes</v>
      </c>
      <c r="C541" s="51"/>
      <c r="D541" s="94" t="str">
        <f>IF(A541&lt;&gt;0,INDEX(Coûts, 'PA-Détails'!A541, 5),)</f>
        <v>Pers / j</v>
      </c>
      <c r="E541" s="96">
        <f>20*26*12</f>
        <v>6240</v>
      </c>
      <c r="F541" s="100">
        <f>20*26*12</f>
        <v>6240</v>
      </c>
      <c r="G541" s="100">
        <f>20*26*12</f>
        <v>6240</v>
      </c>
      <c r="H541" s="100">
        <f>20*26*12</f>
        <v>6240</v>
      </c>
      <c r="I541" s="100">
        <f>20*26*12</f>
        <v>6240</v>
      </c>
      <c r="J541" s="101">
        <f t="shared" si="283"/>
        <v>31200</v>
      </c>
      <c r="K541" s="115">
        <f>IF(A541&lt;&gt;0,INDEX(Coûts, 'PA-Détails'!A541, 3),)</f>
        <v>5</v>
      </c>
      <c r="L541" s="37">
        <f t="shared" ref="L541:P543" si="301">ROUND(+$K541*E541,0)</f>
        <v>31200</v>
      </c>
      <c r="M541" s="36">
        <f t="shared" si="301"/>
        <v>31200</v>
      </c>
      <c r="N541" s="36">
        <f t="shared" si="301"/>
        <v>31200</v>
      </c>
      <c r="O541" s="36">
        <f t="shared" si="301"/>
        <v>31200</v>
      </c>
      <c r="P541" s="268">
        <f t="shared" si="301"/>
        <v>31200</v>
      </c>
      <c r="Q541" s="281">
        <f>SUM(L541:P541)</f>
        <v>156000</v>
      </c>
      <c r="R541" s="39"/>
      <c r="S541" s="115"/>
      <c r="T541" s="51"/>
    </row>
    <row r="542" spans="1:21" x14ac:dyDescent="0.2">
      <c r="A542" s="14" t="s">
        <v>747</v>
      </c>
      <c r="B542" s="44"/>
      <c r="C542" s="112"/>
      <c r="D542" s="15"/>
      <c r="E542" s="102"/>
      <c r="F542" s="103"/>
      <c r="G542" s="103"/>
      <c r="H542" s="103"/>
      <c r="I542" s="103"/>
      <c r="J542" s="104">
        <f t="shared" si="283"/>
        <v>0</v>
      </c>
      <c r="K542" s="145"/>
      <c r="L542" s="33">
        <f t="shared" si="301"/>
        <v>0</v>
      </c>
      <c r="M542" s="32">
        <f t="shared" si="301"/>
        <v>0</v>
      </c>
      <c r="N542" s="32">
        <f t="shared" si="301"/>
        <v>0</v>
      </c>
      <c r="O542" s="32">
        <f t="shared" si="301"/>
        <v>0</v>
      </c>
      <c r="P542" s="267">
        <f t="shared" si="301"/>
        <v>0</v>
      </c>
      <c r="Q542" s="278">
        <f>SUM(L542:P542)</f>
        <v>0</v>
      </c>
      <c r="R542" s="40"/>
      <c r="S542" s="145"/>
      <c r="T542" s="49">
        <v>3</v>
      </c>
    </row>
    <row r="543" spans="1:21" x14ac:dyDescent="0.2">
      <c r="A543" s="17" t="s">
        <v>69</v>
      </c>
      <c r="B543" s="45"/>
      <c r="C543" s="51"/>
      <c r="D543" s="18"/>
      <c r="E543" s="97"/>
      <c r="F543" s="98"/>
      <c r="G543" s="98"/>
      <c r="H543" s="98"/>
      <c r="I543" s="98"/>
      <c r="J543" s="99">
        <f t="shared" si="283"/>
        <v>0</v>
      </c>
      <c r="K543" s="116"/>
      <c r="L543" s="35">
        <f t="shared" si="301"/>
        <v>0</v>
      </c>
      <c r="M543" s="34">
        <f t="shared" si="301"/>
        <v>0</v>
      </c>
      <c r="N543" s="34">
        <f t="shared" si="301"/>
        <v>0</v>
      </c>
      <c r="O543" s="34">
        <f t="shared" si="301"/>
        <v>0</v>
      </c>
      <c r="P543" s="269">
        <f t="shared" si="301"/>
        <v>0</v>
      </c>
      <c r="Q543" s="279">
        <f>SUM(L543:P543)</f>
        <v>0</v>
      </c>
      <c r="R543" s="38"/>
      <c r="S543" s="116"/>
      <c r="T543" s="50"/>
    </row>
    <row r="544" spans="1:21" x14ac:dyDescent="0.2">
      <c r="A544" s="20" t="s">
        <v>219</v>
      </c>
      <c r="B544" s="46"/>
      <c r="C544" s="51" t="s">
        <v>606</v>
      </c>
      <c r="D544" s="21"/>
      <c r="E544" s="96"/>
      <c r="F544" s="100"/>
      <c r="G544" s="100"/>
      <c r="H544" s="100"/>
      <c r="I544" s="100"/>
      <c r="J544" s="101">
        <f t="shared" si="283"/>
        <v>0</v>
      </c>
      <c r="K544" s="115"/>
      <c r="L544" s="161">
        <f t="shared" ref="L544:Q544" si="302">SUM(L545:L547)</f>
        <v>12700</v>
      </c>
      <c r="M544" s="157">
        <f t="shared" si="302"/>
        <v>0</v>
      </c>
      <c r="N544" s="157">
        <f t="shared" si="302"/>
        <v>0</v>
      </c>
      <c r="O544" s="157">
        <f t="shared" si="302"/>
        <v>0</v>
      </c>
      <c r="P544" s="270">
        <f t="shared" si="302"/>
        <v>0</v>
      </c>
      <c r="Q544" s="284">
        <f t="shared" si="302"/>
        <v>12700</v>
      </c>
      <c r="R544" s="39" t="s">
        <v>748</v>
      </c>
      <c r="S544" s="115" t="s">
        <v>665</v>
      </c>
      <c r="T544" s="51"/>
    </row>
    <row r="545" spans="1:21" x14ac:dyDescent="0.2">
      <c r="A545" s="95">
        <v>2</v>
      </c>
      <c r="B545" s="108" t="str">
        <f>IF(A545&lt;&gt;0,INDEX(Coûts,'PA-Détails'!A545, 2),)</f>
        <v>Assistance technique nationale (consultants)</v>
      </c>
      <c r="C545" s="51"/>
      <c r="D545" s="94" t="str">
        <f>IF(A545&lt;&gt;0,INDEX(Coûts, 'PA-Détails'!A545, 5),)</f>
        <v>Pers / j</v>
      </c>
      <c r="E545" s="96">
        <v>20</v>
      </c>
      <c r="F545" s="100"/>
      <c r="G545" s="100"/>
      <c r="H545" s="100"/>
      <c r="I545" s="100"/>
      <c r="J545" s="101">
        <f t="shared" si="283"/>
        <v>20</v>
      </c>
      <c r="K545" s="115">
        <f>IF(A545&lt;&gt;0,INDEX(Coûts, 'PA-Détails'!A545, 3),)</f>
        <v>300</v>
      </c>
      <c r="L545" s="37">
        <f t="shared" ref="L545:P547" si="303">ROUND(+$K545*E545,0)</f>
        <v>6000</v>
      </c>
      <c r="M545" s="36">
        <f t="shared" si="303"/>
        <v>0</v>
      </c>
      <c r="N545" s="36">
        <f t="shared" si="303"/>
        <v>0</v>
      </c>
      <c r="O545" s="36">
        <f t="shared" si="303"/>
        <v>0</v>
      </c>
      <c r="P545" s="268">
        <f t="shared" si="303"/>
        <v>0</v>
      </c>
      <c r="Q545" s="281">
        <f>SUM(L545:P545)</f>
        <v>6000</v>
      </c>
      <c r="R545" s="39"/>
      <c r="S545" s="115"/>
      <c r="T545" s="51"/>
    </row>
    <row r="546" spans="1:21" x14ac:dyDescent="0.2">
      <c r="A546" s="95">
        <v>11</v>
      </c>
      <c r="B546" s="108" t="str">
        <f>IF(A546&lt;&gt;0,INDEX(Coûts,'PA-Détails'!A546, 2),)</f>
        <v>Atelier technique</v>
      </c>
      <c r="C546" s="51"/>
      <c r="D546" s="94" t="str">
        <f>IF(A546&lt;&gt;0,INDEX(Coûts, 'PA-Détails'!A546, 5),)</f>
        <v>Pers / j</v>
      </c>
      <c r="E546" s="96">
        <f>3*20</f>
        <v>60</v>
      </c>
      <c r="F546" s="100"/>
      <c r="G546" s="100"/>
      <c r="H546" s="100"/>
      <c r="I546" s="100"/>
      <c r="J546" s="101">
        <f t="shared" si="283"/>
        <v>60</v>
      </c>
      <c r="K546" s="115">
        <f>IF(A546&lt;&gt;0,INDEX(Coûts, 'PA-Détails'!A546, 3),)</f>
        <v>70</v>
      </c>
      <c r="L546" s="37">
        <f t="shared" si="303"/>
        <v>4200</v>
      </c>
      <c r="M546" s="36">
        <f t="shared" si="303"/>
        <v>0</v>
      </c>
      <c r="N546" s="36">
        <f t="shared" si="303"/>
        <v>0</v>
      </c>
      <c r="O546" s="36">
        <f t="shared" si="303"/>
        <v>0</v>
      </c>
      <c r="P546" s="268">
        <f t="shared" si="303"/>
        <v>0</v>
      </c>
      <c r="Q546" s="281">
        <f>SUM(L546:P546)</f>
        <v>4200</v>
      </c>
      <c r="R546" s="39"/>
      <c r="S546" s="115"/>
      <c r="T546" s="51"/>
    </row>
    <row r="547" spans="1:21" x14ac:dyDescent="0.2">
      <c r="A547" s="95">
        <v>5</v>
      </c>
      <c r="B547" s="108" t="str">
        <f>IF(A547&lt;&gt;0,INDEX(Coûts,'PA-Détails'!A547, 2),)</f>
        <v>Atelier de validation</v>
      </c>
      <c r="C547" s="51"/>
      <c r="D547" s="94" t="str">
        <f>IF(A547&lt;&gt;0,INDEX(Coûts, 'PA-Détails'!A547, 5),)</f>
        <v>Pers / j</v>
      </c>
      <c r="E547" s="96">
        <f>1*50</f>
        <v>50</v>
      </c>
      <c r="F547" s="100"/>
      <c r="G547" s="100"/>
      <c r="H547" s="100"/>
      <c r="I547" s="100"/>
      <c r="J547" s="101">
        <f t="shared" si="283"/>
        <v>50</v>
      </c>
      <c r="K547" s="115">
        <f>IF(A547&lt;&gt;0,INDEX(Coûts, 'PA-Détails'!A547, 3),)</f>
        <v>50</v>
      </c>
      <c r="L547" s="37">
        <f t="shared" si="303"/>
        <v>2500</v>
      </c>
      <c r="M547" s="36">
        <f t="shared" si="303"/>
        <v>0</v>
      </c>
      <c r="N547" s="36">
        <f t="shared" si="303"/>
        <v>0</v>
      </c>
      <c r="O547" s="36">
        <f t="shared" si="303"/>
        <v>0</v>
      </c>
      <c r="P547" s="268">
        <f t="shared" si="303"/>
        <v>0</v>
      </c>
      <c r="Q547" s="281">
        <f>SUM(L547:P547)</f>
        <v>2500</v>
      </c>
      <c r="R547" s="39"/>
      <c r="S547" s="115"/>
      <c r="T547" s="51"/>
    </row>
    <row r="548" spans="1:21" x14ac:dyDescent="0.2">
      <c r="A548" s="20" t="s">
        <v>220</v>
      </c>
      <c r="B548" s="109"/>
      <c r="C548" s="51"/>
      <c r="D548" s="21"/>
      <c r="E548" s="96"/>
      <c r="F548" s="100"/>
      <c r="G548" s="100"/>
      <c r="H548" s="100"/>
      <c r="I548" s="100"/>
      <c r="J548" s="101">
        <f t="shared" si="283"/>
        <v>0</v>
      </c>
      <c r="K548" s="115"/>
      <c r="L548" s="161">
        <f t="shared" ref="L548:Q548" si="304">SUM(L549:L551)</f>
        <v>0</v>
      </c>
      <c r="M548" s="157">
        <f t="shared" si="304"/>
        <v>71800</v>
      </c>
      <c r="N548" s="157">
        <f t="shared" si="304"/>
        <v>71800</v>
      </c>
      <c r="O548" s="157">
        <f t="shared" si="304"/>
        <v>71800</v>
      </c>
      <c r="P548" s="270">
        <f t="shared" si="304"/>
        <v>71800</v>
      </c>
      <c r="Q548" s="284">
        <f t="shared" si="304"/>
        <v>287200</v>
      </c>
      <c r="R548" s="39" t="s">
        <v>707</v>
      </c>
      <c r="S548" s="115" t="s">
        <v>665</v>
      </c>
      <c r="T548" s="51"/>
    </row>
    <row r="549" spans="1:21" x14ac:dyDescent="0.2">
      <c r="A549" s="95">
        <v>81</v>
      </c>
      <c r="B549" s="108" t="str">
        <f>IF(A549&lt;&gt;0,INDEX(Coûts,'PA-Détails'!A549, 2),)</f>
        <v>Production et diffusion de spots / sketchs audios</v>
      </c>
      <c r="C549" s="51"/>
      <c r="D549" s="94" t="str">
        <f>IF(A549&lt;&gt;0,INDEX(Coûts, 'PA-Détails'!A549, 5),)</f>
        <v>Unité</v>
      </c>
      <c r="E549" s="96"/>
      <c r="F549" s="100">
        <f>60*2</f>
        <v>120</v>
      </c>
      <c r="G549" s="100">
        <f>F549</f>
        <v>120</v>
      </c>
      <c r="H549" s="100">
        <f>G549</f>
        <v>120</v>
      </c>
      <c r="I549" s="100">
        <f>H549</f>
        <v>120</v>
      </c>
      <c r="J549" s="101">
        <f t="shared" si="283"/>
        <v>480</v>
      </c>
      <c r="K549" s="115">
        <f>IF(A549&lt;&gt;0,INDEX(Coûts, 'PA-Détails'!A549, 3),)</f>
        <v>350</v>
      </c>
      <c r="L549" s="37">
        <f t="shared" ref="L549:P552" si="305">ROUND(+$K549*E549,0)</f>
        <v>0</v>
      </c>
      <c r="M549" s="36">
        <f t="shared" si="305"/>
        <v>42000</v>
      </c>
      <c r="N549" s="36">
        <f t="shared" si="305"/>
        <v>42000</v>
      </c>
      <c r="O549" s="36">
        <f t="shared" si="305"/>
        <v>42000</v>
      </c>
      <c r="P549" s="268">
        <f t="shared" si="305"/>
        <v>42000</v>
      </c>
      <c r="Q549" s="281">
        <f>SUM(L549:P549)</f>
        <v>168000</v>
      </c>
      <c r="R549" s="39"/>
      <c r="S549" s="115"/>
      <c r="T549" s="51"/>
    </row>
    <row r="550" spans="1:21" x14ac:dyDescent="0.2">
      <c r="A550" s="95">
        <v>82</v>
      </c>
      <c r="B550" s="108" t="str">
        <f>IF(A550&lt;&gt;0,INDEX(Coûts,'PA-Détails'!A550, 2),)</f>
        <v>Support publicitaire : panneaux</v>
      </c>
      <c r="C550" s="51"/>
      <c r="D550" s="94" t="str">
        <f>IF(A550&lt;&gt;0,INDEX(Coûts, 'PA-Détails'!A550, 5),)</f>
        <v>Unité/mois</v>
      </c>
      <c r="E550" s="96"/>
      <c r="F550" s="100">
        <v>2</v>
      </c>
      <c r="G550" s="100">
        <v>2</v>
      </c>
      <c r="H550" s="100">
        <v>2</v>
      </c>
      <c r="I550" s="100">
        <v>2</v>
      </c>
      <c r="J550" s="101">
        <f t="shared" si="283"/>
        <v>8</v>
      </c>
      <c r="K550" s="115">
        <f>IF(A550&lt;&gt;0,INDEX(Coûts, 'PA-Détails'!A550, 3),)</f>
        <v>2400</v>
      </c>
      <c r="L550" s="37">
        <f t="shared" si="305"/>
        <v>0</v>
      </c>
      <c r="M550" s="36">
        <f t="shared" si="305"/>
        <v>4800</v>
      </c>
      <c r="N550" s="36">
        <f t="shared" si="305"/>
        <v>4800</v>
      </c>
      <c r="O550" s="36">
        <f t="shared" si="305"/>
        <v>4800</v>
      </c>
      <c r="P550" s="268">
        <f t="shared" si="305"/>
        <v>4800</v>
      </c>
      <c r="Q550" s="281">
        <f>SUM(L550:P550)</f>
        <v>19200</v>
      </c>
      <c r="R550" s="39"/>
      <c r="S550" s="115"/>
      <c r="T550" s="51"/>
    </row>
    <row r="551" spans="1:21" x14ac:dyDescent="0.2">
      <c r="A551" s="95">
        <v>83</v>
      </c>
      <c r="B551" s="108" t="str">
        <f>IF(A551&lt;&gt;0,INDEX(Coûts,'PA-Détails'!A551, 2),)</f>
        <v>Support publicitaire : affiches</v>
      </c>
      <c r="C551" s="51"/>
      <c r="D551" s="94" t="str">
        <f>IF(A551&lt;&gt;0,INDEX(Coûts, 'PA-Détails'!A551, 5),)</f>
        <v>Unité</v>
      </c>
      <c r="E551" s="96"/>
      <c r="F551" s="100">
        <v>1000</v>
      </c>
      <c r="G551" s="100">
        <v>1000</v>
      </c>
      <c r="H551" s="100">
        <v>1000</v>
      </c>
      <c r="I551" s="100">
        <v>1000</v>
      </c>
      <c r="J551" s="101">
        <f t="shared" si="283"/>
        <v>4000</v>
      </c>
      <c r="K551" s="115">
        <f>IF(A551&lt;&gt;0,INDEX(Coûts, 'PA-Détails'!A551, 3),)</f>
        <v>25</v>
      </c>
      <c r="L551" s="37">
        <f t="shared" si="305"/>
        <v>0</v>
      </c>
      <c r="M551" s="36">
        <f t="shared" si="305"/>
        <v>25000</v>
      </c>
      <c r="N551" s="36">
        <f t="shared" si="305"/>
        <v>25000</v>
      </c>
      <c r="O551" s="36">
        <f t="shared" si="305"/>
        <v>25000</v>
      </c>
      <c r="P551" s="268">
        <f t="shared" si="305"/>
        <v>25000</v>
      </c>
      <c r="Q551" s="281">
        <f>SUM(L551:P551)</f>
        <v>100000</v>
      </c>
      <c r="R551" s="39"/>
      <c r="S551" s="115"/>
      <c r="T551" s="51"/>
    </row>
    <row r="552" spans="1:21" x14ac:dyDescent="0.2">
      <c r="A552" s="17" t="s">
        <v>70</v>
      </c>
      <c r="B552" s="45"/>
      <c r="C552" s="51" t="s">
        <v>607</v>
      </c>
      <c r="D552" s="18"/>
      <c r="E552" s="97"/>
      <c r="F552" s="98"/>
      <c r="G552" s="98"/>
      <c r="H552" s="98"/>
      <c r="I552" s="98"/>
      <c r="J552" s="99">
        <f t="shared" si="283"/>
        <v>0</v>
      </c>
      <c r="K552" s="116"/>
      <c r="L552" s="35">
        <f t="shared" si="305"/>
        <v>0</v>
      </c>
      <c r="M552" s="34">
        <f t="shared" si="305"/>
        <v>0</v>
      </c>
      <c r="N552" s="34">
        <f t="shared" si="305"/>
        <v>0</v>
      </c>
      <c r="O552" s="34">
        <f t="shared" si="305"/>
        <v>0</v>
      </c>
      <c r="P552" s="269">
        <f t="shared" si="305"/>
        <v>0</v>
      </c>
      <c r="Q552" s="279">
        <f>SUM(L552:P552)</f>
        <v>0</v>
      </c>
      <c r="R552" s="38"/>
      <c r="S552" s="116"/>
      <c r="T552" s="50"/>
    </row>
    <row r="553" spans="1:21" x14ac:dyDescent="0.2">
      <c r="A553" s="20" t="s">
        <v>608</v>
      </c>
      <c r="B553" s="149"/>
      <c r="C553" s="51"/>
      <c r="D553" s="21"/>
      <c r="E553" s="96"/>
      <c r="F553" s="100"/>
      <c r="G553" s="100"/>
      <c r="H553" s="100"/>
      <c r="I553" s="100"/>
      <c r="J553" s="101">
        <f t="shared" si="283"/>
        <v>0</v>
      </c>
      <c r="K553" s="115"/>
      <c r="L553" s="161">
        <f t="shared" ref="L553:Q553" si="306">SUM(L554:L555)</f>
        <v>4000</v>
      </c>
      <c r="M553" s="157">
        <f t="shared" si="306"/>
        <v>1000</v>
      </c>
      <c r="N553" s="157">
        <f t="shared" si="306"/>
        <v>1000</v>
      </c>
      <c r="O553" s="157">
        <f t="shared" si="306"/>
        <v>1000</v>
      </c>
      <c r="P553" s="270">
        <f t="shared" si="306"/>
        <v>1000</v>
      </c>
      <c r="Q553" s="284">
        <f t="shared" si="306"/>
        <v>8000</v>
      </c>
      <c r="R553" s="39" t="s">
        <v>738</v>
      </c>
      <c r="S553" s="115" t="s">
        <v>665</v>
      </c>
      <c r="T553" s="51"/>
    </row>
    <row r="554" spans="1:21" x14ac:dyDescent="0.2">
      <c r="A554" s="95">
        <v>2</v>
      </c>
      <c r="B554" s="108" t="str">
        <f>IF(A554&lt;&gt;0,INDEX(Coûts,'PA-Détails'!A554, 2),)</f>
        <v>Assistance technique nationale (consultants)</v>
      </c>
      <c r="C554" s="51"/>
      <c r="D554" s="94" t="str">
        <f>IF(A554&lt;&gt;0,INDEX(Coûts, 'PA-Détails'!A554, 5),)</f>
        <v>Pers / j</v>
      </c>
      <c r="E554" s="96">
        <v>10</v>
      </c>
      <c r="F554" s="100"/>
      <c r="G554" s="100"/>
      <c r="H554" s="100"/>
      <c r="I554" s="100"/>
      <c r="J554" s="101">
        <f t="shared" si="283"/>
        <v>10</v>
      </c>
      <c r="K554" s="115">
        <f>IF(A554&lt;&gt;0,INDEX(Coûts, 'PA-Détails'!A554, 3),)</f>
        <v>300</v>
      </c>
      <c r="L554" s="37">
        <f t="shared" ref="L554:P558" si="307">ROUND(+$K554*E554,0)</f>
        <v>3000</v>
      </c>
      <c r="M554" s="36">
        <f t="shared" si="307"/>
        <v>0</v>
      </c>
      <c r="N554" s="36">
        <f t="shared" si="307"/>
        <v>0</v>
      </c>
      <c r="O554" s="36">
        <f t="shared" si="307"/>
        <v>0</v>
      </c>
      <c r="P554" s="268">
        <f t="shared" si="307"/>
        <v>0</v>
      </c>
      <c r="Q554" s="281">
        <f>SUM(L554:P554)</f>
        <v>3000</v>
      </c>
      <c r="R554" s="39"/>
      <c r="S554" s="115"/>
      <c r="T554" s="51"/>
    </row>
    <row r="555" spans="1:21" x14ac:dyDescent="0.2">
      <c r="A555" s="95">
        <v>124</v>
      </c>
      <c r="B555" s="108" t="str">
        <f>IF(A555&lt;&gt;0,INDEX(Coûts,'PA-Détails'!A555, 2),)</f>
        <v>Fonctionnement et maintenance d'un site web</v>
      </c>
      <c r="C555" s="51"/>
      <c r="D555" s="94" t="str">
        <f>IF(A555&lt;&gt;0,INDEX(Coûts, 'PA-Détails'!A555, 5),)</f>
        <v>Forfait/an</v>
      </c>
      <c r="E555" s="96">
        <f>1</f>
        <v>1</v>
      </c>
      <c r="F555" s="100">
        <f>1</f>
        <v>1</v>
      </c>
      <c r="G555" s="100">
        <f>1</f>
        <v>1</v>
      </c>
      <c r="H555" s="100">
        <f>1</f>
        <v>1</v>
      </c>
      <c r="I555" s="100">
        <f>1</f>
        <v>1</v>
      </c>
      <c r="J555" s="101">
        <f t="shared" si="283"/>
        <v>5</v>
      </c>
      <c r="K555" s="115">
        <f>IF(A555&lt;&gt;0,INDEX(Coûts, 'PA-Détails'!A555, 3),)</f>
        <v>1000</v>
      </c>
      <c r="L555" s="37">
        <f t="shared" si="307"/>
        <v>1000</v>
      </c>
      <c r="M555" s="36">
        <f t="shared" si="307"/>
        <v>1000</v>
      </c>
      <c r="N555" s="36">
        <f t="shared" si="307"/>
        <v>1000</v>
      </c>
      <c r="O555" s="36">
        <f t="shared" si="307"/>
        <v>1000</v>
      </c>
      <c r="P555" s="268">
        <f t="shared" si="307"/>
        <v>1000</v>
      </c>
      <c r="Q555" s="281">
        <f>SUM(L555:P555)</f>
        <v>5000</v>
      </c>
      <c r="R555" s="39"/>
      <c r="S555" s="115"/>
      <c r="T555" s="51"/>
    </row>
    <row r="556" spans="1:21" x14ac:dyDescent="0.2">
      <c r="A556" s="11" t="s">
        <v>750</v>
      </c>
      <c r="B556" s="13"/>
      <c r="C556" s="113"/>
      <c r="D556" s="12"/>
      <c r="E556" s="105"/>
      <c r="F556" s="106"/>
      <c r="G556" s="106"/>
      <c r="H556" s="106"/>
      <c r="I556" s="106"/>
      <c r="J556" s="107">
        <f t="shared" si="283"/>
        <v>0</v>
      </c>
      <c r="K556" s="144"/>
      <c r="L556" s="30">
        <f t="shared" si="307"/>
        <v>0</v>
      </c>
      <c r="M556" s="29">
        <f t="shared" si="307"/>
        <v>0</v>
      </c>
      <c r="N556" s="29">
        <f t="shared" si="307"/>
        <v>0</v>
      </c>
      <c r="O556" s="29">
        <f t="shared" si="307"/>
        <v>0</v>
      </c>
      <c r="P556" s="266">
        <f t="shared" si="307"/>
        <v>0</v>
      </c>
      <c r="Q556" s="277">
        <f>SUM(L556:P556)</f>
        <v>0</v>
      </c>
      <c r="R556" s="176"/>
      <c r="S556" s="177"/>
      <c r="T556" s="48"/>
      <c r="U556" s="653">
        <f>+SUM(Q6:Q556)/2</f>
        <v>3415095951.8872118</v>
      </c>
    </row>
    <row r="557" spans="1:21" x14ac:dyDescent="0.2">
      <c r="A557" s="14" t="s">
        <v>71</v>
      </c>
      <c r="B557" s="44"/>
      <c r="C557" s="112"/>
      <c r="D557" s="15"/>
      <c r="E557" s="102"/>
      <c r="F557" s="103"/>
      <c r="G557" s="103"/>
      <c r="H557" s="103"/>
      <c r="I557" s="103"/>
      <c r="J557" s="104">
        <f t="shared" si="283"/>
        <v>0</v>
      </c>
      <c r="K557" s="145"/>
      <c r="L557" s="33">
        <f t="shared" si="307"/>
        <v>0</v>
      </c>
      <c r="M557" s="32">
        <f t="shared" si="307"/>
        <v>0</v>
      </c>
      <c r="N557" s="32">
        <f t="shared" si="307"/>
        <v>0</v>
      </c>
      <c r="O557" s="32">
        <f t="shared" si="307"/>
        <v>0</v>
      </c>
      <c r="P557" s="267">
        <f t="shared" si="307"/>
        <v>0</v>
      </c>
      <c r="Q557" s="278">
        <f>SUM(L557:P557)</f>
        <v>0</v>
      </c>
      <c r="R557" s="178"/>
      <c r="S557" s="179"/>
      <c r="T557" s="49">
        <v>1</v>
      </c>
    </row>
    <row r="558" spans="1:21" x14ac:dyDescent="0.2">
      <c r="A558" s="17" t="s">
        <v>1074</v>
      </c>
      <c r="B558" s="45"/>
      <c r="C558" s="51" t="s">
        <v>967</v>
      </c>
      <c r="D558" s="18"/>
      <c r="E558" s="97"/>
      <c r="F558" s="98"/>
      <c r="G558" s="98"/>
      <c r="H558" s="98"/>
      <c r="I558" s="98"/>
      <c r="J558" s="99">
        <f t="shared" si="283"/>
        <v>0</v>
      </c>
      <c r="K558" s="116"/>
      <c r="L558" s="35">
        <f t="shared" si="307"/>
        <v>0</v>
      </c>
      <c r="M558" s="34">
        <f t="shared" si="307"/>
        <v>0</v>
      </c>
      <c r="N558" s="34">
        <f t="shared" si="307"/>
        <v>0</v>
      </c>
      <c r="O558" s="34">
        <f t="shared" si="307"/>
        <v>0</v>
      </c>
      <c r="P558" s="269">
        <f t="shared" si="307"/>
        <v>0</v>
      </c>
      <c r="Q558" s="279">
        <f>SUM(L558:P558)</f>
        <v>0</v>
      </c>
      <c r="R558" s="180"/>
      <c r="S558" s="181"/>
      <c r="T558" s="50"/>
    </row>
    <row r="559" spans="1:21" x14ac:dyDescent="0.2">
      <c r="A559" s="20" t="s">
        <v>230</v>
      </c>
      <c r="B559" s="46"/>
      <c r="C559" s="51"/>
      <c r="D559" s="21"/>
      <c r="E559" s="96"/>
      <c r="F559" s="100"/>
      <c r="G559" s="100"/>
      <c r="H559" s="100"/>
      <c r="I559" s="100"/>
      <c r="J559" s="101">
        <f t="shared" si="283"/>
        <v>0</v>
      </c>
      <c r="K559" s="115"/>
      <c r="L559" s="161">
        <f t="shared" ref="L559:Q559" si="308">SUM(L560:L562)</f>
        <v>73500</v>
      </c>
      <c r="M559" s="157">
        <f t="shared" si="308"/>
        <v>0</v>
      </c>
      <c r="N559" s="157">
        <f t="shared" si="308"/>
        <v>0</v>
      </c>
      <c r="O559" s="157">
        <f t="shared" si="308"/>
        <v>0</v>
      </c>
      <c r="P559" s="270">
        <f t="shared" si="308"/>
        <v>0</v>
      </c>
      <c r="Q559" s="284">
        <f t="shared" si="308"/>
        <v>73500</v>
      </c>
      <c r="R559" s="182" t="s">
        <v>751</v>
      </c>
      <c r="S559" s="183" t="s">
        <v>670</v>
      </c>
      <c r="T559" s="51"/>
    </row>
    <row r="560" spans="1:21" x14ac:dyDescent="0.2">
      <c r="A560" s="95">
        <v>1</v>
      </c>
      <c r="B560" s="108" t="str">
        <f>IF(A560&lt;&gt;0,INDEX(Coûts,'PA-Détails'!A560, 2),)</f>
        <v>Assistance technique internationale (consultants)</v>
      </c>
      <c r="C560" s="51"/>
      <c r="D560" s="94" t="str">
        <f>IF(A560&lt;&gt;0,INDEX(Coûts, 'PA-Détails'!A560, 5),)</f>
        <v>Pers / j</v>
      </c>
      <c r="E560" s="96">
        <v>50</v>
      </c>
      <c r="F560" s="100"/>
      <c r="G560" s="100"/>
      <c r="H560" s="100"/>
      <c r="I560" s="100"/>
      <c r="J560" s="101">
        <f t="shared" si="283"/>
        <v>50</v>
      </c>
      <c r="K560" s="115">
        <f>IF(A560&lt;&gt;0,INDEX(Coûts, 'PA-Détails'!A560, 3),)</f>
        <v>1150</v>
      </c>
      <c r="L560" s="37">
        <f t="shared" ref="L560:P563" si="309">ROUND(+$K560*E560,0)</f>
        <v>57500</v>
      </c>
      <c r="M560" s="36">
        <f t="shared" si="309"/>
        <v>0</v>
      </c>
      <c r="N560" s="36">
        <f t="shared" si="309"/>
        <v>0</v>
      </c>
      <c r="O560" s="36">
        <f t="shared" si="309"/>
        <v>0</v>
      </c>
      <c r="P560" s="268">
        <f t="shared" si="309"/>
        <v>0</v>
      </c>
      <c r="Q560" s="281">
        <f>SUM(L560:P560)</f>
        <v>57500</v>
      </c>
      <c r="R560" s="182"/>
      <c r="S560" s="183"/>
      <c r="T560" s="51"/>
    </row>
    <row r="561" spans="1:20" x14ac:dyDescent="0.2">
      <c r="A561" s="95">
        <v>2</v>
      </c>
      <c r="B561" s="108" t="str">
        <f>IF(A561&lt;&gt;0,INDEX(Coûts,'PA-Détails'!A561, 2),)</f>
        <v>Assistance technique nationale (consultants)</v>
      </c>
      <c r="C561" s="51"/>
      <c r="D561" s="94" t="str">
        <f>IF(A561&lt;&gt;0,INDEX(Coûts, 'PA-Détails'!A561, 5),)</f>
        <v>Pers / j</v>
      </c>
      <c r="E561" s="96">
        <v>40</v>
      </c>
      <c r="F561" s="100"/>
      <c r="G561" s="100"/>
      <c r="H561" s="100"/>
      <c r="I561" s="100"/>
      <c r="J561" s="101">
        <f t="shared" si="283"/>
        <v>40</v>
      </c>
      <c r="K561" s="115">
        <f>IF(A561&lt;&gt;0,INDEX(Coûts, 'PA-Détails'!A561, 3),)</f>
        <v>300</v>
      </c>
      <c r="L561" s="37">
        <f t="shared" si="309"/>
        <v>12000</v>
      </c>
      <c r="M561" s="36">
        <f t="shared" si="309"/>
        <v>0</v>
      </c>
      <c r="N561" s="36">
        <f t="shared" si="309"/>
        <v>0</v>
      </c>
      <c r="O561" s="36">
        <f t="shared" si="309"/>
        <v>0</v>
      </c>
      <c r="P561" s="268">
        <f t="shared" si="309"/>
        <v>0</v>
      </c>
      <c r="Q561" s="281">
        <f>SUM(L561:P561)</f>
        <v>12000</v>
      </c>
      <c r="R561" s="182"/>
      <c r="S561" s="183"/>
      <c r="T561" s="51"/>
    </row>
    <row r="562" spans="1:20" x14ac:dyDescent="0.2">
      <c r="A562" s="95">
        <v>5</v>
      </c>
      <c r="B562" s="108" t="str">
        <f>IF(A562&lt;&gt;0,INDEX(Coûts,'PA-Détails'!A562, 2),)</f>
        <v>Atelier de validation</v>
      </c>
      <c r="C562" s="51"/>
      <c r="D562" s="94" t="str">
        <f>IF(A562&lt;&gt;0,INDEX(Coûts, 'PA-Détails'!A562, 5),)</f>
        <v>Pers / j</v>
      </c>
      <c r="E562" s="96">
        <v>80</v>
      </c>
      <c r="F562" s="100"/>
      <c r="G562" s="100"/>
      <c r="H562" s="100"/>
      <c r="I562" s="100"/>
      <c r="J562" s="101">
        <f t="shared" si="283"/>
        <v>80</v>
      </c>
      <c r="K562" s="115">
        <f>IF(A562&lt;&gt;0,INDEX(Coûts, 'PA-Détails'!A562, 3),)</f>
        <v>50</v>
      </c>
      <c r="L562" s="37">
        <f t="shared" si="309"/>
        <v>4000</v>
      </c>
      <c r="M562" s="36">
        <f t="shared" si="309"/>
        <v>0</v>
      </c>
      <c r="N562" s="36">
        <f t="shared" si="309"/>
        <v>0</v>
      </c>
      <c r="O562" s="36">
        <f t="shared" si="309"/>
        <v>0</v>
      </c>
      <c r="P562" s="268">
        <f t="shared" si="309"/>
        <v>0</v>
      </c>
      <c r="Q562" s="281">
        <f>SUM(L562:P562)</f>
        <v>4000</v>
      </c>
      <c r="R562" s="182"/>
      <c r="S562" s="183"/>
      <c r="T562" s="51"/>
    </row>
    <row r="563" spans="1:20" x14ac:dyDescent="0.2">
      <c r="A563" s="17" t="s">
        <v>72</v>
      </c>
      <c r="B563" s="45"/>
      <c r="C563" s="329" t="s">
        <v>967</v>
      </c>
      <c r="D563" s="18"/>
      <c r="E563" s="97"/>
      <c r="F563" s="98"/>
      <c r="G563" s="98"/>
      <c r="H563" s="98"/>
      <c r="I563" s="98"/>
      <c r="J563" s="99">
        <f t="shared" si="283"/>
        <v>0</v>
      </c>
      <c r="K563" s="116"/>
      <c r="L563" s="35">
        <f t="shared" si="309"/>
        <v>0</v>
      </c>
      <c r="M563" s="34">
        <f t="shared" si="309"/>
        <v>0</v>
      </c>
      <c r="N563" s="34">
        <f t="shared" si="309"/>
        <v>0</v>
      </c>
      <c r="O563" s="34">
        <f t="shared" si="309"/>
        <v>0</v>
      </c>
      <c r="P563" s="269">
        <f t="shared" si="309"/>
        <v>0</v>
      </c>
      <c r="Q563" s="279">
        <f>SUM(L563:P563)</f>
        <v>0</v>
      </c>
      <c r="R563" s="180"/>
      <c r="S563" s="181"/>
      <c r="T563" s="50"/>
    </row>
    <row r="564" spans="1:20" x14ac:dyDescent="0.2">
      <c r="A564" s="20" t="s">
        <v>231</v>
      </c>
      <c r="B564" s="46"/>
      <c r="C564" s="51"/>
      <c r="D564" s="21"/>
      <c r="E564" s="96"/>
      <c r="F564" s="100"/>
      <c r="G564" s="100"/>
      <c r="H564" s="100"/>
      <c r="I564" s="100"/>
      <c r="J564" s="101">
        <f t="shared" si="283"/>
        <v>0</v>
      </c>
      <c r="K564" s="115"/>
      <c r="L564" s="161">
        <f t="shared" ref="L564:Q564" si="310">SUM(L565:L567)</f>
        <v>17000</v>
      </c>
      <c r="M564" s="157">
        <f t="shared" si="310"/>
        <v>0</v>
      </c>
      <c r="N564" s="157">
        <f t="shared" si="310"/>
        <v>0</v>
      </c>
      <c r="O564" s="157">
        <f t="shared" si="310"/>
        <v>0</v>
      </c>
      <c r="P564" s="270">
        <f t="shared" si="310"/>
        <v>0</v>
      </c>
      <c r="Q564" s="284">
        <f t="shared" si="310"/>
        <v>17000</v>
      </c>
      <c r="R564" s="182" t="s">
        <v>752</v>
      </c>
      <c r="S564" s="183" t="s">
        <v>670</v>
      </c>
      <c r="T564" s="51"/>
    </row>
    <row r="565" spans="1:20" x14ac:dyDescent="0.2">
      <c r="A565" s="95">
        <v>1</v>
      </c>
      <c r="B565" s="108" t="str">
        <f>IF(A565&lt;&gt;0,INDEX(Coûts,'PA-Détails'!A565, 2),)</f>
        <v>Assistance technique internationale (consultants)</v>
      </c>
      <c r="C565" s="51"/>
      <c r="D565" s="94" t="str">
        <f>IF(A565&lt;&gt;0,INDEX(Coûts, 'PA-Détails'!A565, 5),)</f>
        <v>Pers / j</v>
      </c>
      <c r="E565" s="96">
        <v>10</v>
      </c>
      <c r="F565" s="100"/>
      <c r="G565" s="100"/>
      <c r="H565" s="100"/>
      <c r="I565" s="100"/>
      <c r="J565" s="101">
        <f t="shared" si="283"/>
        <v>10</v>
      </c>
      <c r="K565" s="115">
        <f>IF(A565&lt;&gt;0,INDEX(Coûts, 'PA-Détails'!A565, 3),)</f>
        <v>1150</v>
      </c>
      <c r="L565" s="37">
        <f t="shared" ref="L565:P568" si="311">ROUND(+$K565*E565,0)</f>
        <v>11500</v>
      </c>
      <c r="M565" s="36">
        <f t="shared" si="311"/>
        <v>0</v>
      </c>
      <c r="N565" s="36">
        <f t="shared" si="311"/>
        <v>0</v>
      </c>
      <c r="O565" s="36">
        <f t="shared" si="311"/>
        <v>0</v>
      </c>
      <c r="P565" s="268">
        <f t="shared" si="311"/>
        <v>0</v>
      </c>
      <c r="Q565" s="281">
        <f>SUM(L565:P565)</f>
        <v>11500</v>
      </c>
      <c r="R565" s="182"/>
      <c r="S565" s="183"/>
      <c r="T565" s="51"/>
    </row>
    <row r="566" spans="1:20" x14ac:dyDescent="0.2">
      <c r="A566" s="95">
        <v>2</v>
      </c>
      <c r="B566" s="108" t="str">
        <f>IF(A566&lt;&gt;0,INDEX(Coûts,'PA-Détails'!A566, 2),)</f>
        <v>Assistance technique nationale (consultants)</v>
      </c>
      <c r="C566" s="51"/>
      <c r="D566" s="94" t="str">
        <f>IF(A566&lt;&gt;0,INDEX(Coûts, 'PA-Détails'!A566, 5),)</f>
        <v>Pers / j</v>
      </c>
      <c r="E566" s="96">
        <v>10</v>
      </c>
      <c r="F566" s="100"/>
      <c r="G566" s="100"/>
      <c r="H566" s="100"/>
      <c r="I566" s="100"/>
      <c r="J566" s="101">
        <f t="shared" si="283"/>
        <v>10</v>
      </c>
      <c r="K566" s="115">
        <f>IF(A566&lt;&gt;0,INDEX(Coûts, 'PA-Détails'!A566, 3),)</f>
        <v>300</v>
      </c>
      <c r="L566" s="37">
        <f t="shared" si="311"/>
        <v>3000</v>
      </c>
      <c r="M566" s="36">
        <f t="shared" si="311"/>
        <v>0</v>
      </c>
      <c r="N566" s="36">
        <f t="shared" si="311"/>
        <v>0</v>
      </c>
      <c r="O566" s="36">
        <f t="shared" si="311"/>
        <v>0</v>
      </c>
      <c r="P566" s="268">
        <f t="shared" si="311"/>
        <v>0</v>
      </c>
      <c r="Q566" s="281">
        <f>SUM(L566:P566)</f>
        <v>3000</v>
      </c>
      <c r="R566" s="182"/>
      <c r="S566" s="183"/>
      <c r="T566" s="51"/>
    </row>
    <row r="567" spans="1:20" x14ac:dyDescent="0.2">
      <c r="A567" s="95">
        <v>5</v>
      </c>
      <c r="B567" s="108" t="str">
        <f>IF(A567&lt;&gt;0,INDEX(Coûts,'PA-Détails'!A567, 2),)</f>
        <v>Atelier de validation</v>
      </c>
      <c r="C567" s="51"/>
      <c r="D567" s="94" t="str">
        <f>IF(A567&lt;&gt;0,INDEX(Coûts, 'PA-Détails'!A567, 5),)</f>
        <v>Pers / j</v>
      </c>
      <c r="E567" s="96">
        <v>50</v>
      </c>
      <c r="F567" s="100"/>
      <c r="G567" s="100"/>
      <c r="H567" s="100"/>
      <c r="I567" s="100"/>
      <c r="J567" s="101">
        <f t="shared" si="283"/>
        <v>50</v>
      </c>
      <c r="K567" s="115">
        <f>IF(A567&lt;&gt;0,INDEX(Coûts, 'PA-Détails'!A567, 3),)</f>
        <v>50</v>
      </c>
      <c r="L567" s="37">
        <f t="shared" si="311"/>
        <v>2500</v>
      </c>
      <c r="M567" s="36">
        <f t="shared" si="311"/>
        <v>0</v>
      </c>
      <c r="N567" s="36">
        <f t="shared" si="311"/>
        <v>0</v>
      </c>
      <c r="O567" s="36">
        <f t="shared" si="311"/>
        <v>0</v>
      </c>
      <c r="P567" s="268">
        <f t="shared" si="311"/>
        <v>0</v>
      </c>
      <c r="Q567" s="281">
        <f>SUM(L567:P567)</f>
        <v>2500</v>
      </c>
      <c r="R567" s="182"/>
      <c r="S567" s="183"/>
      <c r="T567" s="51"/>
    </row>
    <row r="568" spans="1:20" x14ac:dyDescent="0.2">
      <c r="A568" s="17" t="s">
        <v>73</v>
      </c>
      <c r="B568" s="45"/>
      <c r="C568" s="329" t="s">
        <v>968</v>
      </c>
      <c r="D568" s="18"/>
      <c r="E568" s="97"/>
      <c r="F568" s="98"/>
      <c r="G568" s="98"/>
      <c r="H568" s="98"/>
      <c r="I568" s="98"/>
      <c r="J568" s="99">
        <f t="shared" ref="J568:J623" si="312">SUM(E568:I568)</f>
        <v>0</v>
      </c>
      <c r="K568" s="116"/>
      <c r="L568" s="35">
        <f t="shared" si="311"/>
        <v>0</v>
      </c>
      <c r="M568" s="34">
        <f t="shared" si="311"/>
        <v>0</v>
      </c>
      <c r="N568" s="34">
        <f t="shared" si="311"/>
        <v>0</v>
      </c>
      <c r="O568" s="34">
        <f t="shared" si="311"/>
        <v>0</v>
      </c>
      <c r="P568" s="269">
        <f t="shared" si="311"/>
        <v>0</v>
      </c>
      <c r="Q568" s="279">
        <f>SUM(L568:P568)</f>
        <v>0</v>
      </c>
      <c r="R568" s="180"/>
      <c r="S568" s="181"/>
      <c r="T568" s="50"/>
    </row>
    <row r="569" spans="1:20" x14ac:dyDescent="0.2">
      <c r="A569" s="20" t="s">
        <v>232</v>
      </c>
      <c r="B569" s="46"/>
      <c r="C569" s="51"/>
      <c r="D569" s="21"/>
      <c r="E569" s="96"/>
      <c r="F569" s="100"/>
      <c r="G569" s="100"/>
      <c r="H569" s="100"/>
      <c r="I569" s="100"/>
      <c r="J569" s="101">
        <f t="shared" si="312"/>
        <v>0</v>
      </c>
      <c r="K569" s="115"/>
      <c r="L569" s="161">
        <f t="shared" ref="L569:Q569" si="313">SUM(L570:L572)</f>
        <v>0</v>
      </c>
      <c r="M569" s="157">
        <f t="shared" si="313"/>
        <v>17000</v>
      </c>
      <c r="N569" s="157">
        <f t="shared" si="313"/>
        <v>0</v>
      </c>
      <c r="O569" s="157">
        <f t="shared" si="313"/>
        <v>0</v>
      </c>
      <c r="P569" s="270">
        <f t="shared" si="313"/>
        <v>0</v>
      </c>
      <c r="Q569" s="284">
        <f t="shared" si="313"/>
        <v>17000</v>
      </c>
      <c r="R569" s="182" t="s">
        <v>753</v>
      </c>
      <c r="S569" s="183" t="s">
        <v>665</v>
      </c>
      <c r="T569" s="51"/>
    </row>
    <row r="570" spans="1:20" x14ac:dyDescent="0.2">
      <c r="A570" s="95">
        <v>1</v>
      </c>
      <c r="B570" s="108" t="str">
        <f>IF(A570&lt;&gt;0,INDEX(Coûts,'PA-Détails'!A570, 2),)</f>
        <v>Assistance technique internationale (consultants)</v>
      </c>
      <c r="C570" s="51"/>
      <c r="D570" s="94" t="str">
        <f>IF(A570&lt;&gt;0,INDEX(Coûts, 'PA-Détails'!A570, 5),)</f>
        <v>Pers / j</v>
      </c>
      <c r="E570" s="96"/>
      <c r="F570" s="100">
        <v>10</v>
      </c>
      <c r="G570" s="100"/>
      <c r="H570" s="100"/>
      <c r="I570" s="100"/>
      <c r="J570" s="101">
        <f t="shared" si="312"/>
        <v>10</v>
      </c>
      <c r="K570" s="115">
        <f>IF(A570&lt;&gt;0,INDEX(Coûts, 'PA-Détails'!A570, 3),)</f>
        <v>1150</v>
      </c>
      <c r="L570" s="37">
        <f t="shared" ref="L570:P573" si="314">ROUND(+$K570*E570,0)</f>
        <v>0</v>
      </c>
      <c r="M570" s="36">
        <f t="shared" si="314"/>
        <v>11500</v>
      </c>
      <c r="N570" s="36">
        <f t="shared" si="314"/>
        <v>0</v>
      </c>
      <c r="O570" s="36">
        <f t="shared" si="314"/>
        <v>0</v>
      </c>
      <c r="P570" s="268">
        <f t="shared" si="314"/>
        <v>0</v>
      </c>
      <c r="Q570" s="281">
        <f>SUM(L570:P570)</f>
        <v>11500</v>
      </c>
      <c r="R570" s="182"/>
      <c r="S570" s="183"/>
      <c r="T570" s="51"/>
    </row>
    <row r="571" spans="1:20" x14ac:dyDescent="0.2">
      <c r="A571" s="95">
        <v>2</v>
      </c>
      <c r="B571" s="108" t="str">
        <f>IF(A571&lt;&gt;0,INDEX(Coûts,'PA-Détails'!A571, 2),)</f>
        <v>Assistance technique nationale (consultants)</v>
      </c>
      <c r="C571" s="51"/>
      <c r="D571" s="94" t="str">
        <f>IF(A571&lt;&gt;0,INDEX(Coûts, 'PA-Détails'!A571, 5),)</f>
        <v>Pers / j</v>
      </c>
      <c r="E571" s="96"/>
      <c r="F571" s="100">
        <v>10</v>
      </c>
      <c r="G571" s="100"/>
      <c r="H571" s="100"/>
      <c r="I571" s="100"/>
      <c r="J571" s="101">
        <f t="shared" si="312"/>
        <v>10</v>
      </c>
      <c r="K571" s="115">
        <f>IF(A571&lt;&gt;0,INDEX(Coûts, 'PA-Détails'!A571, 3),)</f>
        <v>300</v>
      </c>
      <c r="L571" s="37">
        <f t="shared" si="314"/>
        <v>0</v>
      </c>
      <c r="M571" s="36">
        <f t="shared" si="314"/>
        <v>3000</v>
      </c>
      <c r="N571" s="36">
        <f t="shared" si="314"/>
        <v>0</v>
      </c>
      <c r="O571" s="36">
        <f t="shared" si="314"/>
        <v>0</v>
      </c>
      <c r="P571" s="268">
        <f t="shared" si="314"/>
        <v>0</v>
      </c>
      <c r="Q571" s="281">
        <f>SUM(L571:P571)</f>
        <v>3000</v>
      </c>
      <c r="R571" s="182"/>
      <c r="S571" s="183"/>
      <c r="T571" s="51"/>
    </row>
    <row r="572" spans="1:20" x14ac:dyDescent="0.2">
      <c r="A572" s="95">
        <v>5</v>
      </c>
      <c r="B572" s="108" t="str">
        <f>IF(A572&lt;&gt;0,INDEX(Coûts,'PA-Détails'!A572, 2),)</f>
        <v>Atelier de validation</v>
      </c>
      <c r="C572" s="51"/>
      <c r="D572" s="94" t="str">
        <f>IF(A572&lt;&gt;0,INDEX(Coûts, 'PA-Détails'!A572, 5),)</f>
        <v>Pers / j</v>
      </c>
      <c r="E572" s="96"/>
      <c r="F572" s="100">
        <v>50</v>
      </c>
      <c r="G572" s="100"/>
      <c r="H572" s="100"/>
      <c r="I572" s="100"/>
      <c r="J572" s="101">
        <f t="shared" si="312"/>
        <v>50</v>
      </c>
      <c r="K572" s="115">
        <f>IF(A572&lt;&gt;0,INDEX(Coûts, 'PA-Détails'!A572, 3),)</f>
        <v>50</v>
      </c>
      <c r="L572" s="37">
        <f t="shared" si="314"/>
        <v>0</v>
      </c>
      <c r="M572" s="36">
        <f t="shared" si="314"/>
        <v>2500</v>
      </c>
      <c r="N572" s="36">
        <f t="shared" si="314"/>
        <v>0</v>
      </c>
      <c r="O572" s="36">
        <f t="shared" si="314"/>
        <v>0</v>
      </c>
      <c r="P572" s="268">
        <f t="shared" si="314"/>
        <v>0</v>
      </c>
      <c r="Q572" s="281">
        <f>SUM(L572:P572)</f>
        <v>2500</v>
      </c>
      <c r="R572" s="182"/>
      <c r="S572" s="183"/>
      <c r="T572" s="51"/>
    </row>
    <row r="573" spans="1:20" x14ac:dyDescent="0.2">
      <c r="A573" s="17" t="s">
        <v>74</v>
      </c>
      <c r="B573" s="45"/>
      <c r="C573" s="329" t="s">
        <v>968</v>
      </c>
      <c r="D573" s="18"/>
      <c r="E573" s="97"/>
      <c r="F573" s="98"/>
      <c r="G573" s="98"/>
      <c r="H573" s="98"/>
      <c r="I573" s="98"/>
      <c r="J573" s="99">
        <f t="shared" si="312"/>
        <v>0</v>
      </c>
      <c r="K573" s="116"/>
      <c r="L573" s="35">
        <f t="shared" si="314"/>
        <v>0</v>
      </c>
      <c r="M573" s="34">
        <f t="shared" si="314"/>
        <v>0</v>
      </c>
      <c r="N573" s="34">
        <f t="shared" si="314"/>
        <v>0</v>
      </c>
      <c r="O573" s="34">
        <f t="shared" si="314"/>
        <v>0</v>
      </c>
      <c r="P573" s="269">
        <f t="shared" si="314"/>
        <v>0</v>
      </c>
      <c r="Q573" s="279">
        <f>SUM(L573:P573)</f>
        <v>0</v>
      </c>
      <c r="R573" s="180"/>
      <c r="S573" s="181"/>
      <c r="T573" s="50"/>
    </row>
    <row r="574" spans="1:20" x14ac:dyDescent="0.2">
      <c r="A574" s="20" t="s">
        <v>233</v>
      </c>
      <c r="B574" s="46"/>
      <c r="C574" s="51"/>
      <c r="D574" s="21"/>
      <c r="E574" s="96"/>
      <c r="F574" s="100"/>
      <c r="G574" s="100"/>
      <c r="H574" s="100"/>
      <c r="I574" s="100"/>
      <c r="J574" s="101">
        <f t="shared" si="312"/>
        <v>0</v>
      </c>
      <c r="K574" s="115"/>
      <c r="L574" s="161">
        <f t="shared" ref="L574:Q574" si="315">SUM(L575:L577)</f>
        <v>0</v>
      </c>
      <c r="M574" s="157">
        <f t="shared" si="315"/>
        <v>31500</v>
      </c>
      <c r="N574" s="157">
        <f t="shared" si="315"/>
        <v>0</v>
      </c>
      <c r="O574" s="157">
        <f t="shared" si="315"/>
        <v>0</v>
      </c>
      <c r="P574" s="270">
        <f t="shared" si="315"/>
        <v>0</v>
      </c>
      <c r="Q574" s="284">
        <f t="shared" si="315"/>
        <v>31500</v>
      </c>
      <c r="R574" s="182" t="s">
        <v>754</v>
      </c>
      <c r="S574" s="183" t="s">
        <v>665</v>
      </c>
      <c r="T574" s="51"/>
    </row>
    <row r="575" spans="1:20" x14ac:dyDescent="0.2">
      <c r="A575" s="95">
        <v>1</v>
      </c>
      <c r="B575" s="108" t="str">
        <f>IF(A575&lt;&gt;0,INDEX(Coûts,'PA-Détails'!A575, 2),)</f>
        <v>Assistance technique internationale (consultants)</v>
      </c>
      <c r="C575" s="51"/>
      <c r="D575" s="94" t="str">
        <f>IF(A575&lt;&gt;0,INDEX(Coûts, 'PA-Détails'!A575, 5),)</f>
        <v>Pers / j</v>
      </c>
      <c r="E575" s="96"/>
      <c r="F575" s="100">
        <v>20</v>
      </c>
      <c r="G575" s="100"/>
      <c r="H575" s="100"/>
      <c r="I575" s="100"/>
      <c r="J575" s="101">
        <f t="shared" si="312"/>
        <v>20</v>
      </c>
      <c r="K575" s="115">
        <f>IF(A575&lt;&gt;0,INDEX(Coûts, 'PA-Détails'!A575, 3),)</f>
        <v>1150</v>
      </c>
      <c r="L575" s="37">
        <f t="shared" ref="L575:P578" si="316">ROUND(+$K575*E575,0)</f>
        <v>0</v>
      </c>
      <c r="M575" s="36">
        <f t="shared" si="316"/>
        <v>23000</v>
      </c>
      <c r="N575" s="36">
        <f t="shared" si="316"/>
        <v>0</v>
      </c>
      <c r="O575" s="36">
        <f t="shared" si="316"/>
        <v>0</v>
      </c>
      <c r="P575" s="268">
        <f t="shared" si="316"/>
        <v>0</v>
      </c>
      <c r="Q575" s="281">
        <f>SUM(L575:P575)</f>
        <v>23000</v>
      </c>
      <c r="R575" s="182"/>
      <c r="S575" s="183"/>
      <c r="T575" s="51"/>
    </row>
    <row r="576" spans="1:20" x14ac:dyDescent="0.2">
      <c r="A576" s="95">
        <v>2</v>
      </c>
      <c r="B576" s="108" t="str">
        <f>IF(A576&lt;&gt;0,INDEX(Coûts,'PA-Détails'!A576, 2),)</f>
        <v>Assistance technique nationale (consultants)</v>
      </c>
      <c r="C576" s="51"/>
      <c r="D576" s="94" t="str">
        <f>IF(A576&lt;&gt;0,INDEX(Coûts, 'PA-Détails'!A576, 5),)</f>
        <v>Pers / j</v>
      </c>
      <c r="E576" s="96"/>
      <c r="F576" s="100">
        <v>20</v>
      </c>
      <c r="G576" s="100"/>
      <c r="H576" s="100"/>
      <c r="I576" s="100"/>
      <c r="J576" s="101">
        <f t="shared" si="312"/>
        <v>20</v>
      </c>
      <c r="K576" s="115">
        <f>IF(A576&lt;&gt;0,INDEX(Coûts, 'PA-Détails'!A576, 3),)</f>
        <v>300</v>
      </c>
      <c r="L576" s="37">
        <f t="shared" si="316"/>
        <v>0</v>
      </c>
      <c r="M576" s="36">
        <f t="shared" si="316"/>
        <v>6000</v>
      </c>
      <c r="N576" s="36">
        <f t="shared" si="316"/>
        <v>0</v>
      </c>
      <c r="O576" s="36">
        <f t="shared" si="316"/>
        <v>0</v>
      </c>
      <c r="P576" s="268">
        <f t="shared" si="316"/>
        <v>0</v>
      </c>
      <c r="Q576" s="281">
        <f>SUM(L576:P576)</f>
        <v>6000</v>
      </c>
      <c r="R576" s="182"/>
      <c r="S576" s="183"/>
      <c r="T576" s="51"/>
    </row>
    <row r="577" spans="1:20" x14ac:dyDescent="0.2">
      <c r="A577" s="95">
        <v>5</v>
      </c>
      <c r="B577" s="108" t="str">
        <f>IF(A577&lt;&gt;0,INDEX(Coûts,'PA-Détails'!A577, 2),)</f>
        <v>Atelier de validation</v>
      </c>
      <c r="C577" s="51"/>
      <c r="D577" s="94" t="str">
        <f>IF(A577&lt;&gt;0,INDEX(Coûts, 'PA-Détails'!A577, 5),)</f>
        <v>Pers / j</v>
      </c>
      <c r="E577" s="96"/>
      <c r="F577" s="100">
        <v>50</v>
      </c>
      <c r="G577" s="100"/>
      <c r="H577" s="100"/>
      <c r="I577" s="100"/>
      <c r="J577" s="101">
        <f t="shared" si="312"/>
        <v>50</v>
      </c>
      <c r="K577" s="115">
        <f>IF(A577&lt;&gt;0,INDEX(Coûts, 'PA-Détails'!A577, 3),)</f>
        <v>50</v>
      </c>
      <c r="L577" s="37">
        <f t="shared" si="316"/>
        <v>0</v>
      </c>
      <c r="M577" s="36">
        <f t="shared" si="316"/>
        <v>2500</v>
      </c>
      <c r="N577" s="36">
        <f t="shared" si="316"/>
        <v>0</v>
      </c>
      <c r="O577" s="36">
        <f t="shared" si="316"/>
        <v>0</v>
      </c>
      <c r="P577" s="268">
        <f t="shared" si="316"/>
        <v>0</v>
      </c>
      <c r="Q577" s="281">
        <f>SUM(L577:P577)</f>
        <v>2500</v>
      </c>
      <c r="R577" s="182"/>
      <c r="S577" s="183"/>
      <c r="T577" s="51"/>
    </row>
    <row r="578" spans="1:20" x14ac:dyDescent="0.2">
      <c r="A578" s="17" t="s">
        <v>75</v>
      </c>
      <c r="B578" s="45"/>
      <c r="C578" s="329" t="s">
        <v>968</v>
      </c>
      <c r="D578" s="18"/>
      <c r="E578" s="97"/>
      <c r="F578" s="98"/>
      <c r="G578" s="98"/>
      <c r="H578" s="98"/>
      <c r="I578" s="98"/>
      <c r="J578" s="99">
        <f t="shared" si="312"/>
        <v>0</v>
      </c>
      <c r="K578" s="116"/>
      <c r="L578" s="35">
        <f t="shared" si="316"/>
        <v>0</v>
      </c>
      <c r="M578" s="34">
        <f t="shared" si="316"/>
        <v>0</v>
      </c>
      <c r="N578" s="34">
        <f t="shared" si="316"/>
        <v>0</v>
      </c>
      <c r="O578" s="34">
        <f t="shared" si="316"/>
        <v>0</v>
      </c>
      <c r="P578" s="269">
        <f t="shared" si="316"/>
        <v>0</v>
      </c>
      <c r="Q578" s="279">
        <f>SUM(L578:P578)</f>
        <v>0</v>
      </c>
      <c r="R578" s="180"/>
      <c r="S578" s="181"/>
      <c r="T578" s="50"/>
    </row>
    <row r="579" spans="1:20" x14ac:dyDescent="0.2">
      <c r="A579" s="20" t="s">
        <v>1075</v>
      </c>
      <c r="B579" s="46"/>
      <c r="C579" s="51"/>
      <c r="D579" s="21"/>
      <c r="E579" s="96"/>
      <c r="F579" s="100"/>
      <c r="G579" s="100"/>
      <c r="H579" s="100"/>
      <c r="I579" s="100"/>
      <c r="J579" s="101">
        <f t="shared" si="312"/>
        <v>0</v>
      </c>
      <c r="K579" s="115"/>
      <c r="L579" s="161">
        <f t="shared" ref="L579:Q579" si="317">SUM(L580:L582)</f>
        <v>0</v>
      </c>
      <c r="M579" s="157">
        <f t="shared" si="317"/>
        <v>33000</v>
      </c>
      <c r="N579" s="157">
        <f t="shared" si="317"/>
        <v>0</v>
      </c>
      <c r="O579" s="157">
        <f t="shared" si="317"/>
        <v>0</v>
      </c>
      <c r="P579" s="270">
        <f t="shared" si="317"/>
        <v>0</v>
      </c>
      <c r="Q579" s="284">
        <f t="shared" si="317"/>
        <v>33000</v>
      </c>
      <c r="R579" s="182" t="s">
        <v>754</v>
      </c>
      <c r="S579" s="183" t="s">
        <v>665</v>
      </c>
      <c r="T579" s="51"/>
    </row>
    <row r="580" spans="1:20" x14ac:dyDescent="0.2">
      <c r="A580" s="95">
        <v>1</v>
      </c>
      <c r="B580" s="108" t="str">
        <f>IF(A580&lt;&gt;0,INDEX(Coûts,'PA-Détails'!A580, 2),)</f>
        <v>Assistance technique internationale (consultants)</v>
      </c>
      <c r="C580" s="51"/>
      <c r="D580" s="94" t="str">
        <f>IF(A580&lt;&gt;0,INDEX(Coûts, 'PA-Détails'!A580, 5),)</f>
        <v>Pers / j</v>
      </c>
      <c r="E580" s="96"/>
      <c r="F580" s="100">
        <v>20</v>
      </c>
      <c r="G580" s="100"/>
      <c r="H580" s="100"/>
      <c r="I580" s="100"/>
      <c r="J580" s="101">
        <f t="shared" si="312"/>
        <v>20</v>
      </c>
      <c r="K580" s="115">
        <f>IF(A580&lt;&gt;0,INDEX(Coûts, 'PA-Détails'!A580, 3),)</f>
        <v>1150</v>
      </c>
      <c r="L580" s="37">
        <f t="shared" ref="L580:P582" si="318">ROUND(+$K580*E580,0)</f>
        <v>0</v>
      </c>
      <c r="M580" s="36">
        <f t="shared" si="318"/>
        <v>23000</v>
      </c>
      <c r="N580" s="36">
        <f t="shared" si="318"/>
        <v>0</v>
      </c>
      <c r="O580" s="36">
        <f t="shared" si="318"/>
        <v>0</v>
      </c>
      <c r="P580" s="268">
        <f t="shared" si="318"/>
        <v>0</v>
      </c>
      <c r="Q580" s="281">
        <f>SUM(L580:P580)</f>
        <v>23000</v>
      </c>
      <c r="R580" s="182"/>
      <c r="S580" s="183"/>
      <c r="T580" s="51"/>
    </row>
    <row r="581" spans="1:20" x14ac:dyDescent="0.2">
      <c r="A581" s="95">
        <v>2</v>
      </c>
      <c r="B581" s="108" t="str">
        <f>IF(A581&lt;&gt;0,INDEX(Coûts,'PA-Détails'!A581, 2),)</f>
        <v>Assistance technique nationale (consultants)</v>
      </c>
      <c r="C581" s="51"/>
      <c r="D581" s="94" t="str">
        <f>IF(A581&lt;&gt;0,INDEX(Coûts, 'PA-Détails'!A581, 5),)</f>
        <v>Pers / j</v>
      </c>
      <c r="E581" s="96"/>
      <c r="F581" s="100">
        <v>20</v>
      </c>
      <c r="G581" s="100"/>
      <c r="H581" s="100"/>
      <c r="I581" s="100"/>
      <c r="J581" s="101">
        <f t="shared" si="312"/>
        <v>20</v>
      </c>
      <c r="K581" s="115">
        <f>IF(A581&lt;&gt;0,INDEX(Coûts, 'PA-Détails'!A581, 3),)</f>
        <v>300</v>
      </c>
      <c r="L581" s="37">
        <f t="shared" si="318"/>
        <v>0</v>
      </c>
      <c r="M581" s="36">
        <f t="shared" si="318"/>
        <v>6000</v>
      </c>
      <c r="N581" s="36">
        <f t="shared" si="318"/>
        <v>0</v>
      </c>
      <c r="O581" s="36">
        <f t="shared" si="318"/>
        <v>0</v>
      </c>
      <c r="P581" s="268">
        <f t="shared" si="318"/>
        <v>0</v>
      </c>
      <c r="Q581" s="281">
        <f>SUM(L581:P581)</f>
        <v>6000</v>
      </c>
      <c r="R581" s="182"/>
      <c r="S581" s="183"/>
      <c r="T581" s="51"/>
    </row>
    <row r="582" spans="1:20" x14ac:dyDescent="0.2">
      <c r="A582" s="95">
        <v>5</v>
      </c>
      <c r="B582" s="108" t="str">
        <f>IF(A582&lt;&gt;0,INDEX(Coûts,'PA-Détails'!A582, 2),)</f>
        <v>Atelier de validation</v>
      </c>
      <c r="C582" s="51"/>
      <c r="D582" s="94" t="str">
        <f>IF(A582&lt;&gt;0,INDEX(Coûts, 'PA-Détails'!A582, 5),)</f>
        <v>Pers / j</v>
      </c>
      <c r="E582" s="96"/>
      <c r="F582" s="100">
        <v>80</v>
      </c>
      <c r="G582" s="100"/>
      <c r="H582" s="100"/>
      <c r="I582" s="100"/>
      <c r="J582" s="101">
        <f t="shared" si="312"/>
        <v>80</v>
      </c>
      <c r="K582" s="115">
        <f>IF(A582&lt;&gt;0,INDEX(Coûts, 'PA-Détails'!A582, 3),)</f>
        <v>50</v>
      </c>
      <c r="L582" s="37">
        <f t="shared" si="318"/>
        <v>0</v>
      </c>
      <c r="M582" s="36">
        <f t="shared" si="318"/>
        <v>4000</v>
      </c>
      <c r="N582" s="36">
        <f t="shared" si="318"/>
        <v>0</v>
      </c>
      <c r="O582" s="36">
        <f t="shared" si="318"/>
        <v>0</v>
      </c>
      <c r="P582" s="268">
        <f t="shared" si="318"/>
        <v>0</v>
      </c>
      <c r="Q582" s="281">
        <f>SUM(L582:P582)</f>
        <v>4000</v>
      </c>
      <c r="R582" s="182"/>
      <c r="S582" s="183"/>
      <c r="T582" s="51"/>
    </row>
    <row r="583" spans="1:20" x14ac:dyDescent="0.2">
      <c r="A583" s="123" t="s">
        <v>234</v>
      </c>
      <c r="B583" s="46"/>
      <c r="C583" s="51"/>
      <c r="D583" s="21"/>
      <c r="E583" s="96"/>
      <c r="F583" s="100"/>
      <c r="G583" s="100"/>
      <c r="H583" s="100"/>
      <c r="I583" s="100"/>
      <c r="J583" s="101">
        <f t="shared" si="312"/>
        <v>0</v>
      </c>
      <c r="K583" s="115"/>
      <c r="L583" s="161">
        <f t="shared" ref="L583:Q583" si="319">SUM(L584:L587)</f>
        <v>0</v>
      </c>
      <c r="M583" s="157">
        <f t="shared" si="319"/>
        <v>0</v>
      </c>
      <c r="N583" s="157">
        <f t="shared" si="319"/>
        <v>265250</v>
      </c>
      <c r="O583" s="157">
        <f t="shared" si="319"/>
        <v>0</v>
      </c>
      <c r="P583" s="270">
        <f t="shared" si="319"/>
        <v>0</v>
      </c>
      <c r="Q583" s="284">
        <f t="shared" si="319"/>
        <v>265250</v>
      </c>
      <c r="R583" s="182" t="s">
        <v>755</v>
      </c>
      <c r="S583" s="183" t="s">
        <v>665</v>
      </c>
      <c r="T583" s="51"/>
    </row>
    <row r="584" spans="1:20" x14ac:dyDescent="0.2">
      <c r="A584" s="95">
        <v>81</v>
      </c>
      <c r="B584" s="108" t="str">
        <f>IF(A584&lt;&gt;0,INDEX(Coûts,'PA-Détails'!A584, 2),)</f>
        <v>Production et diffusion de spots / sketchs audios</v>
      </c>
      <c r="C584" s="51"/>
      <c r="D584" s="94" t="str">
        <f>IF(A584&lt;&gt;0,INDEX(Coûts, 'PA-Détails'!A584, 5),)</f>
        <v>Unité</v>
      </c>
      <c r="E584" s="96"/>
      <c r="F584" s="100"/>
      <c r="G584" s="100">
        <f>60*2</f>
        <v>120</v>
      </c>
      <c r="H584" s="100"/>
      <c r="I584" s="100"/>
      <c r="J584" s="101">
        <f t="shared" si="312"/>
        <v>120</v>
      </c>
      <c r="K584" s="115">
        <f>IF(A584&lt;&gt;0,INDEX(Coûts, 'PA-Détails'!A584, 3),)</f>
        <v>350</v>
      </c>
      <c r="L584" s="37">
        <f t="shared" ref="L584:P589" si="320">ROUND(+$K584*E584,0)</f>
        <v>0</v>
      </c>
      <c r="M584" s="36">
        <f t="shared" si="320"/>
        <v>0</v>
      </c>
      <c r="N584" s="36">
        <f t="shared" si="320"/>
        <v>42000</v>
      </c>
      <c r="O584" s="36">
        <f t="shared" si="320"/>
        <v>0</v>
      </c>
      <c r="P584" s="268">
        <f t="shared" si="320"/>
        <v>0</v>
      </c>
      <c r="Q584" s="281">
        <f t="shared" ref="Q584:Q589" si="321">SUM(L584:P584)</f>
        <v>42000</v>
      </c>
      <c r="R584" s="182"/>
      <c r="S584" s="183"/>
      <c r="T584" s="51"/>
    </row>
    <row r="585" spans="1:20" x14ac:dyDescent="0.2">
      <c r="A585" s="95">
        <v>82</v>
      </c>
      <c r="B585" s="108" t="str">
        <f>IF(A585&lt;&gt;0,INDEX(Coûts,'PA-Détails'!A585, 2),)</f>
        <v>Support publicitaire : panneaux</v>
      </c>
      <c r="C585" s="51"/>
      <c r="D585" s="94" t="str">
        <f>IF(A585&lt;&gt;0,INDEX(Coûts, 'PA-Détails'!A585, 5),)</f>
        <v>Unité/mois</v>
      </c>
      <c r="E585" s="96"/>
      <c r="F585" s="100"/>
      <c r="G585" s="100">
        <v>60</v>
      </c>
      <c r="H585" s="100"/>
      <c r="I585" s="100"/>
      <c r="J585" s="101">
        <f t="shared" si="312"/>
        <v>60</v>
      </c>
      <c r="K585" s="115">
        <f>IF(A585&lt;&gt;0,INDEX(Coûts, 'PA-Détails'!A585, 3),)</f>
        <v>2400</v>
      </c>
      <c r="L585" s="37">
        <f t="shared" si="320"/>
        <v>0</v>
      </c>
      <c r="M585" s="36">
        <f t="shared" si="320"/>
        <v>0</v>
      </c>
      <c r="N585" s="36">
        <f t="shared" si="320"/>
        <v>144000</v>
      </c>
      <c r="O585" s="36">
        <f t="shared" si="320"/>
        <v>0</v>
      </c>
      <c r="P585" s="268">
        <f t="shared" si="320"/>
        <v>0</v>
      </c>
      <c r="Q585" s="281">
        <f t="shared" si="321"/>
        <v>144000</v>
      </c>
      <c r="R585" s="182"/>
      <c r="S585" s="183"/>
      <c r="T585" s="51"/>
    </row>
    <row r="586" spans="1:20" x14ac:dyDescent="0.2">
      <c r="A586" s="95">
        <v>83</v>
      </c>
      <c r="B586" s="108" t="str">
        <f>IF(A586&lt;&gt;0,INDEX(Coûts,'PA-Détails'!A586, 2),)</f>
        <v>Support publicitaire : affiches</v>
      </c>
      <c r="C586" s="51"/>
      <c r="D586" s="94" t="str">
        <f>IF(A586&lt;&gt;0,INDEX(Coûts, 'PA-Détails'!A586, 5),)</f>
        <v>Unité</v>
      </c>
      <c r="E586" s="96"/>
      <c r="F586" s="100"/>
      <c r="G586" s="100">
        <v>1000</v>
      </c>
      <c r="H586" s="100"/>
      <c r="I586" s="100"/>
      <c r="J586" s="101">
        <f t="shared" si="312"/>
        <v>1000</v>
      </c>
      <c r="K586" s="115">
        <f>IF(A586&lt;&gt;0,INDEX(Coûts, 'PA-Détails'!A586, 3),)</f>
        <v>25</v>
      </c>
      <c r="L586" s="37">
        <f t="shared" si="320"/>
        <v>0</v>
      </c>
      <c r="M586" s="36">
        <f t="shared" si="320"/>
        <v>0</v>
      </c>
      <c r="N586" s="36">
        <f t="shared" si="320"/>
        <v>25000</v>
      </c>
      <c r="O586" s="36">
        <f t="shared" si="320"/>
        <v>0</v>
      </c>
      <c r="P586" s="268">
        <f t="shared" si="320"/>
        <v>0</v>
      </c>
      <c r="Q586" s="281">
        <f t="shared" si="321"/>
        <v>25000</v>
      </c>
      <c r="R586" s="182"/>
      <c r="S586" s="183"/>
      <c r="T586" s="51"/>
    </row>
    <row r="587" spans="1:20" x14ac:dyDescent="0.2">
      <c r="A587" s="95">
        <v>84</v>
      </c>
      <c r="B587" s="108" t="str">
        <f>IF(A587&lt;&gt;0,INDEX(Coûts,'PA-Détails'!A587, 2),)</f>
        <v>Campagne de sensibilisation</v>
      </c>
      <c r="C587" s="51"/>
      <c r="D587" s="94" t="str">
        <f>IF(A587&lt;&gt;0,INDEX(Coûts, 'PA-Détails'!A587, 5),)</f>
        <v>Unité</v>
      </c>
      <c r="E587" s="96"/>
      <c r="F587" s="100"/>
      <c r="G587" s="100">
        <v>31</v>
      </c>
      <c r="H587" s="100"/>
      <c r="I587" s="100"/>
      <c r="J587" s="101">
        <f t="shared" si="312"/>
        <v>31</v>
      </c>
      <c r="K587" s="115">
        <f>IF(A587&lt;&gt;0,INDEX(Coûts, 'PA-Détails'!A587, 3),)</f>
        <v>1750</v>
      </c>
      <c r="L587" s="37">
        <f t="shared" si="320"/>
        <v>0</v>
      </c>
      <c r="M587" s="36">
        <f t="shared" si="320"/>
        <v>0</v>
      </c>
      <c r="N587" s="36">
        <f t="shared" si="320"/>
        <v>54250</v>
      </c>
      <c r="O587" s="36">
        <f t="shared" si="320"/>
        <v>0</v>
      </c>
      <c r="P587" s="268">
        <f t="shared" si="320"/>
        <v>0</v>
      </c>
      <c r="Q587" s="281">
        <f t="shared" si="321"/>
        <v>54250</v>
      </c>
      <c r="R587" s="182"/>
      <c r="S587" s="183"/>
      <c r="T587" s="51"/>
    </row>
    <row r="588" spans="1:20" x14ac:dyDescent="0.2">
      <c r="A588" s="14" t="s">
        <v>756</v>
      </c>
      <c r="B588" s="44"/>
      <c r="C588" s="112"/>
      <c r="D588" s="15"/>
      <c r="E588" s="102"/>
      <c r="F588" s="103"/>
      <c r="G588" s="103"/>
      <c r="H588" s="103"/>
      <c r="I588" s="103"/>
      <c r="J588" s="104">
        <f t="shared" si="312"/>
        <v>0</v>
      </c>
      <c r="K588" s="145"/>
      <c r="L588" s="33">
        <f t="shared" si="320"/>
        <v>0</v>
      </c>
      <c r="M588" s="32">
        <f t="shared" si="320"/>
        <v>0</v>
      </c>
      <c r="N588" s="32">
        <f t="shared" si="320"/>
        <v>0</v>
      </c>
      <c r="O588" s="32">
        <f t="shared" si="320"/>
        <v>0</v>
      </c>
      <c r="P588" s="267">
        <f t="shared" si="320"/>
        <v>0</v>
      </c>
      <c r="Q588" s="278">
        <f t="shared" si="321"/>
        <v>0</v>
      </c>
      <c r="R588" s="178"/>
      <c r="S588" s="179"/>
      <c r="T588" s="49">
        <v>1</v>
      </c>
    </row>
    <row r="589" spans="1:20" x14ac:dyDescent="0.2">
      <c r="A589" s="17" t="s">
        <v>76</v>
      </c>
      <c r="B589" s="45"/>
      <c r="C589" s="329" t="s">
        <v>236</v>
      </c>
      <c r="D589" s="18"/>
      <c r="E589" s="97"/>
      <c r="F589" s="98"/>
      <c r="G589" s="98"/>
      <c r="H589" s="98"/>
      <c r="I589" s="98"/>
      <c r="J589" s="99">
        <f t="shared" si="312"/>
        <v>0</v>
      </c>
      <c r="K589" s="116"/>
      <c r="L589" s="35">
        <f t="shared" si="320"/>
        <v>0</v>
      </c>
      <c r="M589" s="34">
        <f t="shared" si="320"/>
        <v>0</v>
      </c>
      <c r="N589" s="34">
        <f t="shared" si="320"/>
        <v>0</v>
      </c>
      <c r="O589" s="34">
        <f t="shared" si="320"/>
        <v>0</v>
      </c>
      <c r="P589" s="269">
        <f t="shared" si="320"/>
        <v>0</v>
      </c>
      <c r="Q589" s="279">
        <f t="shared" si="321"/>
        <v>0</v>
      </c>
      <c r="R589" s="180"/>
      <c r="S589" s="181"/>
      <c r="T589" s="50"/>
    </row>
    <row r="590" spans="1:20" x14ac:dyDescent="0.2">
      <c r="A590" s="20" t="s">
        <v>235</v>
      </c>
      <c r="B590" s="46"/>
      <c r="C590" s="51"/>
      <c r="D590" s="21"/>
      <c r="E590" s="96"/>
      <c r="F590" s="100"/>
      <c r="G590" s="100"/>
      <c r="H590" s="100"/>
      <c r="I590" s="100"/>
      <c r="J590" s="101">
        <f t="shared" si="312"/>
        <v>0</v>
      </c>
      <c r="K590" s="115"/>
      <c r="L590" s="161">
        <f t="shared" ref="L590:Q590" si="322">SUM(L591:L591)</f>
        <v>52000000</v>
      </c>
      <c r="M590" s="157">
        <f t="shared" si="322"/>
        <v>52000000</v>
      </c>
      <c r="N590" s="157">
        <f t="shared" si="322"/>
        <v>52000000</v>
      </c>
      <c r="O590" s="157">
        <f t="shared" si="322"/>
        <v>52000000</v>
      </c>
      <c r="P590" s="270">
        <f t="shared" si="322"/>
        <v>52000000</v>
      </c>
      <c r="Q590" s="284">
        <f t="shared" si="322"/>
        <v>260000000</v>
      </c>
      <c r="R590" s="182" t="s">
        <v>753</v>
      </c>
      <c r="S590" s="183" t="s">
        <v>665</v>
      </c>
      <c r="T590" s="51"/>
    </row>
    <row r="591" spans="1:20" x14ac:dyDescent="0.2">
      <c r="A591" s="95">
        <v>22</v>
      </c>
      <c r="B591" s="108" t="str">
        <f>IF(A591&lt;&gt;0,INDEX(Coûts,'PA-Détails'!A591, 2),)</f>
        <v>Construction et équipement de salle de classe au secondaire</v>
      </c>
      <c r="C591" s="51"/>
      <c r="D591" s="94" t="str">
        <f>IF(A591&lt;&gt;0,INDEX(Coûts, 'PA-Détails'!A591, 5),)</f>
        <v>Unité</v>
      </c>
      <c r="E591" s="96">
        <v>2600</v>
      </c>
      <c r="F591" s="100">
        <v>2600</v>
      </c>
      <c r="G591" s="100">
        <v>2600</v>
      </c>
      <c r="H591" s="100">
        <v>2600</v>
      </c>
      <c r="I591" s="100">
        <v>2600</v>
      </c>
      <c r="J591" s="101">
        <f t="shared" si="312"/>
        <v>13000</v>
      </c>
      <c r="K591" s="115">
        <f>IF(A591&lt;&gt;0,INDEX(Coûts, 'PA-Détails'!A591, 3),)</f>
        <v>20000</v>
      </c>
      <c r="L591" s="37">
        <f t="shared" ref="L591:P593" si="323">ROUND(+$K591*E591,0)</f>
        <v>52000000</v>
      </c>
      <c r="M591" s="36">
        <f t="shared" si="323"/>
        <v>52000000</v>
      </c>
      <c r="N591" s="36">
        <f t="shared" si="323"/>
        <v>52000000</v>
      </c>
      <c r="O591" s="36">
        <f t="shared" si="323"/>
        <v>52000000</v>
      </c>
      <c r="P591" s="268">
        <f t="shared" si="323"/>
        <v>52000000</v>
      </c>
      <c r="Q591" s="281">
        <f>SUM(L591:P591)</f>
        <v>260000000</v>
      </c>
      <c r="R591" s="182"/>
      <c r="S591" s="183"/>
      <c r="T591" s="51"/>
    </row>
    <row r="592" spans="1:20" x14ac:dyDescent="0.2">
      <c r="A592" s="14" t="s">
        <v>1076</v>
      </c>
      <c r="B592" s="44"/>
      <c r="C592" s="112"/>
      <c r="D592" s="15"/>
      <c r="E592" s="102"/>
      <c r="F592" s="103"/>
      <c r="G592" s="103"/>
      <c r="H592" s="103"/>
      <c r="I592" s="103"/>
      <c r="J592" s="104">
        <f t="shared" si="312"/>
        <v>0</v>
      </c>
      <c r="K592" s="145"/>
      <c r="L592" s="33">
        <f t="shared" si="323"/>
        <v>0</v>
      </c>
      <c r="M592" s="32">
        <f t="shared" si="323"/>
        <v>0</v>
      </c>
      <c r="N592" s="32">
        <f t="shared" si="323"/>
        <v>0</v>
      </c>
      <c r="O592" s="32">
        <f t="shared" si="323"/>
        <v>0</v>
      </c>
      <c r="P592" s="267">
        <f t="shared" si="323"/>
        <v>0</v>
      </c>
      <c r="Q592" s="278">
        <f>SUM(L592:P592)</f>
        <v>0</v>
      </c>
      <c r="R592" s="178"/>
      <c r="S592" s="179"/>
      <c r="T592" s="49">
        <v>1</v>
      </c>
    </row>
    <row r="593" spans="1:20" x14ac:dyDescent="0.2">
      <c r="A593" s="17" t="s">
        <v>1424</v>
      </c>
      <c r="B593" s="45"/>
      <c r="C593" s="329" t="s">
        <v>1077</v>
      </c>
      <c r="D593" s="18"/>
      <c r="E593" s="97"/>
      <c r="F593" s="98"/>
      <c r="G593" s="98"/>
      <c r="H593" s="98"/>
      <c r="I593" s="98"/>
      <c r="J593" s="99">
        <f t="shared" si="312"/>
        <v>0</v>
      </c>
      <c r="K593" s="116"/>
      <c r="L593" s="35">
        <f t="shared" si="323"/>
        <v>0</v>
      </c>
      <c r="M593" s="34">
        <f t="shared" si="323"/>
        <v>0</v>
      </c>
      <c r="N593" s="34">
        <f t="shared" si="323"/>
        <v>0</v>
      </c>
      <c r="O593" s="34">
        <f t="shared" si="323"/>
        <v>0</v>
      </c>
      <c r="P593" s="269">
        <f t="shared" si="323"/>
        <v>0</v>
      </c>
      <c r="Q593" s="279">
        <f>SUM(L593:P593)</f>
        <v>0</v>
      </c>
      <c r="R593" s="180"/>
      <c r="S593" s="181"/>
      <c r="T593" s="50"/>
    </row>
    <row r="594" spans="1:20" x14ac:dyDescent="0.2">
      <c r="A594" s="20" t="s">
        <v>237</v>
      </c>
      <c r="B594" s="46"/>
      <c r="C594" s="51"/>
      <c r="D594" s="21"/>
      <c r="E594" s="96"/>
      <c r="F594" s="100"/>
      <c r="G594" s="100"/>
      <c r="H594" s="100"/>
      <c r="I594" s="100"/>
      <c r="J594" s="101">
        <f t="shared" si="312"/>
        <v>0</v>
      </c>
      <c r="K594" s="115"/>
      <c r="L594" s="161">
        <f t="shared" ref="L594:Q594" si="324">SUM(L595:L596)</f>
        <v>18900</v>
      </c>
      <c r="M594" s="157">
        <f t="shared" si="324"/>
        <v>37800</v>
      </c>
      <c r="N594" s="157">
        <f t="shared" si="324"/>
        <v>56700</v>
      </c>
      <c r="O594" s="157">
        <f t="shared" si="324"/>
        <v>0</v>
      </c>
      <c r="P594" s="270">
        <f t="shared" si="324"/>
        <v>0</v>
      </c>
      <c r="Q594" s="284">
        <f t="shared" si="324"/>
        <v>113400</v>
      </c>
      <c r="R594" s="182" t="s">
        <v>214</v>
      </c>
      <c r="S594" s="183" t="s">
        <v>663</v>
      </c>
      <c r="T594" s="51"/>
    </row>
    <row r="595" spans="1:20" x14ac:dyDescent="0.2">
      <c r="A595" s="95">
        <v>221</v>
      </c>
      <c r="B595" s="108" t="str">
        <f>IF(A595&lt;&gt;0,INDEX(Coûts,'PA-Détails'!A595, 2),)</f>
        <v>Mission en province des services centraux</v>
      </c>
      <c r="C595" s="51"/>
      <c r="D595" s="94" t="str">
        <f>IF(A595&lt;&gt;0,INDEX(Coûts, 'PA-Détails'!A595, 5),)</f>
        <v>P/j</v>
      </c>
      <c r="E595" s="96">
        <v>60</v>
      </c>
      <c r="F595" s="100">
        <v>120</v>
      </c>
      <c r="G595" s="100">
        <v>180</v>
      </c>
      <c r="H595" s="100">
        <f>H558</f>
        <v>0</v>
      </c>
      <c r="I595" s="100">
        <f>I558</f>
        <v>0</v>
      </c>
      <c r="J595" s="101">
        <f t="shared" si="312"/>
        <v>360</v>
      </c>
      <c r="K595" s="115">
        <f>IF(A595&lt;&gt;0,INDEX(Coûts, 'PA-Détails'!A595, 3),)</f>
        <v>240</v>
      </c>
      <c r="L595" s="37">
        <f t="shared" ref="L595:P596" si="325">ROUND(+$K595*E595,0)</f>
        <v>14400</v>
      </c>
      <c r="M595" s="36">
        <f t="shared" si="325"/>
        <v>28800</v>
      </c>
      <c r="N595" s="36">
        <f t="shared" si="325"/>
        <v>43200</v>
      </c>
      <c r="O595" s="36">
        <f t="shared" si="325"/>
        <v>0</v>
      </c>
      <c r="P595" s="268">
        <f t="shared" si="325"/>
        <v>0</v>
      </c>
      <c r="Q595" s="281">
        <f>SUM(L595:P595)</f>
        <v>86400</v>
      </c>
      <c r="R595" s="182"/>
      <c r="S595" s="183"/>
      <c r="T595" s="51"/>
    </row>
    <row r="596" spans="1:20" x14ac:dyDescent="0.2">
      <c r="A596" s="95">
        <v>222</v>
      </c>
      <c r="B596" s="108" t="str">
        <f>IF(A596&lt;&gt;0,INDEX(Coûts,'PA-Détails'!A596, 2),)</f>
        <v>Mission en province des services déconcentrés</v>
      </c>
      <c r="C596" s="51"/>
      <c r="D596" s="94" t="str">
        <f>IF(A596&lt;&gt;0,INDEX(Coûts, 'PA-Détails'!A596, 5),)</f>
        <v>P/j</v>
      </c>
      <c r="E596" s="96">
        <v>90</v>
      </c>
      <c r="F596" s="100">
        <v>180</v>
      </c>
      <c r="G596" s="100">
        <v>270</v>
      </c>
      <c r="H596" s="100">
        <f>H559</f>
        <v>0</v>
      </c>
      <c r="I596" s="100">
        <f>I559</f>
        <v>0</v>
      </c>
      <c r="J596" s="101">
        <f t="shared" si="312"/>
        <v>540</v>
      </c>
      <c r="K596" s="115">
        <f>IF(A596&lt;&gt;0,INDEX(Coûts, 'PA-Détails'!A596, 3),)</f>
        <v>50</v>
      </c>
      <c r="L596" s="37">
        <f t="shared" si="325"/>
        <v>4500</v>
      </c>
      <c r="M596" s="36">
        <f t="shared" si="325"/>
        <v>9000</v>
      </c>
      <c r="N596" s="36">
        <f t="shared" si="325"/>
        <v>13500</v>
      </c>
      <c r="O596" s="36">
        <f t="shared" si="325"/>
        <v>0</v>
      </c>
      <c r="P596" s="268">
        <f t="shared" si="325"/>
        <v>0</v>
      </c>
      <c r="Q596" s="281">
        <f>SUM(L596:P596)</f>
        <v>27000</v>
      </c>
      <c r="R596" s="182"/>
      <c r="S596" s="183"/>
      <c r="T596" s="51"/>
    </row>
    <row r="597" spans="1:20" x14ac:dyDescent="0.2">
      <c r="A597" s="20" t="s">
        <v>916</v>
      </c>
      <c r="B597" s="46"/>
      <c r="C597" s="51"/>
      <c r="D597" s="21"/>
      <c r="E597" s="96"/>
      <c r="F597" s="100"/>
      <c r="G597" s="100"/>
      <c r="H597" s="100"/>
      <c r="I597" s="100"/>
      <c r="J597" s="101">
        <f t="shared" si="312"/>
        <v>0</v>
      </c>
      <c r="K597" s="115"/>
      <c r="L597" s="161">
        <f t="shared" ref="L597:Q597" si="326">SUM(L598:L598)</f>
        <v>77799632.681398943</v>
      </c>
      <c r="M597" s="157">
        <f t="shared" si="326"/>
        <v>86952262.078458667</v>
      </c>
      <c r="N597" s="157">
        <f t="shared" si="326"/>
        <v>101111932.7146322</v>
      </c>
      <c r="O597" s="157">
        <f t="shared" si="326"/>
        <v>116107140.91921031</v>
      </c>
      <c r="P597" s="270">
        <f t="shared" si="326"/>
        <v>130997902.59026669</v>
      </c>
      <c r="Q597" s="284">
        <f t="shared" si="326"/>
        <v>512968870.98396683</v>
      </c>
      <c r="R597" s="182" t="s">
        <v>214</v>
      </c>
      <c r="S597" s="183" t="s">
        <v>663</v>
      </c>
      <c r="T597" s="51"/>
    </row>
    <row r="598" spans="1:20" x14ac:dyDescent="0.2">
      <c r="A598" s="95">
        <v>204</v>
      </c>
      <c r="B598" s="108" t="str">
        <f>IF(A598&lt;&gt;0,INDEX(Coûts,'PA-Détails'!A598, 2),)</f>
        <v>Rémunération d'un enseignant du secondaire 1</v>
      </c>
      <c r="C598" s="51"/>
      <c r="D598" s="94" t="str">
        <f>IF(A598&lt;&gt;0,INDEX(Coûts, 'PA-Détails'!A598, 5),)</f>
        <v>Salaire/an/p</v>
      </c>
      <c r="E598" s="230">
        <f>'[5]Secondaire 1'!J$344</f>
        <v>52377.52814540267</v>
      </c>
      <c r="F598" s="231">
        <f>'[5]Secondaire 1'!K$344</f>
        <v>54054.704170532423</v>
      </c>
      <c r="G598" s="231">
        <f>'[5]Secondaire 1'!L$344</f>
        <v>58475.051124035541</v>
      </c>
      <c r="H598" s="231">
        <f>'[5]Secondaire 1'!M$344</f>
        <v>62895.398077538681</v>
      </c>
      <c r="I598" s="231">
        <f>'[5]Secondaire 1'!N$344</f>
        <v>67315.745031041806</v>
      </c>
      <c r="J598" s="101">
        <f t="shared" si="312"/>
        <v>295118.42654855113</v>
      </c>
      <c r="K598" s="289">
        <f>Q598/J598</f>
        <v>1738.179743580248</v>
      </c>
      <c r="L598" s="233">
        <f>E598*'[5]Secondaire 1'!J$352</f>
        <v>77799632.681398943</v>
      </c>
      <c r="M598" s="234">
        <f>F598*'[5]Secondaire 1'!K$352</f>
        <v>86952262.078458667</v>
      </c>
      <c r="N598" s="234">
        <f>G598*'[5]Secondaire 1'!L$352</f>
        <v>101111932.7146322</v>
      </c>
      <c r="O598" s="234">
        <f>H598*'[5]Secondaire 1'!M$352</f>
        <v>116107140.91921031</v>
      </c>
      <c r="P598" s="272">
        <f>I598*'[5]Secondaire 1'!N$352</f>
        <v>130997902.59026669</v>
      </c>
      <c r="Q598" s="281">
        <f>SUM(L598:P598)</f>
        <v>512968870.98396683</v>
      </c>
      <c r="R598" s="182"/>
      <c r="S598" s="183"/>
      <c r="T598" s="51"/>
    </row>
    <row r="599" spans="1:20" x14ac:dyDescent="0.2">
      <c r="A599" s="17" t="s">
        <v>77</v>
      </c>
      <c r="B599" s="45"/>
      <c r="C599" s="329" t="s">
        <v>238</v>
      </c>
      <c r="D599" s="18"/>
      <c r="E599" s="97"/>
      <c r="F599" s="98"/>
      <c r="G599" s="98"/>
      <c r="H599" s="98"/>
      <c r="I599" s="98"/>
      <c r="J599" s="99">
        <f t="shared" si="312"/>
        <v>0</v>
      </c>
      <c r="K599" s="116"/>
      <c r="L599" s="35">
        <f>ROUND(+$K599*E599,0)</f>
        <v>0</v>
      </c>
      <c r="M599" s="34">
        <f>ROUND(+$K599*F599,0)</f>
        <v>0</v>
      </c>
      <c r="N599" s="34">
        <f>ROUND(+$K599*G599,0)</f>
        <v>0</v>
      </c>
      <c r="O599" s="34">
        <f>ROUND(+$K599*H599,0)</f>
        <v>0</v>
      </c>
      <c r="P599" s="269">
        <f>ROUND(+$K599*I599,0)</f>
        <v>0</v>
      </c>
      <c r="Q599" s="279">
        <f>SUM(L599:P599)</f>
        <v>0</v>
      </c>
      <c r="R599" s="180"/>
      <c r="S599" s="181"/>
      <c r="T599" s="50"/>
    </row>
    <row r="600" spans="1:20" x14ac:dyDescent="0.2">
      <c r="A600" s="20" t="s">
        <v>240</v>
      </c>
      <c r="B600" s="46"/>
      <c r="C600" s="51"/>
      <c r="D600" s="21"/>
      <c r="E600" s="96"/>
      <c r="F600" s="100"/>
      <c r="G600" s="100"/>
      <c r="H600" s="100"/>
      <c r="I600" s="100"/>
      <c r="J600" s="101">
        <f t="shared" si="312"/>
        <v>0</v>
      </c>
      <c r="K600" s="115"/>
      <c r="L600" s="161">
        <f t="shared" ref="L600:Q600" si="327">SUM(L601:L601)</f>
        <v>0</v>
      </c>
      <c r="M600" s="157">
        <f t="shared" si="327"/>
        <v>0</v>
      </c>
      <c r="N600" s="157">
        <f t="shared" si="327"/>
        <v>0</v>
      </c>
      <c r="O600" s="157">
        <f t="shared" si="327"/>
        <v>24000000</v>
      </c>
      <c r="P600" s="270">
        <f t="shared" si="327"/>
        <v>24000000</v>
      </c>
      <c r="Q600" s="284">
        <f t="shared" si="327"/>
        <v>48000000</v>
      </c>
      <c r="R600" s="182" t="s">
        <v>214</v>
      </c>
      <c r="S600" s="183" t="s">
        <v>663</v>
      </c>
      <c r="T600" s="51"/>
    </row>
    <row r="601" spans="1:20" x14ac:dyDescent="0.2">
      <c r="A601" s="95">
        <v>228</v>
      </c>
      <c r="B601" s="108" t="str">
        <f>IF(A601&lt;&gt;0,INDEX(Coûts,'PA-Détails'!A601, 2),)</f>
        <v>Subvention pour le fonctionnement d'une école publique secondaire</v>
      </c>
      <c r="C601" s="51"/>
      <c r="D601" s="94" t="str">
        <f>IF(A601&lt;&gt;0,INDEX(Coûts, 'PA-Détails'!A601, 5),)</f>
        <v>Subvention annuelle/école</v>
      </c>
      <c r="E601" s="96"/>
      <c r="F601" s="100"/>
      <c r="G601" s="100"/>
      <c r="H601" s="100">
        <f>20000</f>
        <v>20000</v>
      </c>
      <c r="I601" s="100">
        <f>20000</f>
        <v>20000</v>
      </c>
      <c r="J601" s="101">
        <f t="shared" si="312"/>
        <v>40000</v>
      </c>
      <c r="K601" s="115">
        <f>IF(A601&lt;&gt;0,INDEX(Coûts, 'PA-Détails'!A601, 3),)</f>
        <v>1200</v>
      </c>
      <c r="L601" s="37">
        <f t="shared" ref="L601:P603" si="328">ROUND(+$K601*E601,0)</f>
        <v>0</v>
      </c>
      <c r="M601" s="36">
        <f t="shared" si="328"/>
        <v>0</v>
      </c>
      <c r="N601" s="36">
        <f t="shared" si="328"/>
        <v>0</v>
      </c>
      <c r="O601" s="36">
        <f t="shared" si="328"/>
        <v>24000000</v>
      </c>
      <c r="P601" s="268">
        <f t="shared" si="328"/>
        <v>24000000</v>
      </c>
      <c r="Q601" s="281">
        <f>SUM(L601:P601)</f>
        <v>48000000</v>
      </c>
      <c r="R601" s="182"/>
      <c r="S601" s="183"/>
      <c r="T601" s="51"/>
    </row>
    <row r="602" spans="1:20" x14ac:dyDescent="0.2">
      <c r="A602" s="14" t="s">
        <v>757</v>
      </c>
      <c r="B602" s="44"/>
      <c r="C602" s="112"/>
      <c r="D602" s="15"/>
      <c r="E602" s="102"/>
      <c r="F602" s="103"/>
      <c r="G602" s="103"/>
      <c r="H602" s="103"/>
      <c r="I602" s="103"/>
      <c r="J602" s="104">
        <f t="shared" si="312"/>
        <v>0</v>
      </c>
      <c r="K602" s="145"/>
      <c r="L602" s="33">
        <f t="shared" si="328"/>
        <v>0</v>
      </c>
      <c r="M602" s="32">
        <f t="shared" si="328"/>
        <v>0</v>
      </c>
      <c r="N602" s="32">
        <f t="shared" si="328"/>
        <v>0</v>
      </c>
      <c r="O602" s="32">
        <f t="shared" si="328"/>
        <v>0</v>
      </c>
      <c r="P602" s="267">
        <f t="shared" si="328"/>
        <v>0</v>
      </c>
      <c r="Q602" s="278">
        <f>SUM(L602:P602)</f>
        <v>0</v>
      </c>
      <c r="R602" s="16"/>
      <c r="S602" s="15"/>
      <c r="T602" s="112">
        <v>2</v>
      </c>
    </row>
    <row r="603" spans="1:20" x14ac:dyDescent="0.2">
      <c r="A603" s="17" t="s">
        <v>464</v>
      </c>
      <c r="B603" s="45"/>
      <c r="C603" s="51" t="s">
        <v>398</v>
      </c>
      <c r="D603" s="18"/>
      <c r="E603" s="97"/>
      <c r="F603" s="98"/>
      <c r="G603" s="98"/>
      <c r="H603" s="98"/>
      <c r="I603" s="98"/>
      <c r="J603" s="99">
        <f t="shared" si="312"/>
        <v>0</v>
      </c>
      <c r="K603" s="116"/>
      <c r="L603" s="35">
        <f t="shared" si="328"/>
        <v>0</v>
      </c>
      <c r="M603" s="34">
        <f t="shared" si="328"/>
        <v>0</v>
      </c>
      <c r="N603" s="34">
        <f t="shared" si="328"/>
        <v>0</v>
      </c>
      <c r="O603" s="34">
        <f t="shared" si="328"/>
        <v>0</v>
      </c>
      <c r="P603" s="269">
        <f t="shared" si="328"/>
        <v>0</v>
      </c>
      <c r="Q603" s="279">
        <f>SUM(L603:P603)</f>
        <v>0</v>
      </c>
      <c r="R603" s="19"/>
      <c r="S603" s="18"/>
      <c r="T603" s="51"/>
    </row>
    <row r="604" spans="1:20" x14ac:dyDescent="0.2">
      <c r="A604" s="20" t="s">
        <v>465</v>
      </c>
      <c r="B604" s="46"/>
      <c r="C604" s="51"/>
      <c r="D604" s="21"/>
      <c r="E604" s="96"/>
      <c r="F604" s="100"/>
      <c r="G604" s="100"/>
      <c r="H604" s="100"/>
      <c r="I604" s="100"/>
      <c r="J604" s="101">
        <f t="shared" si="312"/>
        <v>0</v>
      </c>
      <c r="K604" s="115"/>
      <c r="L604" s="161">
        <f t="shared" ref="L604:Q604" si="329">SUM(L605:L606)</f>
        <v>4500</v>
      </c>
      <c r="M604" s="157">
        <f t="shared" si="329"/>
        <v>0</v>
      </c>
      <c r="N604" s="157">
        <f t="shared" si="329"/>
        <v>0</v>
      </c>
      <c r="O604" s="157">
        <f t="shared" si="329"/>
        <v>0</v>
      </c>
      <c r="P604" s="270">
        <f t="shared" si="329"/>
        <v>0</v>
      </c>
      <c r="Q604" s="284">
        <f t="shared" si="329"/>
        <v>4500</v>
      </c>
      <c r="R604" s="39" t="s">
        <v>758</v>
      </c>
      <c r="S604" s="115" t="s">
        <v>670</v>
      </c>
      <c r="T604" s="51"/>
    </row>
    <row r="605" spans="1:20" x14ac:dyDescent="0.2">
      <c r="A605" s="95">
        <v>2</v>
      </c>
      <c r="B605" s="108" t="str">
        <f>IF(A605&lt;&gt;0,INDEX(Coûts,'PA-Détails'!A605, 2),)</f>
        <v>Assistance technique nationale (consultants)</v>
      </c>
      <c r="C605" s="51"/>
      <c r="D605" s="94" t="str">
        <f>IF(A605&lt;&gt;0,INDEX(Coûts, 'PA-Détails'!A605, 5),)</f>
        <v>Pers / j</v>
      </c>
      <c r="E605" s="96">
        <v>5</v>
      </c>
      <c r="F605" s="100"/>
      <c r="G605" s="100"/>
      <c r="H605" s="100"/>
      <c r="I605" s="100"/>
      <c r="J605" s="101">
        <f t="shared" si="312"/>
        <v>5</v>
      </c>
      <c r="K605" s="115">
        <f>IF(A605&lt;&gt;0,INDEX(Coûts, 'PA-Détails'!A605, 3),)</f>
        <v>300</v>
      </c>
      <c r="L605" s="37">
        <f t="shared" ref="L605:P606" si="330">ROUND(+$K605*E605,0)</f>
        <v>1500</v>
      </c>
      <c r="M605" s="36">
        <f t="shared" si="330"/>
        <v>0</v>
      </c>
      <c r="N605" s="36">
        <f t="shared" si="330"/>
        <v>0</v>
      </c>
      <c r="O605" s="36">
        <f t="shared" si="330"/>
        <v>0</v>
      </c>
      <c r="P605" s="268">
        <f t="shared" si="330"/>
        <v>0</v>
      </c>
      <c r="Q605" s="281">
        <f>SUM(L605:P605)</f>
        <v>1500</v>
      </c>
      <c r="R605" s="22"/>
      <c r="S605" s="21"/>
      <c r="T605" s="51"/>
    </row>
    <row r="606" spans="1:20" x14ac:dyDescent="0.2">
      <c r="A606" s="95">
        <v>5</v>
      </c>
      <c r="B606" s="108" t="str">
        <f>IF(A606&lt;&gt;0,INDEX(Coûts,'PA-Détails'!A606, 2),)</f>
        <v>Atelier de validation</v>
      </c>
      <c r="C606" s="51"/>
      <c r="D606" s="94" t="str">
        <f>IF(A606&lt;&gt;0,INDEX(Coûts, 'PA-Détails'!A606, 5),)</f>
        <v>Pers / j</v>
      </c>
      <c r="E606" s="96">
        <f>3*20</f>
        <v>60</v>
      </c>
      <c r="F606" s="100"/>
      <c r="G606" s="100"/>
      <c r="H606" s="100"/>
      <c r="I606" s="100"/>
      <c r="J606" s="101">
        <f t="shared" si="312"/>
        <v>60</v>
      </c>
      <c r="K606" s="115">
        <f>IF(A606&lt;&gt;0,INDEX(Coûts, 'PA-Détails'!A606, 3),)</f>
        <v>50</v>
      </c>
      <c r="L606" s="37">
        <f t="shared" si="330"/>
        <v>3000</v>
      </c>
      <c r="M606" s="36">
        <f t="shared" si="330"/>
        <v>0</v>
      </c>
      <c r="N606" s="36">
        <f t="shared" si="330"/>
        <v>0</v>
      </c>
      <c r="O606" s="36">
        <f t="shared" si="330"/>
        <v>0</v>
      </c>
      <c r="P606" s="268">
        <f t="shared" si="330"/>
        <v>0</v>
      </c>
      <c r="Q606" s="281">
        <f>SUM(L606:P606)</f>
        <v>3000</v>
      </c>
      <c r="R606" s="22"/>
      <c r="S606" s="21"/>
      <c r="T606" s="51"/>
    </row>
    <row r="607" spans="1:20" x14ac:dyDescent="0.2">
      <c r="A607" s="20" t="s">
        <v>466</v>
      </c>
      <c r="B607" s="46"/>
      <c r="C607" s="51"/>
      <c r="D607" s="21"/>
      <c r="E607" s="96"/>
      <c r="F607" s="100"/>
      <c r="G607" s="100"/>
      <c r="H607" s="100"/>
      <c r="I607" s="100"/>
      <c r="J607" s="101">
        <f t="shared" si="312"/>
        <v>0</v>
      </c>
      <c r="K607" s="115"/>
      <c r="L607" s="161">
        <f t="shared" ref="L607:Q607" si="331">SUM(L608:L608)</f>
        <v>2445000</v>
      </c>
      <c r="M607" s="157">
        <f t="shared" si="331"/>
        <v>2445000</v>
      </c>
      <c r="N607" s="157">
        <f t="shared" si="331"/>
        <v>2445000</v>
      </c>
      <c r="O607" s="157">
        <f t="shared" si="331"/>
        <v>2445000</v>
      </c>
      <c r="P607" s="270">
        <f t="shared" si="331"/>
        <v>2445000</v>
      </c>
      <c r="Q607" s="284">
        <f t="shared" si="331"/>
        <v>12225000</v>
      </c>
      <c r="R607" s="39" t="s">
        <v>758</v>
      </c>
      <c r="S607" s="115" t="s">
        <v>670</v>
      </c>
      <c r="T607" s="51"/>
    </row>
    <row r="608" spans="1:20" x14ac:dyDescent="0.2">
      <c r="A608" s="95">
        <v>132</v>
      </c>
      <c r="B608" s="108" t="str">
        <f>IF(A608&lt;&gt;0,INDEX(Coûts,'PA-Détails'!A608, 2),)</f>
        <v>Kit pédagogique pour le secondaire</v>
      </c>
      <c r="C608" s="51"/>
      <c r="D608" s="94" t="str">
        <f>IF(A608&lt;&gt;0,INDEX(Coûts, 'PA-Détails'!A608, 5),)</f>
        <v>Forfait</v>
      </c>
      <c r="E608" s="96">
        <f>H!E51</f>
        <v>1630</v>
      </c>
      <c r="F608" s="100">
        <f>H!F51</f>
        <v>1630</v>
      </c>
      <c r="G608" s="100">
        <f>H!G51</f>
        <v>1630</v>
      </c>
      <c r="H608" s="100">
        <f>H!H51</f>
        <v>1630</v>
      </c>
      <c r="I608" s="100">
        <f>H!I51</f>
        <v>1630</v>
      </c>
      <c r="J608" s="101">
        <f t="shared" si="312"/>
        <v>8150</v>
      </c>
      <c r="K608" s="115">
        <f>IF(A608&lt;&gt;0,INDEX(Coûts, 'PA-Détails'!A608, 3),)</f>
        <v>1500</v>
      </c>
      <c r="L608" s="37">
        <f t="shared" ref="L608:P609" si="332">ROUND(+$K608*E608,0)</f>
        <v>2445000</v>
      </c>
      <c r="M608" s="36">
        <f t="shared" si="332"/>
        <v>2445000</v>
      </c>
      <c r="N608" s="36">
        <f t="shared" si="332"/>
        <v>2445000</v>
      </c>
      <c r="O608" s="36">
        <f t="shared" si="332"/>
        <v>2445000</v>
      </c>
      <c r="P608" s="268">
        <f t="shared" si="332"/>
        <v>2445000</v>
      </c>
      <c r="Q608" s="281">
        <f>SUM(L608:P608)</f>
        <v>12225000</v>
      </c>
      <c r="R608" s="22"/>
      <c r="S608" s="21"/>
      <c r="T608" s="51"/>
    </row>
    <row r="609" spans="1:20" x14ac:dyDescent="0.2">
      <c r="A609" s="17" t="s">
        <v>78</v>
      </c>
      <c r="B609" s="45"/>
      <c r="C609" s="51" t="s">
        <v>401</v>
      </c>
      <c r="D609" s="18"/>
      <c r="E609" s="97"/>
      <c r="F609" s="98"/>
      <c r="G609" s="98"/>
      <c r="H609" s="98"/>
      <c r="I609" s="98"/>
      <c r="J609" s="99">
        <f t="shared" si="312"/>
        <v>0</v>
      </c>
      <c r="K609" s="116"/>
      <c r="L609" s="35">
        <f t="shared" si="332"/>
        <v>0</v>
      </c>
      <c r="M609" s="34">
        <f t="shared" si="332"/>
        <v>0</v>
      </c>
      <c r="N609" s="34">
        <f t="shared" si="332"/>
        <v>0</v>
      </c>
      <c r="O609" s="34">
        <f t="shared" si="332"/>
        <v>0</v>
      </c>
      <c r="P609" s="269">
        <f t="shared" si="332"/>
        <v>0</v>
      </c>
      <c r="Q609" s="279">
        <f>SUM(L609:P609)</f>
        <v>0</v>
      </c>
      <c r="R609" s="19"/>
      <c r="S609" s="18"/>
      <c r="T609" s="51"/>
    </row>
    <row r="610" spans="1:20" x14ac:dyDescent="0.2">
      <c r="A610" s="20" t="s">
        <v>1078</v>
      </c>
      <c r="B610" s="46"/>
      <c r="C610" s="51"/>
      <c r="D610" s="21"/>
      <c r="E610" s="96"/>
      <c r="F610" s="100"/>
      <c r="G610" s="100"/>
      <c r="H610" s="100"/>
      <c r="I610" s="100"/>
      <c r="J610" s="101">
        <f t="shared" si="312"/>
        <v>0</v>
      </c>
      <c r="K610" s="115"/>
      <c r="L610" s="161">
        <f t="shared" ref="L610:Q610" si="333">SUM(L611:L612)</f>
        <v>7200</v>
      </c>
      <c r="M610" s="157">
        <f t="shared" si="333"/>
        <v>0</v>
      </c>
      <c r="N610" s="157">
        <f t="shared" si="333"/>
        <v>0</v>
      </c>
      <c r="O610" s="157">
        <f t="shared" si="333"/>
        <v>0</v>
      </c>
      <c r="P610" s="270">
        <f t="shared" si="333"/>
        <v>0</v>
      </c>
      <c r="Q610" s="284">
        <f t="shared" si="333"/>
        <v>7200</v>
      </c>
      <c r="R610" s="39" t="s">
        <v>758</v>
      </c>
      <c r="S610" s="115" t="s">
        <v>665</v>
      </c>
      <c r="T610" s="51"/>
    </row>
    <row r="611" spans="1:20" x14ac:dyDescent="0.2">
      <c r="A611" s="95">
        <v>11</v>
      </c>
      <c r="B611" s="108" t="str">
        <f>IF(A611&lt;&gt;0,INDEX(Coûts,'PA-Détails'!A611, 2),)</f>
        <v>Atelier technique</v>
      </c>
      <c r="C611" s="51"/>
      <c r="D611" s="94" t="str">
        <f>IF(A611&lt;&gt;0,INDEX(Coûts, 'PA-Détails'!A611, 5),)</f>
        <v>Pers / j</v>
      </c>
      <c r="E611" s="96">
        <f>3*20</f>
        <v>60</v>
      </c>
      <c r="F611" s="100"/>
      <c r="G611" s="100"/>
      <c r="H611" s="100"/>
      <c r="I611" s="100"/>
      <c r="J611" s="101">
        <f t="shared" si="312"/>
        <v>60</v>
      </c>
      <c r="K611" s="115">
        <f>IF(A611&lt;&gt;0,INDEX(Coûts, 'PA-Détails'!A611, 3),)</f>
        <v>70</v>
      </c>
      <c r="L611" s="37">
        <f t="shared" ref="L611:P612" si="334">ROUND(+$K611*E611,0)</f>
        <v>4200</v>
      </c>
      <c r="M611" s="36">
        <f t="shared" si="334"/>
        <v>0</v>
      </c>
      <c r="N611" s="36">
        <f t="shared" si="334"/>
        <v>0</v>
      </c>
      <c r="O611" s="36">
        <f t="shared" si="334"/>
        <v>0</v>
      </c>
      <c r="P611" s="268">
        <f t="shared" si="334"/>
        <v>0</v>
      </c>
      <c r="Q611" s="281">
        <f>SUM(L611:P611)</f>
        <v>4200</v>
      </c>
      <c r="R611" s="22"/>
      <c r="S611" s="21"/>
      <c r="T611" s="51"/>
    </row>
    <row r="612" spans="1:20" x14ac:dyDescent="0.2">
      <c r="A612" s="95">
        <v>5</v>
      </c>
      <c r="B612" s="108" t="str">
        <f>IF(A612&lt;&gt;0,INDEX(Coûts,'PA-Détails'!A612, 2),)</f>
        <v>Atelier de validation</v>
      </c>
      <c r="C612" s="51"/>
      <c r="D612" s="94" t="str">
        <f>IF(A612&lt;&gt;0,INDEX(Coûts, 'PA-Détails'!A612, 5),)</f>
        <v>Pers / j</v>
      </c>
      <c r="E612" s="96">
        <f>3*20</f>
        <v>60</v>
      </c>
      <c r="F612" s="100"/>
      <c r="G612" s="100"/>
      <c r="H612" s="100"/>
      <c r="I612" s="100"/>
      <c r="J612" s="101">
        <f t="shared" si="312"/>
        <v>60</v>
      </c>
      <c r="K612" s="115">
        <f>IF(A612&lt;&gt;0,INDEX(Coûts, 'PA-Détails'!A612, 3),)</f>
        <v>50</v>
      </c>
      <c r="L612" s="37">
        <f t="shared" si="334"/>
        <v>3000</v>
      </c>
      <c r="M612" s="36">
        <f t="shared" si="334"/>
        <v>0</v>
      </c>
      <c r="N612" s="36">
        <f t="shared" si="334"/>
        <v>0</v>
      </c>
      <c r="O612" s="36">
        <f t="shared" si="334"/>
        <v>0</v>
      </c>
      <c r="P612" s="268">
        <f t="shared" si="334"/>
        <v>0</v>
      </c>
      <c r="Q612" s="281">
        <f>SUM(L612:P612)</f>
        <v>3000</v>
      </c>
      <c r="R612" s="22"/>
      <c r="S612" s="21"/>
      <c r="T612" s="51"/>
    </row>
    <row r="613" spans="1:20" x14ac:dyDescent="0.2">
      <c r="A613" s="20" t="s">
        <v>1079</v>
      </c>
      <c r="B613" s="46"/>
      <c r="C613" s="51"/>
      <c r="D613" s="21"/>
      <c r="E613" s="96"/>
      <c r="F613" s="100"/>
      <c r="G613" s="100"/>
      <c r="H613" s="100"/>
      <c r="I613" s="100"/>
      <c r="J613" s="101">
        <f t="shared" si="312"/>
        <v>0</v>
      </c>
      <c r="K613" s="115"/>
      <c r="L613" s="161">
        <f t="shared" ref="L613:Q613" si="335">SUM(L614:L616)</f>
        <v>13800</v>
      </c>
      <c r="M613" s="157">
        <f t="shared" si="335"/>
        <v>0</v>
      </c>
      <c r="N613" s="157">
        <f t="shared" si="335"/>
        <v>0</v>
      </c>
      <c r="O613" s="157">
        <f t="shared" si="335"/>
        <v>0</v>
      </c>
      <c r="P613" s="270">
        <f t="shared" si="335"/>
        <v>0</v>
      </c>
      <c r="Q613" s="284">
        <f t="shared" si="335"/>
        <v>13800</v>
      </c>
      <c r="R613" s="39" t="s">
        <v>759</v>
      </c>
      <c r="S613" s="115" t="s">
        <v>665</v>
      </c>
      <c r="T613" s="51"/>
    </row>
    <row r="614" spans="1:20" x14ac:dyDescent="0.2">
      <c r="A614" s="95">
        <v>11</v>
      </c>
      <c r="B614" s="108" t="str">
        <f>IF(A614&lt;&gt;0,INDEX(Coûts,'PA-Détails'!A614, 2),)</f>
        <v>Atelier technique</v>
      </c>
      <c r="C614" s="51"/>
      <c r="D614" s="94" t="str">
        <f>IF(A614&lt;&gt;0,INDEX(Coûts, 'PA-Détails'!A614, 5),)</f>
        <v>Pers / j</v>
      </c>
      <c r="E614" s="96">
        <f>3*20</f>
        <v>60</v>
      </c>
      <c r="F614" s="100"/>
      <c r="G614" s="100"/>
      <c r="H614" s="100"/>
      <c r="I614" s="100"/>
      <c r="J614" s="101">
        <f t="shared" si="312"/>
        <v>60</v>
      </c>
      <c r="K614" s="115">
        <f>IF(A614&lt;&gt;0,INDEX(Coûts, 'PA-Détails'!A614, 3),)</f>
        <v>70</v>
      </c>
      <c r="L614" s="37">
        <f t="shared" ref="L614:P616" si="336">ROUND(+$K614*E614,0)</f>
        <v>4200</v>
      </c>
      <c r="M614" s="36">
        <f t="shared" si="336"/>
        <v>0</v>
      </c>
      <c r="N614" s="36">
        <f t="shared" si="336"/>
        <v>0</v>
      </c>
      <c r="O614" s="36">
        <f t="shared" si="336"/>
        <v>0</v>
      </c>
      <c r="P614" s="268">
        <f t="shared" si="336"/>
        <v>0</v>
      </c>
      <c r="Q614" s="281">
        <f>SUM(L614:P614)</f>
        <v>4200</v>
      </c>
      <c r="R614" s="22"/>
      <c r="S614" s="21"/>
      <c r="T614" s="51"/>
    </row>
    <row r="615" spans="1:20" x14ac:dyDescent="0.2">
      <c r="A615" s="95">
        <v>5</v>
      </c>
      <c r="B615" s="108" t="str">
        <f>IF(A615&lt;&gt;0,INDEX(Coûts,'PA-Détails'!A615, 2),)</f>
        <v>Atelier de validation</v>
      </c>
      <c r="C615" s="51"/>
      <c r="D615" s="94" t="str">
        <f>IF(A615&lt;&gt;0,INDEX(Coûts, 'PA-Détails'!A615, 5),)</f>
        <v>Pers / j</v>
      </c>
      <c r="E615" s="96">
        <f>3*20</f>
        <v>60</v>
      </c>
      <c r="F615" s="100"/>
      <c r="G615" s="100"/>
      <c r="H615" s="100"/>
      <c r="I615" s="100"/>
      <c r="J615" s="101">
        <f t="shared" si="312"/>
        <v>60</v>
      </c>
      <c r="K615" s="115">
        <f>IF(A615&lt;&gt;0,INDEX(Coûts, 'PA-Détails'!A615, 3),)</f>
        <v>50</v>
      </c>
      <c r="L615" s="37">
        <f t="shared" si="336"/>
        <v>3000</v>
      </c>
      <c r="M615" s="36">
        <f t="shared" si="336"/>
        <v>0</v>
      </c>
      <c r="N615" s="36">
        <f t="shared" si="336"/>
        <v>0</v>
      </c>
      <c r="O615" s="36">
        <f t="shared" si="336"/>
        <v>0</v>
      </c>
      <c r="P615" s="268">
        <f t="shared" si="336"/>
        <v>0</v>
      </c>
      <c r="Q615" s="281">
        <f>SUM(L615:P615)</f>
        <v>3000</v>
      </c>
      <c r="R615" s="22"/>
      <c r="S615" s="21"/>
      <c r="T615" s="51"/>
    </row>
    <row r="616" spans="1:20" x14ac:dyDescent="0.2">
      <c r="A616" s="95">
        <v>8</v>
      </c>
      <c r="B616" s="108" t="str">
        <f>IF(A616&lt;&gt;0,INDEX(Coûts,'PA-Détails'!A616, 2),)</f>
        <v>Formation</v>
      </c>
      <c r="C616" s="51"/>
      <c r="D616" s="94" t="str">
        <f>IF(A616&lt;&gt;0,INDEX(Coûts, 'PA-Détails'!A616, 5),)</f>
        <v>Pers / j</v>
      </c>
      <c r="E616" s="96">
        <f>3*20</f>
        <v>60</v>
      </c>
      <c r="F616" s="100"/>
      <c r="G616" s="100"/>
      <c r="H616" s="100"/>
      <c r="I616" s="100"/>
      <c r="J616" s="101">
        <f t="shared" si="312"/>
        <v>60</v>
      </c>
      <c r="K616" s="115">
        <f>IF(A616&lt;&gt;0,INDEX(Coûts, 'PA-Détails'!A616, 3),)</f>
        <v>110</v>
      </c>
      <c r="L616" s="37">
        <f t="shared" si="336"/>
        <v>6600</v>
      </c>
      <c r="M616" s="36">
        <f t="shared" si="336"/>
        <v>0</v>
      </c>
      <c r="N616" s="36">
        <f t="shared" si="336"/>
        <v>0</v>
      </c>
      <c r="O616" s="36">
        <f t="shared" si="336"/>
        <v>0</v>
      </c>
      <c r="P616" s="268">
        <f t="shared" si="336"/>
        <v>0</v>
      </c>
      <c r="Q616" s="281">
        <f>SUM(L616:P616)</f>
        <v>6600</v>
      </c>
      <c r="R616" s="22"/>
      <c r="S616" s="21"/>
      <c r="T616" s="51"/>
    </row>
    <row r="617" spans="1:20" x14ac:dyDescent="0.2">
      <c r="A617" s="20" t="s">
        <v>467</v>
      </c>
      <c r="B617" s="46"/>
      <c r="C617" s="51"/>
      <c r="D617" s="21"/>
      <c r="E617" s="96"/>
      <c r="F617" s="100"/>
      <c r="G617" s="100"/>
      <c r="H617" s="100"/>
      <c r="I617" s="100"/>
      <c r="J617" s="101">
        <f t="shared" si="312"/>
        <v>0</v>
      </c>
      <c r="K617" s="115"/>
      <c r="L617" s="161">
        <f t="shared" ref="L617:Q617" si="337">SUM(L618:L618)</f>
        <v>2469900</v>
      </c>
      <c r="M617" s="157">
        <f t="shared" si="337"/>
        <v>2469900</v>
      </c>
      <c r="N617" s="157">
        <f t="shared" si="337"/>
        <v>2469900</v>
      </c>
      <c r="O617" s="157">
        <f t="shared" si="337"/>
        <v>2469900</v>
      </c>
      <c r="P617" s="270">
        <f t="shared" si="337"/>
        <v>2469900</v>
      </c>
      <c r="Q617" s="284">
        <f t="shared" si="337"/>
        <v>12349500</v>
      </c>
      <c r="R617" s="39" t="s">
        <v>758</v>
      </c>
      <c r="S617" s="115" t="s">
        <v>665</v>
      </c>
      <c r="T617" s="51"/>
    </row>
    <row r="618" spans="1:20" x14ac:dyDescent="0.2">
      <c r="A618" s="95">
        <v>58</v>
      </c>
      <c r="B618" s="108" t="str">
        <f>IF(A618&lt;&gt;0,INDEX(Coûts,'PA-Détails'!A618, 2),)</f>
        <v>Acquisition et distribution des manuels scolaires</v>
      </c>
      <c r="C618" s="51"/>
      <c r="D618" s="94" t="str">
        <f>IF(A618&lt;&gt;0,INDEX(Coûts, 'PA-Détails'!A618, 5),)</f>
        <v>Unité</v>
      </c>
      <c r="E618" s="96">
        <f>H!E66</f>
        <v>823300</v>
      </c>
      <c r="F618" s="100">
        <f>H!F66</f>
        <v>823300</v>
      </c>
      <c r="G618" s="100">
        <f>H!G66</f>
        <v>823300</v>
      </c>
      <c r="H618" s="100">
        <f>H!H66</f>
        <v>823300</v>
      </c>
      <c r="I618" s="100">
        <f>H!I66</f>
        <v>823300</v>
      </c>
      <c r="J618" s="101">
        <f t="shared" si="312"/>
        <v>4116500</v>
      </c>
      <c r="K618" s="115">
        <f>IF(A618&lt;&gt;0,INDEX(Coûts, 'PA-Détails'!A618, 3),)</f>
        <v>3</v>
      </c>
      <c r="L618" s="37">
        <f t="shared" ref="L618:P619" si="338">ROUND(+$K618*E618,0)</f>
        <v>2469900</v>
      </c>
      <c r="M618" s="36">
        <f t="shared" si="338"/>
        <v>2469900</v>
      </c>
      <c r="N618" s="36">
        <f t="shared" si="338"/>
        <v>2469900</v>
      </c>
      <c r="O618" s="36">
        <f t="shared" si="338"/>
        <v>2469900</v>
      </c>
      <c r="P618" s="268">
        <f t="shared" si="338"/>
        <v>2469900</v>
      </c>
      <c r="Q618" s="281">
        <f>SUM(L618:P618)</f>
        <v>12349500</v>
      </c>
      <c r="R618" s="22"/>
      <c r="S618" s="21"/>
      <c r="T618" s="51"/>
    </row>
    <row r="619" spans="1:20" x14ac:dyDescent="0.2">
      <c r="A619" s="17" t="s">
        <v>468</v>
      </c>
      <c r="B619" s="45"/>
      <c r="C619" s="51" t="s">
        <v>469</v>
      </c>
      <c r="D619" s="18"/>
      <c r="E619" s="97"/>
      <c r="F619" s="98"/>
      <c r="G619" s="98"/>
      <c r="H619" s="98"/>
      <c r="I619" s="98"/>
      <c r="J619" s="99">
        <f t="shared" si="312"/>
        <v>0</v>
      </c>
      <c r="K619" s="116"/>
      <c r="L619" s="35">
        <f t="shared" si="338"/>
        <v>0</v>
      </c>
      <c r="M619" s="34">
        <f t="shared" si="338"/>
        <v>0</v>
      </c>
      <c r="N619" s="34">
        <f t="shared" si="338"/>
        <v>0</v>
      </c>
      <c r="O619" s="34">
        <f t="shared" si="338"/>
        <v>0</v>
      </c>
      <c r="P619" s="269">
        <f t="shared" si="338"/>
        <v>0</v>
      </c>
      <c r="Q619" s="279">
        <f>SUM(L619:P619)</f>
        <v>0</v>
      </c>
      <c r="R619" s="19"/>
      <c r="S619" s="18"/>
      <c r="T619" s="51"/>
    </row>
    <row r="620" spans="1:20" x14ac:dyDescent="0.2">
      <c r="A620" s="20" t="s">
        <v>470</v>
      </c>
      <c r="B620" s="46"/>
      <c r="C620" s="51"/>
      <c r="D620" s="21"/>
      <c r="E620" s="96"/>
      <c r="F620" s="100"/>
      <c r="G620" s="100"/>
      <c r="H620" s="100"/>
      <c r="I620" s="100"/>
      <c r="J620" s="101">
        <f t="shared" si="312"/>
        <v>0</v>
      </c>
      <c r="K620" s="115"/>
      <c r="L620" s="161">
        <f t="shared" ref="L620:Q620" si="339">SUM(L621:L621)</f>
        <v>97608</v>
      </c>
      <c r="M620" s="157">
        <f t="shared" si="339"/>
        <v>97608</v>
      </c>
      <c r="N620" s="157">
        <f t="shared" si="339"/>
        <v>97608</v>
      </c>
      <c r="O620" s="157">
        <f t="shared" si="339"/>
        <v>0</v>
      </c>
      <c r="P620" s="270">
        <f t="shared" si="339"/>
        <v>0</v>
      </c>
      <c r="Q620" s="284">
        <f t="shared" si="339"/>
        <v>292824</v>
      </c>
      <c r="R620" s="39" t="s">
        <v>758</v>
      </c>
      <c r="S620" s="115" t="s">
        <v>670</v>
      </c>
      <c r="T620" s="51"/>
    </row>
    <row r="621" spans="1:20" x14ac:dyDescent="0.2">
      <c r="A621" s="95">
        <v>59</v>
      </c>
      <c r="B621" s="108" t="str">
        <f>IF(A621&lt;&gt;0,INDEX(Coûts,'PA-Détails'!A621, 2),)</f>
        <v>Acquisition et distribution de plaquettes/brochures/guides/livres</v>
      </c>
      <c r="C621" s="51"/>
      <c r="D621" s="94" t="str">
        <f>IF(A621&lt;&gt;0,INDEX(Coûts, 'PA-Détails'!A621, 5),)</f>
        <v>Unité</v>
      </c>
      <c r="E621" s="96">
        <f>F621</f>
        <v>48804</v>
      </c>
      <c r="F621" s="100">
        <f>G621</f>
        <v>48804</v>
      </c>
      <c r="G621" s="100">
        <f>H!G15/3</f>
        <v>48804</v>
      </c>
      <c r="H621" s="100"/>
      <c r="I621" s="100"/>
      <c r="J621" s="101">
        <f t="shared" si="312"/>
        <v>146412</v>
      </c>
      <c r="K621" s="115">
        <f>IF(A621&lt;&gt;0,INDEX(Coûts, 'PA-Détails'!A621, 3),)</f>
        <v>2</v>
      </c>
      <c r="L621" s="37">
        <f t="shared" ref="L621:P623" si="340">ROUND(+$K621*E621,0)</f>
        <v>97608</v>
      </c>
      <c r="M621" s="36">
        <f t="shared" si="340"/>
        <v>97608</v>
      </c>
      <c r="N621" s="36">
        <f t="shared" si="340"/>
        <v>97608</v>
      </c>
      <c r="O621" s="36">
        <f t="shared" si="340"/>
        <v>0</v>
      </c>
      <c r="P621" s="268">
        <f t="shared" si="340"/>
        <v>0</v>
      </c>
      <c r="Q621" s="281">
        <f>SUM(L621:P621)</f>
        <v>292824</v>
      </c>
      <c r="R621" s="22"/>
      <c r="S621" s="21"/>
      <c r="T621" s="51"/>
    </row>
    <row r="622" spans="1:20" x14ac:dyDescent="0.2">
      <c r="A622" s="14" t="s">
        <v>760</v>
      </c>
      <c r="B622" s="44"/>
      <c r="C622" s="112"/>
      <c r="D622" s="15"/>
      <c r="E622" s="102"/>
      <c r="F622" s="103"/>
      <c r="G622" s="103"/>
      <c r="H622" s="103"/>
      <c r="I622" s="103"/>
      <c r="J622" s="104">
        <f t="shared" si="312"/>
        <v>0</v>
      </c>
      <c r="K622" s="145"/>
      <c r="L622" s="33">
        <f t="shared" si="340"/>
        <v>0</v>
      </c>
      <c r="M622" s="32">
        <f t="shared" si="340"/>
        <v>0</v>
      </c>
      <c r="N622" s="32">
        <f t="shared" si="340"/>
        <v>0</v>
      </c>
      <c r="O622" s="32">
        <f t="shared" si="340"/>
        <v>0</v>
      </c>
      <c r="P622" s="267">
        <f t="shared" si="340"/>
        <v>0</v>
      </c>
      <c r="Q622" s="278">
        <f>SUM(L622:P622)</f>
        <v>0</v>
      </c>
      <c r="R622" s="16"/>
      <c r="S622" s="15"/>
      <c r="T622" s="112">
        <v>2</v>
      </c>
    </row>
    <row r="623" spans="1:20" x14ac:dyDescent="0.2">
      <c r="A623" s="17" t="s">
        <v>79</v>
      </c>
      <c r="B623" s="45"/>
      <c r="C623" s="51" t="s">
        <v>471</v>
      </c>
      <c r="D623" s="18"/>
      <c r="E623" s="97"/>
      <c r="F623" s="98"/>
      <c r="G623" s="98"/>
      <c r="H623" s="98"/>
      <c r="I623" s="98"/>
      <c r="J623" s="99">
        <f t="shared" si="312"/>
        <v>0</v>
      </c>
      <c r="K623" s="116"/>
      <c r="L623" s="35">
        <f t="shared" si="340"/>
        <v>0</v>
      </c>
      <c r="M623" s="34">
        <f t="shared" si="340"/>
        <v>0</v>
      </c>
      <c r="N623" s="34">
        <f t="shared" si="340"/>
        <v>0</v>
      </c>
      <c r="O623" s="34">
        <f t="shared" si="340"/>
        <v>0</v>
      </c>
      <c r="P623" s="269">
        <f t="shared" si="340"/>
        <v>0</v>
      </c>
      <c r="Q623" s="279">
        <f>SUM(L623:P623)</f>
        <v>0</v>
      </c>
      <c r="R623" s="19"/>
      <c r="S623" s="18"/>
      <c r="T623" s="51"/>
    </row>
    <row r="624" spans="1:20" x14ac:dyDescent="0.2">
      <c r="A624" s="20" t="s">
        <v>761</v>
      </c>
      <c r="B624" s="46"/>
      <c r="C624" s="51"/>
      <c r="D624" s="21"/>
      <c r="E624" s="96"/>
      <c r="F624" s="100"/>
      <c r="G624" s="100"/>
      <c r="H624" s="100"/>
      <c r="I624" s="100"/>
      <c r="J624" s="101"/>
      <c r="K624" s="115"/>
      <c r="L624" s="161">
        <f t="shared" ref="L624:Q624" si="341">SUM(L625:L625)</f>
        <v>0</v>
      </c>
      <c r="M624" s="157">
        <f t="shared" si="341"/>
        <v>4574000</v>
      </c>
      <c r="N624" s="157">
        <f t="shared" si="341"/>
        <v>4574000</v>
      </c>
      <c r="O624" s="157">
        <f t="shared" si="341"/>
        <v>4574000</v>
      </c>
      <c r="P624" s="270">
        <f t="shared" si="341"/>
        <v>4574000</v>
      </c>
      <c r="Q624" s="284">
        <f t="shared" si="341"/>
        <v>18296000</v>
      </c>
      <c r="R624" s="39" t="s">
        <v>753</v>
      </c>
      <c r="S624" s="115" t="s">
        <v>670</v>
      </c>
      <c r="T624" s="51"/>
    </row>
    <row r="625" spans="1:20" x14ac:dyDescent="0.2">
      <c r="A625" s="95">
        <v>50</v>
      </c>
      <c r="B625" s="108" t="str">
        <f>IF(A625&lt;&gt;0,INDEX(Coûts,'PA-Détails'!A625, 2),)</f>
        <v>Table banc/Table (ETFP)</v>
      </c>
      <c r="C625" s="51"/>
      <c r="D625" s="94" t="str">
        <f>IF(A625&lt;&gt;0,INDEX(Coûts, 'PA-Détails'!A625, 5),)</f>
        <v>Unité</v>
      </c>
      <c r="E625" s="96">
        <f>H!E55</f>
        <v>0</v>
      </c>
      <c r="F625" s="100">
        <f>H!F55</f>
        <v>45740</v>
      </c>
      <c r="G625" s="100">
        <f>H!G55</f>
        <v>45740</v>
      </c>
      <c r="H625" s="100">
        <f>H!H55</f>
        <v>45740</v>
      </c>
      <c r="I625" s="100">
        <f>H!I55</f>
        <v>45740</v>
      </c>
      <c r="J625" s="101">
        <f t="shared" ref="J625:J688" si="342">SUM(E625:I625)</f>
        <v>182960</v>
      </c>
      <c r="K625" s="115">
        <f>IF(A625&lt;&gt;0,INDEX(Coûts, 'PA-Détails'!A625, 3),)</f>
        <v>100</v>
      </c>
      <c r="L625" s="37">
        <f t="shared" ref="L625:P626" si="343">ROUND(+$K625*E625,0)</f>
        <v>0</v>
      </c>
      <c r="M625" s="36">
        <f t="shared" si="343"/>
        <v>4574000</v>
      </c>
      <c r="N625" s="36">
        <f t="shared" si="343"/>
        <v>4574000</v>
      </c>
      <c r="O625" s="36">
        <f t="shared" si="343"/>
        <v>4574000</v>
      </c>
      <c r="P625" s="268">
        <f t="shared" si="343"/>
        <v>4574000</v>
      </c>
      <c r="Q625" s="281">
        <f>SUM(L625:P625)</f>
        <v>18296000</v>
      </c>
      <c r="R625" s="22"/>
      <c r="S625" s="21"/>
      <c r="T625" s="51"/>
    </row>
    <row r="626" spans="1:20" x14ac:dyDescent="0.2">
      <c r="A626" s="17" t="s">
        <v>80</v>
      </c>
      <c r="B626" s="45"/>
      <c r="C626" s="51" t="s">
        <v>472</v>
      </c>
      <c r="D626" s="18"/>
      <c r="E626" s="97"/>
      <c r="F626" s="98"/>
      <c r="G626" s="98"/>
      <c r="H626" s="98"/>
      <c r="I626" s="98"/>
      <c r="J626" s="99">
        <f t="shared" si="342"/>
        <v>0</v>
      </c>
      <c r="K626" s="116"/>
      <c r="L626" s="37">
        <f t="shared" si="343"/>
        <v>0</v>
      </c>
      <c r="M626" s="36">
        <f t="shared" si="343"/>
        <v>0</v>
      </c>
      <c r="N626" s="36">
        <f t="shared" si="343"/>
        <v>0</v>
      </c>
      <c r="O626" s="36">
        <f t="shared" si="343"/>
        <v>0</v>
      </c>
      <c r="P626" s="268">
        <f t="shared" si="343"/>
        <v>0</v>
      </c>
      <c r="Q626" s="281">
        <f>SUM(L626:P626)</f>
        <v>0</v>
      </c>
      <c r="R626" s="19"/>
      <c r="S626" s="18"/>
      <c r="T626" s="51"/>
    </row>
    <row r="627" spans="1:20" x14ac:dyDescent="0.2">
      <c r="A627" s="20" t="s">
        <v>473</v>
      </c>
      <c r="B627" s="46"/>
      <c r="C627" s="51"/>
      <c r="D627" s="21"/>
      <c r="E627" s="96"/>
      <c r="F627" s="100"/>
      <c r="G627" s="100"/>
      <c r="H627" s="100"/>
      <c r="I627" s="100"/>
      <c r="J627" s="101">
        <f t="shared" si="342"/>
        <v>0</v>
      </c>
      <c r="K627" s="115"/>
      <c r="L627" s="161">
        <f t="shared" ref="L627:Q627" si="344">SUM(L628:L629)</f>
        <v>7000</v>
      </c>
      <c r="M627" s="157">
        <f t="shared" si="344"/>
        <v>0</v>
      </c>
      <c r="N627" s="157">
        <f t="shared" si="344"/>
        <v>0</v>
      </c>
      <c r="O627" s="157">
        <f t="shared" si="344"/>
        <v>0</v>
      </c>
      <c r="P627" s="270">
        <f t="shared" si="344"/>
        <v>0</v>
      </c>
      <c r="Q627" s="284">
        <f t="shared" si="344"/>
        <v>7000</v>
      </c>
      <c r="R627" s="198" t="s">
        <v>694</v>
      </c>
      <c r="S627" s="115" t="s">
        <v>665</v>
      </c>
      <c r="T627" s="51"/>
    </row>
    <row r="628" spans="1:20" x14ac:dyDescent="0.2">
      <c r="A628" s="95">
        <v>2</v>
      </c>
      <c r="B628" s="108" t="str">
        <f>IF(A628&lt;&gt;0,INDEX(Coûts,'PA-Détails'!A628, 2),)</f>
        <v>Assistance technique nationale (consultants)</v>
      </c>
      <c r="C628" s="51"/>
      <c r="D628" s="94" t="str">
        <f>IF(A628&lt;&gt;0,INDEX(Coûts, 'PA-Détails'!A628, 5),)</f>
        <v>Pers / j</v>
      </c>
      <c r="E628" s="96">
        <v>15</v>
      </c>
      <c r="F628" s="100"/>
      <c r="G628" s="100"/>
      <c r="H628" s="100"/>
      <c r="I628" s="100"/>
      <c r="J628" s="101">
        <f t="shared" si="342"/>
        <v>15</v>
      </c>
      <c r="K628" s="115">
        <f>IF(A628&lt;&gt;0,INDEX(Coûts, 'PA-Détails'!A628, 3),)</f>
        <v>300</v>
      </c>
      <c r="L628" s="37">
        <f t="shared" ref="L628:P629" si="345">ROUND(+$K628*E628,0)</f>
        <v>4500</v>
      </c>
      <c r="M628" s="36">
        <f t="shared" si="345"/>
        <v>0</v>
      </c>
      <c r="N628" s="36">
        <f t="shared" si="345"/>
        <v>0</v>
      </c>
      <c r="O628" s="36">
        <f t="shared" si="345"/>
        <v>0</v>
      </c>
      <c r="P628" s="268">
        <f t="shared" si="345"/>
        <v>0</v>
      </c>
      <c r="Q628" s="281">
        <f>SUM(L628:P628)</f>
        <v>4500</v>
      </c>
      <c r="R628" s="22"/>
      <c r="S628" s="21"/>
      <c r="T628" s="51"/>
    </row>
    <row r="629" spans="1:20" x14ac:dyDescent="0.2">
      <c r="A629" s="95">
        <v>5</v>
      </c>
      <c r="B629" s="108" t="str">
        <f>IF(A629&lt;&gt;0,INDEX(Coûts,'PA-Détails'!A629, 2),)</f>
        <v>Atelier de validation</v>
      </c>
      <c r="C629" s="51"/>
      <c r="D629" s="94" t="str">
        <f>IF(A629&lt;&gt;0,INDEX(Coûts, 'PA-Détails'!A629, 5),)</f>
        <v>Pers / j</v>
      </c>
      <c r="E629" s="96">
        <v>50</v>
      </c>
      <c r="F629" s="100"/>
      <c r="G629" s="100"/>
      <c r="H629" s="100"/>
      <c r="I629" s="100"/>
      <c r="J629" s="101">
        <f t="shared" si="342"/>
        <v>50</v>
      </c>
      <c r="K629" s="115">
        <f>IF(A629&lt;&gt;0,INDEX(Coûts, 'PA-Détails'!A629, 3),)</f>
        <v>50</v>
      </c>
      <c r="L629" s="37">
        <f t="shared" si="345"/>
        <v>2500</v>
      </c>
      <c r="M629" s="36">
        <f t="shared" si="345"/>
        <v>0</v>
      </c>
      <c r="N629" s="36">
        <f t="shared" si="345"/>
        <v>0</v>
      </c>
      <c r="O629" s="36">
        <f t="shared" si="345"/>
        <v>0</v>
      </c>
      <c r="P629" s="268">
        <f t="shared" si="345"/>
        <v>0</v>
      </c>
      <c r="Q629" s="281">
        <f>SUM(L629:P629)</f>
        <v>2500</v>
      </c>
      <c r="R629" s="22"/>
      <c r="S629" s="21"/>
      <c r="T629" s="51"/>
    </row>
    <row r="630" spans="1:20" x14ac:dyDescent="0.2">
      <c r="A630" s="20" t="s">
        <v>474</v>
      </c>
      <c r="B630" s="46"/>
      <c r="C630" s="51"/>
      <c r="D630" s="21"/>
      <c r="E630" s="96"/>
      <c r="F630" s="100"/>
      <c r="G630" s="100"/>
      <c r="H630" s="100"/>
      <c r="I630" s="100"/>
      <c r="J630" s="101">
        <f t="shared" si="342"/>
        <v>0</v>
      </c>
      <c r="K630" s="115"/>
      <c r="L630" s="161">
        <f t="shared" ref="L630:Q630" si="346">SUM(L631:L631)</f>
        <v>162889</v>
      </c>
      <c r="M630" s="157">
        <f t="shared" si="346"/>
        <v>162889</v>
      </c>
      <c r="N630" s="157">
        <f t="shared" si="346"/>
        <v>162889</v>
      </c>
      <c r="O630" s="157">
        <f t="shared" si="346"/>
        <v>162889</v>
      </c>
      <c r="P630" s="270">
        <f t="shared" si="346"/>
        <v>162889</v>
      </c>
      <c r="Q630" s="284">
        <f t="shared" si="346"/>
        <v>814445</v>
      </c>
      <c r="R630" s="198" t="s">
        <v>694</v>
      </c>
      <c r="S630" s="115" t="s">
        <v>665</v>
      </c>
      <c r="T630" s="51"/>
    </row>
    <row r="631" spans="1:20" x14ac:dyDescent="0.2">
      <c r="A631" s="95">
        <v>51</v>
      </c>
      <c r="B631" s="108" t="str">
        <f>IF(A631&lt;&gt;0,INDEX(Coûts,'PA-Détails'!A631, 2),)</f>
        <v>Kit d'équipements sportifs</v>
      </c>
      <c r="C631" s="51"/>
      <c r="D631" s="94" t="str">
        <f>IF(A631&lt;&gt;0,INDEX(Coûts, 'PA-Détails'!A631, 5),)</f>
        <v>Forfait</v>
      </c>
      <c r="E631" s="96">
        <f>H!N50/10</f>
        <v>1628.8946267774418</v>
      </c>
      <c r="F631" s="100">
        <f>E631</f>
        <v>1628.8946267774418</v>
      </c>
      <c r="G631" s="100">
        <f>F631</f>
        <v>1628.8946267774418</v>
      </c>
      <c r="H631" s="100">
        <f>G631</f>
        <v>1628.8946267774418</v>
      </c>
      <c r="I631" s="100">
        <f>H631</f>
        <v>1628.8946267774418</v>
      </c>
      <c r="J631" s="101">
        <f t="shared" si="342"/>
        <v>8144.4731338872089</v>
      </c>
      <c r="K631" s="115">
        <f>IF(A631&lt;&gt;0,INDEX(Coûts, 'PA-Détails'!A631, 3),)</f>
        <v>100</v>
      </c>
      <c r="L631" s="37">
        <f t="shared" ref="L631:P632" si="347">ROUND(+$K631*E631,0)</f>
        <v>162889</v>
      </c>
      <c r="M631" s="36">
        <f t="shared" si="347"/>
        <v>162889</v>
      </c>
      <c r="N631" s="36">
        <f t="shared" si="347"/>
        <v>162889</v>
      </c>
      <c r="O631" s="36">
        <f t="shared" si="347"/>
        <v>162889</v>
      </c>
      <c r="P631" s="268">
        <f t="shared" si="347"/>
        <v>162889</v>
      </c>
      <c r="Q631" s="281">
        <f>SUM(L631:P631)</f>
        <v>814445</v>
      </c>
      <c r="R631" s="22"/>
      <c r="S631" s="21"/>
      <c r="T631" s="51"/>
    </row>
    <row r="632" spans="1:20" x14ac:dyDescent="0.2">
      <c r="A632" s="17" t="s">
        <v>81</v>
      </c>
      <c r="B632" s="45"/>
      <c r="C632" s="51" t="s">
        <v>475</v>
      </c>
      <c r="D632" s="18"/>
      <c r="E632" s="97"/>
      <c r="F632" s="98"/>
      <c r="G632" s="98"/>
      <c r="H632" s="98"/>
      <c r="I632" s="98"/>
      <c r="J632" s="99">
        <f t="shared" si="342"/>
        <v>0</v>
      </c>
      <c r="K632" s="116"/>
      <c r="L632" s="35">
        <f t="shared" si="347"/>
        <v>0</v>
      </c>
      <c r="M632" s="34">
        <f t="shared" si="347"/>
        <v>0</v>
      </c>
      <c r="N632" s="34">
        <f t="shared" si="347"/>
        <v>0</v>
      </c>
      <c r="O632" s="34">
        <f t="shared" si="347"/>
        <v>0</v>
      </c>
      <c r="P632" s="269">
        <f t="shared" si="347"/>
        <v>0</v>
      </c>
      <c r="Q632" s="279">
        <f>SUM(L632:P632)</f>
        <v>0</v>
      </c>
      <c r="R632" s="19"/>
      <c r="S632" s="18"/>
      <c r="T632" s="51"/>
    </row>
    <row r="633" spans="1:20" x14ac:dyDescent="0.2">
      <c r="A633" s="20" t="s">
        <v>476</v>
      </c>
      <c r="B633" s="46"/>
      <c r="C633" s="51"/>
      <c r="D633" s="21"/>
      <c r="E633" s="96"/>
      <c r="F633" s="100"/>
      <c r="G633" s="100"/>
      <c r="H633" s="100"/>
      <c r="I633" s="100"/>
      <c r="J633" s="101">
        <f t="shared" si="342"/>
        <v>0</v>
      </c>
      <c r="K633" s="115"/>
      <c r="L633" s="161">
        <f t="shared" ref="L633:Q633" si="348">SUM(L634:L634)</f>
        <v>7500</v>
      </c>
      <c r="M633" s="157">
        <f t="shared" si="348"/>
        <v>0</v>
      </c>
      <c r="N633" s="157">
        <f t="shared" si="348"/>
        <v>0</v>
      </c>
      <c r="O633" s="157">
        <f t="shared" si="348"/>
        <v>0</v>
      </c>
      <c r="P633" s="270">
        <f t="shared" si="348"/>
        <v>0</v>
      </c>
      <c r="Q633" s="284">
        <f t="shared" si="348"/>
        <v>7500</v>
      </c>
      <c r="R633" s="39" t="s">
        <v>758</v>
      </c>
      <c r="S633" s="115" t="s">
        <v>665</v>
      </c>
      <c r="T633" s="51"/>
    </row>
    <row r="634" spans="1:20" x14ac:dyDescent="0.2">
      <c r="A634" s="95">
        <v>2</v>
      </c>
      <c r="B634" s="108" t="str">
        <f>IF(A634&lt;&gt;0,INDEX(Coûts,'PA-Détails'!A634, 2),)</f>
        <v>Assistance technique nationale (consultants)</v>
      </c>
      <c r="C634" s="51"/>
      <c r="D634" s="94" t="str">
        <f>IF(A634&lt;&gt;0,INDEX(Coûts, 'PA-Détails'!A634, 5),)</f>
        <v>Pers / j</v>
      </c>
      <c r="E634" s="96">
        <v>25</v>
      </c>
      <c r="F634" s="100"/>
      <c r="G634" s="100"/>
      <c r="H634" s="100"/>
      <c r="I634" s="100"/>
      <c r="J634" s="101">
        <f t="shared" si="342"/>
        <v>25</v>
      </c>
      <c r="K634" s="115">
        <f>IF(A634&lt;&gt;0,INDEX(Coûts, 'PA-Détails'!A634, 3),)</f>
        <v>300</v>
      </c>
      <c r="L634" s="37">
        <f>ROUND(+$K634*E634,0)</f>
        <v>7500</v>
      </c>
      <c r="M634" s="36">
        <f>ROUND(+$K634*F634,0)</f>
        <v>0</v>
      </c>
      <c r="N634" s="36">
        <f>ROUND(+$K634*G634,0)</f>
        <v>0</v>
      </c>
      <c r="O634" s="36">
        <f>ROUND(+$K634*H634,0)</f>
        <v>0</v>
      </c>
      <c r="P634" s="268">
        <f>ROUND(+$K634*I634,0)</f>
        <v>0</v>
      </c>
      <c r="Q634" s="281">
        <f>SUM(L634:P634)</f>
        <v>7500</v>
      </c>
      <c r="R634" s="39"/>
      <c r="S634" s="115"/>
      <c r="T634" s="51"/>
    </row>
    <row r="635" spans="1:20" x14ac:dyDescent="0.2">
      <c r="A635" s="20" t="s">
        <v>477</v>
      </c>
      <c r="B635" s="46"/>
      <c r="C635" s="51"/>
      <c r="D635" s="21"/>
      <c r="E635" s="96"/>
      <c r="F635" s="100"/>
      <c r="G635" s="100"/>
      <c r="H635" s="100"/>
      <c r="I635" s="100"/>
      <c r="J635" s="101">
        <f t="shared" si="342"/>
        <v>0</v>
      </c>
      <c r="K635" s="115"/>
      <c r="L635" s="161">
        <f t="shared" ref="L635:Q635" si="349">SUM(L636:L638)</f>
        <v>68500</v>
      </c>
      <c r="M635" s="157">
        <f t="shared" si="349"/>
        <v>0</v>
      </c>
      <c r="N635" s="157">
        <f t="shared" si="349"/>
        <v>0</v>
      </c>
      <c r="O635" s="157">
        <f t="shared" si="349"/>
        <v>0</v>
      </c>
      <c r="P635" s="270">
        <f t="shared" si="349"/>
        <v>0</v>
      </c>
      <c r="Q635" s="284">
        <f t="shared" si="349"/>
        <v>68500</v>
      </c>
      <c r="R635" s="39" t="s">
        <v>758</v>
      </c>
      <c r="S635" s="115" t="s">
        <v>665</v>
      </c>
      <c r="T635" s="51"/>
    </row>
    <row r="636" spans="1:20" x14ac:dyDescent="0.2">
      <c r="A636" s="95">
        <v>2</v>
      </c>
      <c r="B636" s="108" t="str">
        <f>IF(A636&lt;&gt;0,INDEX(Coûts,'PA-Détails'!A636, 2),)</f>
        <v>Assistance technique nationale (consultants)</v>
      </c>
      <c r="C636" s="51"/>
      <c r="D636" s="94" t="str">
        <f>IF(A636&lt;&gt;0,INDEX(Coûts, 'PA-Détails'!A636, 5),)</f>
        <v>Pers / j</v>
      </c>
      <c r="E636" s="96">
        <v>20</v>
      </c>
      <c r="F636" s="100"/>
      <c r="G636" s="100"/>
      <c r="H636" s="100"/>
      <c r="I636" s="100"/>
      <c r="J636" s="101">
        <f t="shared" si="342"/>
        <v>20</v>
      </c>
      <c r="K636" s="115">
        <f>IF(A636&lt;&gt;0,INDEX(Coûts, 'PA-Détails'!A636, 3),)</f>
        <v>300</v>
      </c>
      <c r="L636" s="37">
        <f t="shared" ref="L636:P638" si="350">ROUND(+$K636*E636,0)</f>
        <v>6000</v>
      </c>
      <c r="M636" s="36">
        <f t="shared" si="350"/>
        <v>0</v>
      </c>
      <c r="N636" s="36">
        <f t="shared" si="350"/>
        <v>0</v>
      </c>
      <c r="O636" s="36">
        <f t="shared" si="350"/>
        <v>0</v>
      </c>
      <c r="P636" s="268">
        <f t="shared" si="350"/>
        <v>0</v>
      </c>
      <c r="Q636" s="281">
        <f>SUM(L636:P636)</f>
        <v>6000</v>
      </c>
      <c r="R636" s="39"/>
      <c r="S636" s="115"/>
      <c r="T636" s="51"/>
    </row>
    <row r="637" spans="1:20" x14ac:dyDescent="0.2">
      <c r="A637" s="95">
        <v>5</v>
      </c>
      <c r="B637" s="108" t="str">
        <f>IF(A637&lt;&gt;0,INDEX(Coûts,'PA-Détails'!A637, 2),)</f>
        <v>Atelier de validation</v>
      </c>
      <c r="C637" s="51"/>
      <c r="D637" s="94" t="str">
        <f>IF(A637&lt;&gt;0,INDEX(Coûts, 'PA-Détails'!A637, 5),)</f>
        <v>Pers / j</v>
      </c>
      <c r="E637" s="96">
        <v>50</v>
      </c>
      <c r="F637" s="100"/>
      <c r="G637" s="100"/>
      <c r="H637" s="100"/>
      <c r="I637" s="100"/>
      <c r="J637" s="101">
        <f t="shared" si="342"/>
        <v>50</v>
      </c>
      <c r="K637" s="115">
        <f>IF(A637&lt;&gt;0,INDEX(Coûts, 'PA-Détails'!A637, 3),)</f>
        <v>50</v>
      </c>
      <c r="L637" s="37">
        <f t="shared" si="350"/>
        <v>2500</v>
      </c>
      <c r="M637" s="36">
        <f t="shared" si="350"/>
        <v>0</v>
      </c>
      <c r="N637" s="36">
        <f t="shared" si="350"/>
        <v>0</v>
      </c>
      <c r="O637" s="36">
        <f t="shared" si="350"/>
        <v>0</v>
      </c>
      <c r="P637" s="268">
        <f t="shared" si="350"/>
        <v>0</v>
      </c>
      <c r="Q637" s="281">
        <f>SUM(L637:P637)</f>
        <v>2500</v>
      </c>
      <c r="R637" s="39"/>
      <c r="S637" s="115"/>
      <c r="T637" s="51"/>
    </row>
    <row r="638" spans="1:20" x14ac:dyDescent="0.2">
      <c r="A638" s="95">
        <v>12</v>
      </c>
      <c r="B638" s="108" t="str">
        <f>IF(A638&lt;&gt;0,INDEX(Coûts,'PA-Détails'!A638, 2),)</f>
        <v>Formation - Action et Formation de formateurs</v>
      </c>
      <c r="C638" s="51"/>
      <c r="D638" s="94" t="str">
        <f>IF(A638&lt;&gt;0,INDEX(Coûts, 'PA-Détails'!A638, 5),)</f>
        <v>Pers / j</v>
      </c>
      <c r="E638" s="96">
        <v>400</v>
      </c>
      <c r="F638" s="100"/>
      <c r="G638" s="100"/>
      <c r="H638" s="100"/>
      <c r="I638" s="100"/>
      <c r="J638" s="101">
        <f t="shared" si="342"/>
        <v>400</v>
      </c>
      <c r="K638" s="115">
        <f>IF(A638&lt;&gt;0,INDEX(Coûts, 'PA-Détails'!A638, 3),)</f>
        <v>150</v>
      </c>
      <c r="L638" s="37">
        <f t="shared" si="350"/>
        <v>60000</v>
      </c>
      <c r="M638" s="36">
        <f t="shared" si="350"/>
        <v>0</v>
      </c>
      <c r="N638" s="36">
        <f t="shared" si="350"/>
        <v>0</v>
      </c>
      <c r="O638" s="36">
        <f t="shared" si="350"/>
        <v>0</v>
      </c>
      <c r="P638" s="268">
        <f t="shared" si="350"/>
        <v>0</v>
      </c>
      <c r="Q638" s="281">
        <f>SUM(L638:P638)</f>
        <v>60000</v>
      </c>
      <c r="R638" s="39"/>
      <c r="S638" s="115"/>
      <c r="T638" s="51"/>
    </row>
    <row r="639" spans="1:20" x14ac:dyDescent="0.2">
      <c r="A639" s="20" t="s">
        <v>478</v>
      </c>
      <c r="B639" s="46"/>
      <c r="C639" s="51"/>
      <c r="D639" s="21"/>
      <c r="E639" s="96"/>
      <c r="F639" s="100"/>
      <c r="G639" s="100"/>
      <c r="H639" s="100"/>
      <c r="I639" s="100"/>
      <c r="J639" s="101">
        <f t="shared" si="342"/>
        <v>0</v>
      </c>
      <c r="K639" s="115"/>
      <c r="L639" s="161">
        <f t="shared" ref="L639:Q639" si="351">SUM(L640:L641)</f>
        <v>977336</v>
      </c>
      <c r="M639" s="157">
        <f t="shared" si="351"/>
        <v>977336</v>
      </c>
      <c r="N639" s="157">
        <f t="shared" si="351"/>
        <v>977336</v>
      </c>
      <c r="O639" s="157">
        <f t="shared" si="351"/>
        <v>977336</v>
      </c>
      <c r="P639" s="270">
        <f t="shared" si="351"/>
        <v>977336</v>
      </c>
      <c r="Q639" s="284">
        <f t="shared" si="351"/>
        <v>4886680</v>
      </c>
      <c r="R639" s="39" t="s">
        <v>758</v>
      </c>
      <c r="S639" s="115" t="s">
        <v>665</v>
      </c>
      <c r="T639" s="51"/>
    </row>
    <row r="640" spans="1:20" x14ac:dyDescent="0.2">
      <c r="A640" s="95">
        <v>37</v>
      </c>
      <c r="B640" s="108" t="str">
        <f>IF(A640&lt;&gt;0,INDEX(Coûts,'PA-Détails'!A640, 2),)</f>
        <v>Équipement de bibliothèque</v>
      </c>
      <c r="C640" s="51"/>
      <c r="D640" s="94" t="str">
        <f>IF(A640&lt;&gt;0,INDEX(Coûts, 'PA-Détails'!A640, 5),)</f>
        <v>Unité</v>
      </c>
      <c r="E640" s="96">
        <f>H!N50/10</f>
        <v>1628.8946267774418</v>
      </c>
      <c r="F640" s="100">
        <f>E640</f>
        <v>1628.8946267774418</v>
      </c>
      <c r="G640" s="100">
        <f>F640</f>
        <v>1628.8946267774418</v>
      </c>
      <c r="H640" s="100">
        <f>G640</f>
        <v>1628.8946267774418</v>
      </c>
      <c r="I640" s="100">
        <f>H640</f>
        <v>1628.8946267774418</v>
      </c>
      <c r="J640" s="101">
        <f t="shared" si="342"/>
        <v>8144.4731338872089</v>
      </c>
      <c r="K640" s="115">
        <f>IF(A640&lt;&gt;0,INDEX(Coûts, 'PA-Détails'!A640, 3),)</f>
        <v>500</v>
      </c>
      <c r="L640" s="37">
        <f t="shared" ref="L640:P643" si="352">ROUND(+$K640*E640,0)</f>
        <v>814447</v>
      </c>
      <c r="M640" s="36">
        <f t="shared" si="352"/>
        <v>814447</v>
      </c>
      <c r="N640" s="36">
        <f t="shared" si="352"/>
        <v>814447</v>
      </c>
      <c r="O640" s="36">
        <f t="shared" si="352"/>
        <v>814447</v>
      </c>
      <c r="P640" s="268">
        <f t="shared" si="352"/>
        <v>814447</v>
      </c>
      <c r="Q640" s="281">
        <f>SUM(L640:P640)</f>
        <v>4072235</v>
      </c>
      <c r="R640" s="22"/>
      <c r="S640" s="21"/>
      <c r="T640" s="51"/>
    </row>
    <row r="641" spans="1:20" x14ac:dyDescent="0.2">
      <c r="A641" s="95">
        <v>59</v>
      </c>
      <c r="B641" s="108" t="str">
        <f>IF(A641&lt;&gt;0,INDEX(Coûts,'PA-Détails'!A641, 2),)</f>
        <v>Acquisition et distribution de plaquettes/brochures/guides/livres</v>
      </c>
      <c r="C641" s="51"/>
      <c r="D641" s="94" t="str">
        <f>IF(A641&lt;&gt;0,INDEX(Coûts, 'PA-Détails'!A641, 5),)</f>
        <v>Unité</v>
      </c>
      <c r="E641" s="96">
        <f>50*E640</f>
        <v>81444.731338872094</v>
      </c>
      <c r="F641" s="100">
        <f>50*F640</f>
        <v>81444.731338872094</v>
      </c>
      <c r="G641" s="100">
        <f>50*G640</f>
        <v>81444.731338872094</v>
      </c>
      <c r="H641" s="100">
        <f>50*H640</f>
        <v>81444.731338872094</v>
      </c>
      <c r="I641" s="100">
        <f>50*I640</f>
        <v>81444.731338872094</v>
      </c>
      <c r="J641" s="101">
        <f t="shared" si="342"/>
        <v>407223.65669436048</v>
      </c>
      <c r="K641" s="115">
        <f>IF(A641&lt;&gt;0,INDEX(Coûts, 'PA-Détails'!A641, 3),)</f>
        <v>2</v>
      </c>
      <c r="L641" s="37">
        <f t="shared" si="352"/>
        <v>162889</v>
      </c>
      <c r="M641" s="36">
        <f t="shared" si="352"/>
        <v>162889</v>
      </c>
      <c r="N641" s="36">
        <f t="shared" si="352"/>
        <v>162889</v>
      </c>
      <c r="O641" s="36">
        <f t="shared" si="352"/>
        <v>162889</v>
      </c>
      <c r="P641" s="268">
        <f t="shared" si="352"/>
        <v>162889</v>
      </c>
      <c r="Q641" s="281">
        <f>SUM(L641:P641)</f>
        <v>814445</v>
      </c>
      <c r="R641" s="22"/>
      <c r="S641" s="21"/>
      <c r="T641" s="51"/>
    </row>
    <row r="642" spans="1:20" x14ac:dyDescent="0.2">
      <c r="A642" s="14" t="s">
        <v>762</v>
      </c>
      <c r="B642" s="44"/>
      <c r="C642" s="112"/>
      <c r="D642" s="15"/>
      <c r="E642" s="102"/>
      <c r="F642" s="103"/>
      <c r="G642" s="103"/>
      <c r="H642" s="103"/>
      <c r="I642" s="103"/>
      <c r="J642" s="104">
        <f t="shared" si="342"/>
        <v>0</v>
      </c>
      <c r="K642" s="145"/>
      <c r="L642" s="33">
        <f t="shared" si="352"/>
        <v>0</v>
      </c>
      <c r="M642" s="32">
        <f t="shared" si="352"/>
        <v>0</v>
      </c>
      <c r="N642" s="32">
        <f t="shared" si="352"/>
        <v>0</v>
      </c>
      <c r="O642" s="32">
        <f t="shared" si="352"/>
        <v>0</v>
      </c>
      <c r="P642" s="267">
        <f t="shared" si="352"/>
        <v>0</v>
      </c>
      <c r="Q642" s="278">
        <f>SUM(L642:P642)</f>
        <v>0</v>
      </c>
      <c r="R642" s="16"/>
      <c r="S642" s="15"/>
      <c r="T642" s="112">
        <v>2</v>
      </c>
    </row>
    <row r="643" spans="1:20" x14ac:dyDescent="0.2">
      <c r="A643" s="17" t="s">
        <v>479</v>
      </c>
      <c r="B643" s="45"/>
      <c r="C643" s="51" t="s">
        <v>426</v>
      </c>
      <c r="D643" s="18"/>
      <c r="E643" s="97"/>
      <c r="F643" s="98"/>
      <c r="G643" s="98"/>
      <c r="H643" s="98"/>
      <c r="I643" s="98"/>
      <c r="J643" s="99">
        <f t="shared" si="342"/>
        <v>0</v>
      </c>
      <c r="K643" s="116"/>
      <c r="L643" s="35">
        <f t="shared" si="352"/>
        <v>0</v>
      </c>
      <c r="M643" s="34">
        <f t="shared" si="352"/>
        <v>0</v>
      </c>
      <c r="N643" s="34">
        <f t="shared" si="352"/>
        <v>0</v>
      </c>
      <c r="O643" s="34">
        <f t="shared" si="352"/>
        <v>0</v>
      </c>
      <c r="P643" s="269">
        <f t="shared" si="352"/>
        <v>0</v>
      </c>
      <c r="Q643" s="279">
        <f>SUM(L643:P643)</f>
        <v>0</v>
      </c>
      <c r="R643" s="19"/>
      <c r="S643" s="18"/>
      <c r="T643" s="51"/>
    </row>
    <row r="644" spans="1:20" x14ac:dyDescent="0.2">
      <c r="A644" s="20" t="s">
        <v>480</v>
      </c>
      <c r="B644" s="46"/>
      <c r="C644" s="51"/>
      <c r="D644" s="21"/>
      <c r="E644" s="96"/>
      <c r="F644" s="100"/>
      <c r="G644" s="100"/>
      <c r="H644" s="100"/>
      <c r="I644" s="100"/>
      <c r="J644" s="101">
        <f t="shared" si="342"/>
        <v>0</v>
      </c>
      <c r="K644" s="115"/>
      <c r="L644" s="161">
        <f t="shared" ref="L644:Q644" si="353">SUM(L645:L646)</f>
        <v>8500</v>
      </c>
      <c r="M644" s="157">
        <f t="shared" si="353"/>
        <v>0</v>
      </c>
      <c r="N644" s="157">
        <f t="shared" si="353"/>
        <v>0</v>
      </c>
      <c r="O644" s="157">
        <f t="shared" si="353"/>
        <v>0</v>
      </c>
      <c r="P644" s="270">
        <f t="shared" si="353"/>
        <v>0</v>
      </c>
      <c r="Q644" s="284">
        <f t="shared" si="353"/>
        <v>8500</v>
      </c>
      <c r="R644" s="39" t="s">
        <v>763</v>
      </c>
      <c r="S644" s="115" t="s">
        <v>670</v>
      </c>
      <c r="T644" s="51"/>
    </row>
    <row r="645" spans="1:20" x14ac:dyDescent="0.2">
      <c r="A645" s="95">
        <v>2</v>
      </c>
      <c r="B645" s="108" t="str">
        <f>IF(A645&lt;&gt;0,INDEX(Coûts,'PA-Détails'!A645, 2),)</f>
        <v>Assistance technique nationale (consultants)</v>
      </c>
      <c r="C645" s="51"/>
      <c r="D645" s="94" t="str">
        <f>IF(A645&lt;&gt;0,INDEX(Coûts, 'PA-Détails'!A645, 5),)</f>
        <v>Pers / j</v>
      </c>
      <c r="E645" s="96">
        <v>20</v>
      </c>
      <c r="F645" s="100"/>
      <c r="G645" s="100"/>
      <c r="H645" s="100"/>
      <c r="I645" s="100"/>
      <c r="J645" s="101">
        <f t="shared" si="342"/>
        <v>20</v>
      </c>
      <c r="K645" s="115">
        <f>IF(A645&lt;&gt;0,INDEX(Coûts, 'PA-Détails'!A645, 3),)</f>
        <v>300</v>
      </c>
      <c r="L645" s="37">
        <f t="shared" ref="L645:P646" si="354">ROUND(+$K645*E645,0)</f>
        <v>6000</v>
      </c>
      <c r="M645" s="36">
        <f t="shared" si="354"/>
        <v>0</v>
      </c>
      <c r="N645" s="36">
        <f t="shared" si="354"/>
        <v>0</v>
      </c>
      <c r="O645" s="36">
        <f t="shared" si="354"/>
        <v>0</v>
      </c>
      <c r="P645" s="268">
        <f t="shared" si="354"/>
        <v>0</v>
      </c>
      <c r="Q645" s="281">
        <f>SUM(L645:P645)</f>
        <v>6000</v>
      </c>
      <c r="R645" s="22"/>
      <c r="S645" s="21"/>
      <c r="T645" s="51"/>
    </row>
    <row r="646" spans="1:20" x14ac:dyDescent="0.2">
      <c r="A646" s="95">
        <v>5</v>
      </c>
      <c r="B646" s="108" t="str">
        <f>IF(A646&lt;&gt;0,INDEX(Coûts,'PA-Détails'!A646, 2),)</f>
        <v>Atelier de validation</v>
      </c>
      <c r="C646" s="51"/>
      <c r="D646" s="94" t="str">
        <f>IF(A646&lt;&gt;0,INDEX(Coûts, 'PA-Détails'!A646, 5),)</f>
        <v>Pers / j</v>
      </c>
      <c r="E646" s="96">
        <v>50</v>
      </c>
      <c r="F646" s="100"/>
      <c r="G646" s="100"/>
      <c r="H646" s="100"/>
      <c r="I646" s="100"/>
      <c r="J646" s="101">
        <f t="shared" si="342"/>
        <v>50</v>
      </c>
      <c r="K646" s="115">
        <f>IF(A646&lt;&gt;0,INDEX(Coûts, 'PA-Détails'!A646, 3),)</f>
        <v>50</v>
      </c>
      <c r="L646" s="37">
        <f t="shared" si="354"/>
        <v>2500</v>
      </c>
      <c r="M646" s="36">
        <f t="shared" si="354"/>
        <v>0</v>
      </c>
      <c r="N646" s="36">
        <f t="shared" si="354"/>
        <v>0</v>
      </c>
      <c r="O646" s="36">
        <f t="shared" si="354"/>
        <v>0</v>
      </c>
      <c r="P646" s="268">
        <f t="shared" si="354"/>
        <v>0</v>
      </c>
      <c r="Q646" s="281">
        <f>SUM(L646:P646)</f>
        <v>2500</v>
      </c>
      <c r="R646" s="22"/>
      <c r="S646" s="21"/>
      <c r="T646" s="51"/>
    </row>
    <row r="647" spans="1:20" x14ac:dyDescent="0.2">
      <c r="A647" s="20" t="s">
        <v>481</v>
      </c>
      <c r="B647" s="46"/>
      <c r="C647" s="51"/>
      <c r="D647" s="21"/>
      <c r="E647" s="96"/>
      <c r="F647" s="100"/>
      <c r="G647" s="100"/>
      <c r="H647" s="100"/>
      <c r="I647" s="100"/>
      <c r="J647" s="101">
        <f t="shared" si="342"/>
        <v>0</v>
      </c>
      <c r="K647" s="115"/>
      <c r="L647" s="161">
        <f t="shared" ref="L647:Q647" si="355">SUM(L648:L649)</f>
        <v>3288000</v>
      </c>
      <c r="M647" s="157">
        <f t="shared" si="355"/>
        <v>0</v>
      </c>
      <c r="N647" s="157">
        <f t="shared" si="355"/>
        <v>3288000</v>
      </c>
      <c r="O647" s="157">
        <f t="shared" si="355"/>
        <v>0</v>
      </c>
      <c r="P647" s="270">
        <f t="shared" si="355"/>
        <v>3288000</v>
      </c>
      <c r="Q647" s="284">
        <f t="shared" si="355"/>
        <v>9864000</v>
      </c>
      <c r="R647" s="39" t="s">
        <v>763</v>
      </c>
      <c r="S647" s="115" t="s">
        <v>670</v>
      </c>
      <c r="T647" s="51"/>
    </row>
    <row r="648" spans="1:20" x14ac:dyDescent="0.2">
      <c r="A648" s="95">
        <v>12</v>
      </c>
      <c r="B648" s="108" t="str">
        <f>IF(A648&lt;&gt;0,INDEX(Coûts,'PA-Détails'!A648, 2),)</f>
        <v>Formation - Action et Formation de formateurs</v>
      </c>
      <c r="C648" s="51"/>
      <c r="D648" s="94" t="str">
        <f>IF(A648&lt;&gt;0,INDEX(Coûts, 'PA-Détails'!A648, 5),)</f>
        <v>Pers / j</v>
      </c>
      <c r="E648" s="96">
        <f>ROUND(E649/100,-2)</f>
        <v>2000</v>
      </c>
      <c r="F648" s="100"/>
      <c r="G648" s="100">
        <f>E648</f>
        <v>2000</v>
      </c>
      <c r="H648" s="100"/>
      <c r="I648" s="100">
        <f>G648</f>
        <v>2000</v>
      </c>
      <c r="J648" s="101">
        <f t="shared" si="342"/>
        <v>6000</v>
      </c>
      <c r="K648" s="115">
        <f>IF(A648&lt;&gt;0,INDEX(Coûts, 'PA-Détails'!A648, 3),)</f>
        <v>150</v>
      </c>
      <c r="L648" s="37">
        <f t="shared" ref="L648:P651" si="356">ROUND(+$K648*E648,0)</f>
        <v>300000</v>
      </c>
      <c r="M648" s="36">
        <f t="shared" si="356"/>
        <v>0</v>
      </c>
      <c r="N648" s="36">
        <f t="shared" si="356"/>
        <v>300000</v>
      </c>
      <c r="O648" s="36">
        <f t="shared" si="356"/>
        <v>0</v>
      </c>
      <c r="P648" s="268">
        <f t="shared" si="356"/>
        <v>300000</v>
      </c>
      <c r="Q648" s="281">
        <f>SUM(L648:P648)</f>
        <v>900000</v>
      </c>
      <c r="R648" s="22"/>
      <c r="S648" s="21"/>
      <c r="T648" s="51"/>
    </row>
    <row r="649" spans="1:20" x14ac:dyDescent="0.2">
      <c r="A649" s="95">
        <v>13</v>
      </c>
      <c r="B649" s="108" t="str">
        <f>IF(A649&lt;&gt;0,INDEX(Coûts,'PA-Détails'!A649, 2),)</f>
        <v>Formation au niveau local</v>
      </c>
      <c r="C649" s="51"/>
      <c r="D649" s="94" t="str">
        <f>IF(A649&lt;&gt;0,INDEX(Coûts, 'PA-Détails'!A649, 5),)</f>
        <v>Pers / j</v>
      </c>
      <c r="E649" s="96">
        <f>H!E15*15/10</f>
        <v>199200</v>
      </c>
      <c r="F649" s="100"/>
      <c r="G649" s="100">
        <f>E649</f>
        <v>199200</v>
      </c>
      <c r="H649" s="100"/>
      <c r="I649" s="100">
        <f>G649</f>
        <v>199200</v>
      </c>
      <c r="J649" s="101">
        <f t="shared" si="342"/>
        <v>597600</v>
      </c>
      <c r="K649" s="115">
        <f>IF(A649&lt;&gt;0,INDEX(Coûts, 'PA-Détails'!A649, 3),)</f>
        <v>15</v>
      </c>
      <c r="L649" s="37">
        <f t="shared" si="356"/>
        <v>2988000</v>
      </c>
      <c r="M649" s="36">
        <f t="shared" si="356"/>
        <v>0</v>
      </c>
      <c r="N649" s="36">
        <f t="shared" si="356"/>
        <v>2988000</v>
      </c>
      <c r="O649" s="36">
        <f t="shared" si="356"/>
        <v>0</v>
      </c>
      <c r="P649" s="268">
        <f t="shared" si="356"/>
        <v>2988000</v>
      </c>
      <c r="Q649" s="281">
        <f>SUM(L649:P649)</f>
        <v>8964000</v>
      </c>
      <c r="R649" s="22"/>
      <c r="S649" s="21"/>
      <c r="T649" s="51"/>
    </row>
    <row r="650" spans="1:20" x14ac:dyDescent="0.2">
      <c r="A650" s="14" t="s">
        <v>764</v>
      </c>
      <c r="B650" s="44"/>
      <c r="C650" s="112"/>
      <c r="D650" s="15"/>
      <c r="E650" s="102"/>
      <c r="F650" s="103"/>
      <c r="G650" s="103"/>
      <c r="H650" s="103"/>
      <c r="I650" s="103"/>
      <c r="J650" s="104">
        <f t="shared" si="342"/>
        <v>0</v>
      </c>
      <c r="K650" s="145"/>
      <c r="L650" s="33">
        <f t="shared" si="356"/>
        <v>0</v>
      </c>
      <c r="M650" s="32">
        <f t="shared" si="356"/>
        <v>0</v>
      </c>
      <c r="N650" s="32">
        <f t="shared" si="356"/>
        <v>0</v>
      </c>
      <c r="O650" s="32">
        <f t="shared" si="356"/>
        <v>0</v>
      </c>
      <c r="P650" s="267">
        <f t="shared" si="356"/>
        <v>0</v>
      </c>
      <c r="Q650" s="278">
        <f>SUM(L650:P650)</f>
        <v>0</v>
      </c>
      <c r="R650" s="40"/>
      <c r="S650" s="145"/>
      <c r="T650" s="49">
        <v>3</v>
      </c>
    </row>
    <row r="651" spans="1:20" x14ac:dyDescent="0.2">
      <c r="A651" s="17" t="s">
        <v>82</v>
      </c>
      <c r="B651" s="45"/>
      <c r="C651" s="51"/>
      <c r="D651" s="18"/>
      <c r="E651" s="97"/>
      <c r="F651" s="98"/>
      <c r="G651" s="98"/>
      <c r="H651" s="98"/>
      <c r="I651" s="98"/>
      <c r="J651" s="99">
        <f t="shared" si="342"/>
        <v>0</v>
      </c>
      <c r="K651" s="116"/>
      <c r="L651" s="35">
        <f t="shared" si="356"/>
        <v>0</v>
      </c>
      <c r="M651" s="34">
        <f t="shared" si="356"/>
        <v>0</v>
      </c>
      <c r="N651" s="34">
        <f t="shared" si="356"/>
        <v>0</v>
      </c>
      <c r="O651" s="34">
        <f t="shared" si="356"/>
        <v>0</v>
      </c>
      <c r="P651" s="269">
        <f t="shared" si="356"/>
        <v>0</v>
      </c>
      <c r="Q651" s="279">
        <f>SUM(L651:P651)</f>
        <v>0</v>
      </c>
      <c r="R651" s="38"/>
      <c r="S651" s="116"/>
      <c r="T651" s="50"/>
    </row>
    <row r="652" spans="1:20" x14ac:dyDescent="0.2">
      <c r="A652" s="20" t="s">
        <v>1080</v>
      </c>
      <c r="B652" s="149"/>
      <c r="C652" s="51"/>
      <c r="D652" s="21"/>
      <c r="E652" s="96"/>
      <c r="F652" s="100"/>
      <c r="G652" s="100"/>
      <c r="H652" s="100"/>
      <c r="I652" s="100"/>
      <c r="J652" s="101">
        <f t="shared" si="342"/>
        <v>0</v>
      </c>
      <c r="K652" s="115"/>
      <c r="L652" s="161">
        <f t="shared" ref="L652:Q652" si="357">SUM(L653:L655)</f>
        <v>0</v>
      </c>
      <c r="M652" s="157">
        <f t="shared" si="357"/>
        <v>3135000</v>
      </c>
      <c r="N652" s="157">
        <f t="shared" si="357"/>
        <v>2625000</v>
      </c>
      <c r="O652" s="157">
        <f t="shared" si="357"/>
        <v>0</v>
      </c>
      <c r="P652" s="270">
        <f t="shared" si="357"/>
        <v>0</v>
      </c>
      <c r="Q652" s="284">
        <f t="shared" si="357"/>
        <v>5760000</v>
      </c>
      <c r="R652" s="39" t="s">
        <v>752</v>
      </c>
      <c r="S652" s="115" t="s">
        <v>665</v>
      </c>
      <c r="T652" s="51"/>
    </row>
    <row r="653" spans="1:20" x14ac:dyDescent="0.2">
      <c r="A653" s="95">
        <v>41</v>
      </c>
      <c r="B653" s="108" t="str">
        <f>IF(A653&lt;&gt;0,INDEX(Coûts,'PA-Détails'!A653, 2),)</f>
        <v>Achat de Moto</v>
      </c>
      <c r="C653" s="51"/>
      <c r="D653" s="94" t="str">
        <f>IF(A653&lt;&gt;0,INDEX(Coûts, 'PA-Détails'!A653, 5),)</f>
        <v>Unité</v>
      </c>
      <c r="E653" s="96"/>
      <c r="F653" s="100">
        <f>H!C142/2</f>
        <v>875</v>
      </c>
      <c r="G653" s="100">
        <f>F653</f>
        <v>875</v>
      </c>
      <c r="H653" s="100"/>
      <c r="I653" s="100"/>
      <c r="J653" s="101">
        <f t="shared" si="342"/>
        <v>1750</v>
      </c>
      <c r="K653" s="115">
        <f>IF(A653&lt;&gt;0,INDEX(Coûts, 'PA-Détails'!A653, 3),)</f>
        <v>3000</v>
      </c>
      <c r="L653" s="37">
        <f t="shared" ref="L653:P656" si="358">ROUND(+$K653*E653,0)</f>
        <v>0</v>
      </c>
      <c r="M653" s="36">
        <f t="shared" si="358"/>
        <v>2625000</v>
      </c>
      <c r="N653" s="36">
        <f t="shared" si="358"/>
        <v>2625000</v>
      </c>
      <c r="O653" s="36">
        <f t="shared" si="358"/>
        <v>0</v>
      </c>
      <c r="P653" s="268">
        <f t="shared" si="358"/>
        <v>0</v>
      </c>
      <c r="Q653" s="281">
        <f>SUM(L653:P653)</f>
        <v>5250000</v>
      </c>
      <c r="R653" s="39"/>
      <c r="S653" s="115"/>
      <c r="T653" s="51"/>
    </row>
    <row r="654" spans="1:20" x14ac:dyDescent="0.2">
      <c r="A654" s="95">
        <v>40</v>
      </c>
      <c r="B654" s="108" t="str">
        <f>IF(A654&lt;&gt;0,INDEX(Coûts,'PA-Détails'!A654, 2),)</f>
        <v>Achat Voiture et ou Jeep (4x4)</v>
      </c>
      <c r="C654" s="51"/>
      <c r="D654" s="94" t="str">
        <f>IF(A654&lt;&gt;0,INDEX(Coûts, 'PA-Détails'!A654, 5),)</f>
        <v>Unité</v>
      </c>
      <c r="E654" s="96"/>
      <c r="F654" s="100">
        <f>30/2</f>
        <v>15</v>
      </c>
      <c r="G654" s="100"/>
      <c r="H654" s="100"/>
      <c r="I654" s="100"/>
      <c r="J654" s="101">
        <f t="shared" si="342"/>
        <v>15</v>
      </c>
      <c r="K654" s="115">
        <f>IF(A654&lt;&gt;0,INDEX(Coûts, 'PA-Détails'!A654, 3),)</f>
        <v>30000</v>
      </c>
      <c r="L654" s="37">
        <f t="shared" si="358"/>
        <v>0</v>
      </c>
      <c r="M654" s="36">
        <f t="shared" si="358"/>
        <v>450000</v>
      </c>
      <c r="N654" s="36">
        <f t="shared" si="358"/>
        <v>0</v>
      </c>
      <c r="O654" s="36">
        <f t="shared" si="358"/>
        <v>0</v>
      </c>
      <c r="P654" s="268">
        <f t="shared" si="358"/>
        <v>0</v>
      </c>
      <c r="Q654" s="281">
        <f>SUM(L654:P654)</f>
        <v>450000</v>
      </c>
      <c r="R654" s="39"/>
      <c r="S654" s="115"/>
      <c r="T654" s="51"/>
    </row>
    <row r="655" spans="1:20" x14ac:dyDescent="0.2">
      <c r="A655" s="95">
        <v>43</v>
      </c>
      <c r="B655" s="108" t="str">
        <f>IF(A655&lt;&gt;0,INDEX(Coûts,'PA-Détails'!A655, 2),)</f>
        <v>Pirogues Motorisées</v>
      </c>
      <c r="C655" s="51"/>
      <c r="D655" s="94" t="str">
        <f>IF(A655&lt;&gt;0,INDEX(Coûts, 'PA-Détails'!A655, 5),)</f>
        <v>Unité</v>
      </c>
      <c r="E655" s="96"/>
      <c r="F655" s="100">
        <f>40</f>
        <v>40</v>
      </c>
      <c r="G655" s="100"/>
      <c r="H655" s="100"/>
      <c r="I655" s="100"/>
      <c r="J655" s="101">
        <f t="shared" si="342"/>
        <v>40</v>
      </c>
      <c r="K655" s="115">
        <f>IF(A655&lt;&gt;0,INDEX(Coûts, 'PA-Détails'!A655, 3),)</f>
        <v>1500</v>
      </c>
      <c r="L655" s="37">
        <f t="shared" si="358"/>
        <v>0</v>
      </c>
      <c r="M655" s="36">
        <f t="shared" si="358"/>
        <v>60000</v>
      </c>
      <c r="N655" s="36">
        <f t="shared" si="358"/>
        <v>0</v>
      </c>
      <c r="O655" s="36">
        <f t="shared" si="358"/>
        <v>0</v>
      </c>
      <c r="P655" s="268">
        <f t="shared" si="358"/>
        <v>0</v>
      </c>
      <c r="Q655" s="281">
        <f>SUM(L655:P655)</f>
        <v>60000</v>
      </c>
      <c r="R655" s="39"/>
      <c r="S655" s="115"/>
      <c r="T655" s="51"/>
    </row>
    <row r="656" spans="1:20" x14ac:dyDescent="0.2">
      <c r="A656" s="17" t="s">
        <v>83</v>
      </c>
      <c r="B656" s="45"/>
      <c r="C656" s="51"/>
      <c r="D656" s="18"/>
      <c r="E656" s="97"/>
      <c r="F656" s="98"/>
      <c r="G656" s="98"/>
      <c r="H656" s="98"/>
      <c r="I656" s="98"/>
      <c r="J656" s="99">
        <f t="shared" si="342"/>
        <v>0</v>
      </c>
      <c r="K656" s="116"/>
      <c r="L656" s="35">
        <f t="shared" si="358"/>
        <v>0</v>
      </c>
      <c r="M656" s="34">
        <f t="shared" si="358"/>
        <v>0</v>
      </c>
      <c r="N656" s="34">
        <f t="shared" si="358"/>
        <v>0</v>
      </c>
      <c r="O656" s="34">
        <f t="shared" si="358"/>
        <v>0</v>
      </c>
      <c r="P656" s="269">
        <f t="shared" si="358"/>
        <v>0</v>
      </c>
      <c r="Q656" s="279">
        <f>SUM(L656:P656)</f>
        <v>0</v>
      </c>
      <c r="R656" s="38"/>
      <c r="S656" s="116"/>
      <c r="T656" s="50"/>
    </row>
    <row r="657" spans="1:26" x14ac:dyDescent="0.2">
      <c r="A657" s="20" t="s">
        <v>1081</v>
      </c>
      <c r="B657" s="149"/>
      <c r="C657" s="51" t="s">
        <v>609</v>
      </c>
      <c r="D657" s="21"/>
      <c r="E657" s="96"/>
      <c r="F657" s="100"/>
      <c r="G657" s="100"/>
      <c r="H657" s="100"/>
      <c r="I657" s="100"/>
      <c r="J657" s="101">
        <f t="shared" si="342"/>
        <v>0</v>
      </c>
      <c r="K657" s="115"/>
      <c r="L657" s="161">
        <f t="shared" ref="L657:Q657" si="359">SUM(L658:L658)</f>
        <v>0</v>
      </c>
      <c r="M657" s="157">
        <f t="shared" si="359"/>
        <v>0</v>
      </c>
      <c r="N657" s="157">
        <f t="shared" si="359"/>
        <v>2100000</v>
      </c>
      <c r="O657" s="157">
        <f t="shared" si="359"/>
        <v>2100000</v>
      </c>
      <c r="P657" s="270">
        <f t="shared" si="359"/>
        <v>2100000</v>
      </c>
      <c r="Q657" s="284">
        <f t="shared" si="359"/>
        <v>6300000</v>
      </c>
      <c r="R657" s="39" t="s">
        <v>752</v>
      </c>
      <c r="S657" s="115" t="s">
        <v>663</v>
      </c>
      <c r="T657" s="51"/>
    </row>
    <row r="658" spans="1:26" x14ac:dyDescent="0.2">
      <c r="A658" s="95">
        <v>217</v>
      </c>
      <c r="B658" s="108" t="str">
        <f>IF(A658&lt;&gt;0,INDEX(Coûts,'PA-Détails'!A658, 2),)</f>
        <v>Primes d'itinérance (Inspecteurs itinérants)</v>
      </c>
      <c r="C658" s="51"/>
      <c r="D658" s="94" t="str">
        <f>IF(A658&lt;&gt;0,INDEX(Coûts, 'PA-Détails'!A658, 5),)</f>
        <v>Prime/an</v>
      </c>
      <c r="E658" s="96"/>
      <c r="F658" s="100"/>
      <c r="G658" s="188">
        <f>H!C142</f>
        <v>1750</v>
      </c>
      <c r="H658" s="100">
        <f>G658</f>
        <v>1750</v>
      </c>
      <c r="I658" s="100">
        <f>H658</f>
        <v>1750</v>
      </c>
      <c r="J658" s="101">
        <f t="shared" si="342"/>
        <v>5250</v>
      </c>
      <c r="K658" s="115">
        <f>IF(A658&lt;&gt;0,INDEX(Coûts, 'PA-Détails'!A658, 3),)</f>
        <v>1200</v>
      </c>
      <c r="L658" s="37">
        <f t="shared" ref="L658:P659" si="360">ROUND(+$K658*E658,0)</f>
        <v>0</v>
      </c>
      <c r="M658" s="36">
        <f t="shared" si="360"/>
        <v>0</v>
      </c>
      <c r="N658" s="36">
        <f t="shared" si="360"/>
        <v>2100000</v>
      </c>
      <c r="O658" s="36">
        <f t="shared" si="360"/>
        <v>2100000</v>
      </c>
      <c r="P658" s="268">
        <f t="shared" si="360"/>
        <v>2100000</v>
      </c>
      <c r="Q658" s="281">
        <f>SUM(L658:P658)</f>
        <v>6300000</v>
      </c>
      <c r="R658" s="39"/>
      <c r="S658" s="115"/>
      <c r="T658" s="51"/>
    </row>
    <row r="659" spans="1:26" x14ac:dyDescent="0.2">
      <c r="A659" s="17" t="s">
        <v>84</v>
      </c>
      <c r="B659" s="45"/>
      <c r="C659" s="51"/>
      <c r="D659" s="18"/>
      <c r="E659" s="97"/>
      <c r="F659" s="98"/>
      <c r="G659" s="98"/>
      <c r="H659" s="98"/>
      <c r="I659" s="98"/>
      <c r="J659" s="99">
        <f t="shared" si="342"/>
        <v>0</v>
      </c>
      <c r="K659" s="116"/>
      <c r="L659" s="35">
        <f t="shared" si="360"/>
        <v>0</v>
      </c>
      <c r="M659" s="34">
        <f t="shared" si="360"/>
        <v>0</v>
      </c>
      <c r="N659" s="34">
        <f t="shared" si="360"/>
        <v>0</v>
      </c>
      <c r="O659" s="34">
        <f t="shared" si="360"/>
        <v>0</v>
      </c>
      <c r="P659" s="269">
        <f t="shared" si="360"/>
        <v>0</v>
      </c>
      <c r="Q659" s="279">
        <f>SUM(L659:P659)</f>
        <v>0</v>
      </c>
      <c r="R659" s="38"/>
      <c r="S659" s="116"/>
      <c r="T659" s="50"/>
    </row>
    <row r="660" spans="1:26" x14ac:dyDescent="0.2">
      <c r="A660" s="20" t="s">
        <v>1082</v>
      </c>
      <c r="B660" s="149"/>
      <c r="C660" s="51" t="s">
        <v>928</v>
      </c>
      <c r="D660" s="21"/>
      <c r="E660" s="96"/>
      <c r="F660" s="100"/>
      <c r="G660" s="100"/>
      <c r="H660" s="100"/>
      <c r="I660" s="100"/>
      <c r="J660" s="101">
        <f t="shared" si="342"/>
        <v>0</v>
      </c>
      <c r="K660" s="115"/>
      <c r="L660" s="161">
        <f t="shared" ref="L660:Q660" si="361">SUM(L661:L662)</f>
        <v>0</v>
      </c>
      <c r="M660" s="157">
        <f t="shared" si="361"/>
        <v>1968500</v>
      </c>
      <c r="N660" s="157">
        <f t="shared" si="361"/>
        <v>1312500</v>
      </c>
      <c r="O660" s="157">
        <f t="shared" si="361"/>
        <v>0</v>
      </c>
      <c r="P660" s="270">
        <f t="shared" si="361"/>
        <v>0</v>
      </c>
      <c r="Q660" s="284">
        <f t="shared" si="361"/>
        <v>3281000</v>
      </c>
      <c r="R660" s="39" t="s">
        <v>754</v>
      </c>
      <c r="S660" s="115" t="s">
        <v>700</v>
      </c>
      <c r="T660" s="51"/>
    </row>
    <row r="661" spans="1:26" x14ac:dyDescent="0.2">
      <c r="A661" s="95">
        <v>45</v>
      </c>
      <c r="B661" s="108" t="str">
        <f>IF(A661&lt;&gt;0,INDEX(Coûts,'PA-Détails'!A661, 2),)</f>
        <v>Équipement informatique (lot PC, logiciel,  imprimante, photocopieuse, scanner)</v>
      </c>
      <c r="C661" s="51"/>
      <c r="D661" s="94" t="str">
        <f>IF(A661&lt;&gt;0,INDEX(Coûts, 'PA-Détails'!A661, 5),)</f>
        <v>Forfait</v>
      </c>
      <c r="E661" s="96"/>
      <c r="F661" s="100">
        <f>F653</f>
        <v>875</v>
      </c>
      <c r="G661" s="100">
        <f>G653</f>
        <v>875</v>
      </c>
      <c r="H661" s="100"/>
      <c r="I661" s="100"/>
      <c r="J661" s="101">
        <f t="shared" si="342"/>
        <v>1750</v>
      </c>
      <c r="K661" s="115">
        <f>IF(A661&lt;&gt;0,INDEX(Coûts, 'PA-Détails'!A661, 3),)</f>
        <v>1500</v>
      </c>
      <c r="L661" s="37">
        <f t="shared" ref="L661:P665" si="362">ROUND(+$K661*E661,0)</f>
        <v>0</v>
      </c>
      <c r="M661" s="36">
        <f t="shared" si="362"/>
        <v>1312500</v>
      </c>
      <c r="N661" s="36">
        <f t="shared" si="362"/>
        <v>1312500</v>
      </c>
      <c r="O661" s="36">
        <f t="shared" si="362"/>
        <v>0</v>
      </c>
      <c r="P661" s="268">
        <f t="shared" si="362"/>
        <v>0</v>
      </c>
      <c r="Q661" s="281">
        <f>SUM(L661:P661)</f>
        <v>2625000</v>
      </c>
      <c r="R661" s="39"/>
      <c r="S661" s="115"/>
      <c r="T661" s="51"/>
    </row>
    <row r="662" spans="1:26" x14ac:dyDescent="0.2">
      <c r="A662" s="95">
        <v>56</v>
      </c>
      <c r="B662" s="108" t="str">
        <f>IF(A662&lt;&gt;0,INDEX(Coûts,'PA-Détails'!A662, 2),)</f>
        <v>Energie Solaire (voltaique)</v>
      </c>
      <c r="C662" s="51"/>
      <c r="D662" s="94" t="str">
        <f>IF(A662&lt;&gt;0,INDEX(Coûts, 'PA-Détails'!A662, 5),)</f>
        <v>Forfait</v>
      </c>
      <c r="E662" s="96"/>
      <c r="F662" s="100">
        <v>328</v>
      </c>
      <c r="G662" s="100"/>
      <c r="H662" s="100"/>
      <c r="I662" s="100"/>
      <c r="J662" s="101">
        <f t="shared" si="342"/>
        <v>328</v>
      </c>
      <c r="K662" s="115">
        <f>IF(A662&lt;&gt;0,INDEX(Coûts, 'PA-Détails'!A662, 3),)</f>
        <v>2000</v>
      </c>
      <c r="L662" s="37">
        <f t="shared" si="362"/>
        <v>0</v>
      </c>
      <c r="M662" s="36">
        <f t="shared" si="362"/>
        <v>656000</v>
      </c>
      <c r="N662" s="36">
        <f t="shared" si="362"/>
        <v>0</v>
      </c>
      <c r="O662" s="36">
        <f t="shared" si="362"/>
        <v>0</v>
      </c>
      <c r="P662" s="268">
        <f t="shared" si="362"/>
        <v>0</v>
      </c>
      <c r="Q662" s="281">
        <f>SUM(L662:P662)</f>
        <v>656000</v>
      </c>
      <c r="R662" s="39"/>
      <c r="S662" s="115"/>
      <c r="T662" s="51"/>
    </row>
    <row r="663" spans="1:26" x14ac:dyDescent="0.2">
      <c r="A663" s="11" t="s">
        <v>765</v>
      </c>
      <c r="B663" s="13"/>
      <c r="C663" s="113"/>
      <c r="D663" s="12"/>
      <c r="E663" s="105"/>
      <c r="F663" s="106"/>
      <c r="G663" s="106"/>
      <c r="H663" s="106"/>
      <c r="I663" s="106"/>
      <c r="J663" s="107">
        <f t="shared" si="342"/>
        <v>0</v>
      </c>
      <c r="K663" s="144"/>
      <c r="L663" s="30">
        <f t="shared" si="362"/>
        <v>0</v>
      </c>
      <c r="M663" s="29">
        <f t="shared" si="362"/>
        <v>0</v>
      </c>
      <c r="N663" s="29">
        <f t="shared" si="362"/>
        <v>0</v>
      </c>
      <c r="O663" s="29">
        <f t="shared" si="362"/>
        <v>0</v>
      </c>
      <c r="P663" s="266">
        <f t="shared" si="362"/>
        <v>0</v>
      </c>
      <c r="Q663" s="277">
        <f>SUM(L663:P663)</f>
        <v>0</v>
      </c>
      <c r="R663" s="176"/>
      <c r="S663" s="177"/>
      <c r="T663" s="48"/>
      <c r="U663" s="653">
        <f>+SUM(Q6:Q662)/2</f>
        <v>4310801921.8711786</v>
      </c>
    </row>
    <row r="664" spans="1:26" x14ac:dyDescent="0.2">
      <c r="A664" s="14" t="s">
        <v>85</v>
      </c>
      <c r="B664" s="44"/>
      <c r="C664" s="112"/>
      <c r="D664" s="15"/>
      <c r="E664" s="102"/>
      <c r="F664" s="103"/>
      <c r="G664" s="103"/>
      <c r="H664" s="103"/>
      <c r="I664" s="103"/>
      <c r="J664" s="104">
        <f t="shared" si="342"/>
        <v>0</v>
      </c>
      <c r="K664" s="145"/>
      <c r="L664" s="33">
        <f t="shared" si="362"/>
        <v>0</v>
      </c>
      <c r="M664" s="32">
        <f t="shared" si="362"/>
        <v>0</v>
      </c>
      <c r="N664" s="32">
        <f t="shared" si="362"/>
        <v>0</v>
      </c>
      <c r="O664" s="32">
        <f t="shared" si="362"/>
        <v>0</v>
      </c>
      <c r="P664" s="267">
        <f t="shared" si="362"/>
        <v>0</v>
      </c>
      <c r="Q664" s="278">
        <f>SUM(L664:P664)</f>
        <v>0</v>
      </c>
      <c r="R664" s="178"/>
      <c r="S664" s="179"/>
      <c r="T664" s="49">
        <v>1</v>
      </c>
    </row>
    <row r="665" spans="1:26" x14ac:dyDescent="0.2">
      <c r="A665" s="17" t="s">
        <v>86</v>
      </c>
      <c r="B665" s="45"/>
      <c r="C665" s="329" t="s">
        <v>241</v>
      </c>
      <c r="D665" s="18"/>
      <c r="E665" s="97"/>
      <c r="F665" s="98"/>
      <c r="G665" s="98"/>
      <c r="H665" s="98"/>
      <c r="I665" s="98"/>
      <c r="J665" s="99">
        <f t="shared" si="342"/>
        <v>0</v>
      </c>
      <c r="K665" s="116"/>
      <c r="L665" s="35">
        <f t="shared" si="362"/>
        <v>0</v>
      </c>
      <c r="M665" s="34">
        <f t="shared" si="362"/>
        <v>0</v>
      </c>
      <c r="N665" s="34">
        <f t="shared" si="362"/>
        <v>0</v>
      </c>
      <c r="O665" s="34">
        <f t="shared" si="362"/>
        <v>0</v>
      </c>
      <c r="P665" s="269">
        <f t="shared" si="362"/>
        <v>0</v>
      </c>
      <c r="Q665" s="279">
        <f>SUM(L665:P665)</f>
        <v>0</v>
      </c>
      <c r="R665" s="180"/>
      <c r="S665" s="181"/>
      <c r="T665" s="50"/>
    </row>
    <row r="666" spans="1:26" x14ac:dyDescent="0.2">
      <c r="A666" s="20" t="s">
        <v>1083</v>
      </c>
      <c r="B666" s="46"/>
      <c r="C666" s="51"/>
      <c r="D666" s="21"/>
      <c r="E666" s="96"/>
      <c r="F666" s="100"/>
      <c r="G666" s="100"/>
      <c r="H666" s="100"/>
      <c r="I666" s="100"/>
      <c r="J666" s="101">
        <f t="shared" si="342"/>
        <v>0</v>
      </c>
      <c r="K666" s="115"/>
      <c r="L666" s="161">
        <f t="shared" ref="L666:Q666" si="363">SUM(L667:L668)</f>
        <v>11500</v>
      </c>
      <c r="M666" s="157">
        <f t="shared" si="363"/>
        <v>0</v>
      </c>
      <c r="N666" s="157">
        <f t="shared" si="363"/>
        <v>0</v>
      </c>
      <c r="O666" s="157">
        <f t="shared" si="363"/>
        <v>0</v>
      </c>
      <c r="P666" s="270">
        <f t="shared" si="363"/>
        <v>0</v>
      </c>
      <c r="Q666" s="284">
        <f t="shared" si="363"/>
        <v>11500</v>
      </c>
      <c r="R666" s="182" t="s">
        <v>758</v>
      </c>
      <c r="S666" s="183" t="s">
        <v>670</v>
      </c>
      <c r="T666" s="51"/>
    </row>
    <row r="667" spans="1:26" x14ac:dyDescent="0.2">
      <c r="A667" s="95">
        <v>2</v>
      </c>
      <c r="B667" s="108" t="str">
        <f>IF(A667&lt;&gt;0,INDEX(Coûts,'PA-Détails'!A667, 2),)</f>
        <v>Assistance technique nationale (consultants)</v>
      </c>
      <c r="C667" s="51"/>
      <c r="D667" s="94" t="str">
        <f>IF(A667&lt;&gt;0,INDEX(Coûts, 'PA-Détails'!A667, 5),)</f>
        <v>Pers / j</v>
      </c>
      <c r="E667" s="96">
        <v>30</v>
      </c>
      <c r="F667" s="100"/>
      <c r="G667" s="100"/>
      <c r="H667" s="100"/>
      <c r="I667" s="100"/>
      <c r="J667" s="101">
        <f t="shared" si="342"/>
        <v>30</v>
      </c>
      <c r="K667" s="115">
        <f>IF(A667&lt;&gt;0,INDEX(Coûts, 'PA-Détails'!A667, 3),)</f>
        <v>300</v>
      </c>
      <c r="L667" s="37">
        <f t="shared" ref="L667:P668" si="364">ROUND(+$K667*E667,0)</f>
        <v>9000</v>
      </c>
      <c r="M667" s="36">
        <f t="shared" si="364"/>
        <v>0</v>
      </c>
      <c r="N667" s="36">
        <f t="shared" si="364"/>
        <v>0</v>
      </c>
      <c r="O667" s="36">
        <f t="shared" si="364"/>
        <v>0</v>
      </c>
      <c r="P667" s="268">
        <f t="shared" si="364"/>
        <v>0</v>
      </c>
      <c r="Q667" s="281">
        <f>SUM(L667:P667)</f>
        <v>9000</v>
      </c>
      <c r="R667" s="182"/>
      <c r="S667" s="183"/>
      <c r="T667" s="51"/>
    </row>
    <row r="668" spans="1:26" x14ac:dyDescent="0.2">
      <c r="A668" s="95">
        <v>5</v>
      </c>
      <c r="B668" s="108" t="str">
        <f>IF(A668&lt;&gt;0,INDEX(Coûts,'PA-Détails'!A668, 2),)</f>
        <v>Atelier de validation</v>
      </c>
      <c r="C668" s="51"/>
      <c r="D668" s="94" t="str">
        <f>IF(A668&lt;&gt;0,INDEX(Coûts, 'PA-Détails'!A668, 5),)</f>
        <v>Pers / j</v>
      </c>
      <c r="E668" s="96">
        <v>50</v>
      </c>
      <c r="F668" s="100"/>
      <c r="G668" s="100"/>
      <c r="H668" s="100"/>
      <c r="I668" s="100"/>
      <c r="J668" s="101">
        <f t="shared" si="342"/>
        <v>50</v>
      </c>
      <c r="K668" s="115">
        <f>IF(A668&lt;&gt;0,INDEX(Coûts, 'PA-Détails'!A668, 3),)</f>
        <v>50</v>
      </c>
      <c r="L668" s="37">
        <f t="shared" si="364"/>
        <v>2500</v>
      </c>
      <c r="M668" s="36">
        <f t="shared" si="364"/>
        <v>0</v>
      </c>
      <c r="N668" s="36">
        <f t="shared" si="364"/>
        <v>0</v>
      </c>
      <c r="O668" s="36">
        <f t="shared" si="364"/>
        <v>0</v>
      </c>
      <c r="P668" s="268">
        <f t="shared" si="364"/>
        <v>0</v>
      </c>
      <c r="Q668" s="281">
        <f>SUM(L668:P668)</f>
        <v>2500</v>
      </c>
      <c r="R668" s="182"/>
      <c r="S668" s="183"/>
      <c r="T668" s="51"/>
    </row>
    <row r="669" spans="1:26" x14ac:dyDescent="0.2">
      <c r="A669" s="20" t="s">
        <v>1084</v>
      </c>
      <c r="B669" s="46"/>
      <c r="C669" s="51"/>
      <c r="D669" s="21"/>
      <c r="E669" s="96"/>
      <c r="F669" s="100"/>
      <c r="G669" s="100"/>
      <c r="H669" s="100"/>
      <c r="I669" s="100"/>
      <c r="J669" s="101">
        <f t="shared" si="342"/>
        <v>0</v>
      </c>
      <c r="K669" s="115"/>
      <c r="L669" s="161">
        <f t="shared" ref="L669:Q669" si="365">SUM(L670:L670)</f>
        <v>0</v>
      </c>
      <c r="M669" s="157">
        <f t="shared" si="365"/>
        <v>20000000</v>
      </c>
      <c r="N669" s="157">
        <f t="shared" si="365"/>
        <v>20000000</v>
      </c>
      <c r="O669" s="157">
        <f t="shared" si="365"/>
        <v>20000000</v>
      </c>
      <c r="P669" s="270">
        <f t="shared" si="365"/>
        <v>20000000</v>
      </c>
      <c r="Q669" s="284">
        <f t="shared" si="365"/>
        <v>80000000</v>
      </c>
      <c r="R669" s="182" t="s">
        <v>1407</v>
      </c>
      <c r="S669" s="183" t="s">
        <v>665</v>
      </c>
      <c r="T669" s="51"/>
    </row>
    <row r="670" spans="1:26" x14ac:dyDescent="0.2">
      <c r="A670" s="95">
        <v>49</v>
      </c>
      <c r="B670" s="108" t="str">
        <f>IF(A670&lt;&gt;0,INDEX(Coûts,'PA-Détails'!A670, 2),)</f>
        <v>Equipement d'un établissement du secondaire spécialisé</v>
      </c>
      <c r="C670" s="51"/>
      <c r="D670" s="94" t="str">
        <f>IF(A670&lt;&gt;0,INDEX(Coûts, 'PA-Détails'!A670, 5),)</f>
        <v>Forfait</v>
      </c>
      <c r="E670" s="96"/>
      <c r="F670" s="100">
        <v>50</v>
      </c>
      <c r="G670" s="100">
        <v>50</v>
      </c>
      <c r="H670" s="100">
        <v>50</v>
      </c>
      <c r="I670" s="100">
        <v>50</v>
      </c>
      <c r="J670" s="101">
        <f t="shared" si="342"/>
        <v>200</v>
      </c>
      <c r="K670" s="115">
        <f>IF(A670&lt;&gt;0,INDEX(Coûts, 'PA-Détails'!A670, 3),)</f>
        <v>400000</v>
      </c>
      <c r="L670" s="37">
        <f t="shared" ref="L670:P672" si="366">ROUND(+$K670*E670,0)</f>
        <v>0</v>
      </c>
      <c r="M670" s="36">
        <f t="shared" si="366"/>
        <v>20000000</v>
      </c>
      <c r="N670" s="36">
        <f t="shared" si="366"/>
        <v>20000000</v>
      </c>
      <c r="O670" s="36">
        <f t="shared" si="366"/>
        <v>20000000</v>
      </c>
      <c r="P670" s="268">
        <f t="shared" si="366"/>
        <v>20000000</v>
      </c>
      <c r="Q670" s="281">
        <f>SUM(L670:P670)</f>
        <v>80000000</v>
      </c>
      <c r="R670" s="182"/>
      <c r="S670" s="183"/>
      <c r="T670" s="51"/>
    </row>
    <row r="671" spans="1:26" s="162" customFormat="1" x14ac:dyDescent="0.2">
      <c r="A671" s="211" t="s">
        <v>887</v>
      </c>
      <c r="B671" s="212"/>
      <c r="C671" s="213"/>
      <c r="D671" s="215"/>
      <c r="E671" s="102"/>
      <c r="F671" s="103"/>
      <c r="G671" s="103"/>
      <c r="H671" s="103"/>
      <c r="I671" s="103"/>
      <c r="J671" s="104">
        <f t="shared" si="342"/>
        <v>0</v>
      </c>
      <c r="K671" s="245"/>
      <c r="L671" s="246">
        <f t="shared" si="366"/>
        <v>0</v>
      </c>
      <c r="M671" s="217">
        <f t="shared" si="366"/>
        <v>0</v>
      </c>
      <c r="N671" s="217">
        <f t="shared" si="366"/>
        <v>0</v>
      </c>
      <c r="O671" s="217">
        <f t="shared" si="366"/>
        <v>0</v>
      </c>
      <c r="P671" s="273">
        <f t="shared" si="366"/>
        <v>0</v>
      </c>
      <c r="Q671" s="285">
        <f>SUM(L671:P671)</f>
        <v>0</v>
      </c>
      <c r="R671" s="221"/>
      <c r="S671" s="222"/>
      <c r="T671" s="214">
        <v>1</v>
      </c>
      <c r="U671" s="653"/>
      <c r="V671" s="572"/>
      <c r="W671" s="572"/>
      <c r="X671" s="572"/>
      <c r="Y671" s="572"/>
      <c r="Z671" s="572"/>
    </row>
    <row r="672" spans="1:26" s="162" customFormat="1" x14ac:dyDescent="0.2">
      <c r="A672" s="122" t="s">
        <v>888</v>
      </c>
      <c r="B672" s="152"/>
      <c r="C672" s="162" t="s">
        <v>268</v>
      </c>
      <c r="D672" s="155"/>
      <c r="E672" s="97"/>
      <c r="F672" s="98"/>
      <c r="G672" s="98"/>
      <c r="H672" s="98"/>
      <c r="I672" s="98"/>
      <c r="J672" s="99">
        <f t="shared" si="342"/>
        <v>0</v>
      </c>
      <c r="K672" s="208"/>
      <c r="L672" s="161">
        <f t="shared" si="366"/>
        <v>0</v>
      </c>
      <c r="M672" s="157">
        <f t="shared" si="366"/>
        <v>0</v>
      </c>
      <c r="N672" s="157">
        <f t="shared" si="366"/>
        <v>0</v>
      </c>
      <c r="O672" s="157">
        <f t="shared" si="366"/>
        <v>0</v>
      </c>
      <c r="P672" s="270">
        <f t="shared" si="366"/>
        <v>0</v>
      </c>
      <c r="Q672" s="284">
        <f>SUM(L672:P672)</f>
        <v>0</v>
      </c>
      <c r="R672" s="200"/>
      <c r="S672" s="201"/>
      <c r="T672" s="154"/>
      <c r="U672" s="653"/>
      <c r="V672" s="572"/>
      <c r="W672" s="572"/>
      <c r="X672" s="572"/>
      <c r="Y672" s="572"/>
      <c r="Z672" s="572"/>
    </row>
    <row r="673" spans="1:26" s="162" customFormat="1" x14ac:dyDescent="0.2">
      <c r="A673" s="123" t="s">
        <v>1085</v>
      </c>
      <c r="B673" s="202"/>
      <c r="C673" s="153"/>
      <c r="D673" s="203"/>
      <c r="E673" s="96"/>
      <c r="F673" s="100"/>
      <c r="G673" s="100"/>
      <c r="H673" s="100"/>
      <c r="I673" s="100"/>
      <c r="J673" s="101">
        <f t="shared" si="342"/>
        <v>0</v>
      </c>
      <c r="K673" s="94"/>
      <c r="L673" s="161">
        <f t="shared" ref="L673:Q673" si="367">SUM(L674:L676)</f>
        <v>34000</v>
      </c>
      <c r="M673" s="157">
        <f t="shared" si="367"/>
        <v>0</v>
      </c>
      <c r="N673" s="157">
        <f t="shared" si="367"/>
        <v>0</v>
      </c>
      <c r="O673" s="157">
        <f t="shared" si="367"/>
        <v>0</v>
      </c>
      <c r="P673" s="270">
        <f t="shared" si="367"/>
        <v>0</v>
      </c>
      <c r="Q673" s="284">
        <f t="shared" si="367"/>
        <v>34000</v>
      </c>
      <c r="R673" s="223" t="s">
        <v>819</v>
      </c>
      <c r="S673" s="224" t="s">
        <v>665</v>
      </c>
      <c r="T673" s="153"/>
      <c r="U673" s="653"/>
      <c r="V673" s="572"/>
      <c r="W673" s="572"/>
      <c r="X673" s="572"/>
      <c r="Y673" s="572"/>
      <c r="Z673" s="572"/>
    </row>
    <row r="674" spans="1:26" s="162" customFormat="1" x14ac:dyDescent="0.2">
      <c r="A674" s="95">
        <v>1</v>
      </c>
      <c r="B674" s="163" t="str">
        <f>IF(A674&lt;&gt;0,INDEX(Coûts,'PA-Détails'!A674, 2),)</f>
        <v>Assistance technique internationale (consultants)</v>
      </c>
      <c r="C674" s="153"/>
      <c r="D674" s="94" t="str">
        <f>IF(A674&lt;&gt;0,INDEX(Coûts, 'PA-Détails'!A674, 5),)</f>
        <v>Pers / j</v>
      </c>
      <c r="E674" s="96">
        <v>20</v>
      </c>
      <c r="F674" s="100"/>
      <c r="G674" s="100"/>
      <c r="H674" s="100"/>
      <c r="I674" s="100"/>
      <c r="J674" s="101">
        <f t="shared" si="342"/>
        <v>20</v>
      </c>
      <c r="K674" s="94">
        <f>IF(A674&lt;&gt;0,INDEX(Coûts, 'PA-Détails'!A674, 3),)</f>
        <v>1150</v>
      </c>
      <c r="L674" s="167">
        <f t="shared" ref="L674:P676" si="368">ROUND(+$K674*E674,0)</f>
        <v>23000</v>
      </c>
      <c r="M674" s="168">
        <f t="shared" si="368"/>
        <v>0</v>
      </c>
      <c r="N674" s="168">
        <f t="shared" si="368"/>
        <v>0</v>
      </c>
      <c r="O674" s="168">
        <f t="shared" si="368"/>
        <v>0</v>
      </c>
      <c r="P674" s="271">
        <f t="shared" si="368"/>
        <v>0</v>
      </c>
      <c r="Q674" s="283">
        <f>SUM(L674:P674)</f>
        <v>23000</v>
      </c>
      <c r="R674" s="223"/>
      <c r="S674" s="224"/>
      <c r="T674" s="153"/>
      <c r="U674" s="653"/>
      <c r="V674" s="572"/>
      <c r="W674" s="572"/>
      <c r="X674" s="572"/>
      <c r="Y674" s="572"/>
      <c r="Z674" s="572"/>
    </row>
    <row r="675" spans="1:26" s="162" customFormat="1" x14ac:dyDescent="0.2">
      <c r="A675" s="95">
        <v>2</v>
      </c>
      <c r="B675" s="163" t="str">
        <f>IF(A675&lt;&gt;0,INDEX(Coûts,'PA-Détails'!A675, 2),)</f>
        <v>Assistance technique nationale (consultants)</v>
      </c>
      <c r="C675" s="153"/>
      <c r="D675" s="94" t="str">
        <f>IF(A675&lt;&gt;0,INDEX(Coûts, 'PA-Détails'!A675, 5),)</f>
        <v>Pers / j</v>
      </c>
      <c r="E675" s="96">
        <v>20</v>
      </c>
      <c r="F675" s="100"/>
      <c r="G675" s="100"/>
      <c r="H675" s="100"/>
      <c r="I675" s="100"/>
      <c r="J675" s="101">
        <f t="shared" si="342"/>
        <v>20</v>
      </c>
      <c r="K675" s="94">
        <f>IF(A675&lt;&gt;0,INDEX(Coûts, 'PA-Détails'!A675, 3),)</f>
        <v>300</v>
      </c>
      <c r="L675" s="167">
        <f t="shared" si="368"/>
        <v>6000</v>
      </c>
      <c r="M675" s="168">
        <f t="shared" si="368"/>
        <v>0</v>
      </c>
      <c r="N675" s="168">
        <f t="shared" si="368"/>
        <v>0</v>
      </c>
      <c r="O675" s="168">
        <f t="shared" si="368"/>
        <v>0</v>
      </c>
      <c r="P675" s="271">
        <f t="shared" si="368"/>
        <v>0</v>
      </c>
      <c r="Q675" s="283">
        <f>SUM(L675:P675)</f>
        <v>6000</v>
      </c>
      <c r="R675" s="223"/>
      <c r="S675" s="224"/>
      <c r="T675" s="153"/>
      <c r="U675" s="653"/>
      <c r="V675" s="572"/>
      <c r="W675" s="572"/>
      <c r="X675" s="572"/>
      <c r="Y675" s="572"/>
      <c r="Z675" s="572"/>
    </row>
    <row r="676" spans="1:26" s="162" customFormat="1" x14ac:dyDescent="0.2">
      <c r="A676" s="95">
        <v>5</v>
      </c>
      <c r="B676" s="163" t="str">
        <f>IF(A676&lt;&gt;0,INDEX(Coûts,'PA-Détails'!A676, 2),)</f>
        <v>Atelier de validation</v>
      </c>
      <c r="C676" s="153"/>
      <c r="D676" s="94" t="str">
        <f>IF(A676&lt;&gt;0,INDEX(Coûts, 'PA-Détails'!A676, 5),)</f>
        <v>Pers / j</v>
      </c>
      <c r="E676" s="96">
        <v>100</v>
      </c>
      <c r="F676" s="100"/>
      <c r="G676" s="100"/>
      <c r="H676" s="100"/>
      <c r="I676" s="100"/>
      <c r="J676" s="101">
        <f t="shared" si="342"/>
        <v>100</v>
      </c>
      <c r="K676" s="94">
        <f>IF(A676&lt;&gt;0,INDEX(Coûts, 'PA-Détails'!A676, 3),)</f>
        <v>50</v>
      </c>
      <c r="L676" s="167">
        <f t="shared" si="368"/>
        <v>5000</v>
      </c>
      <c r="M676" s="168">
        <f t="shared" si="368"/>
        <v>0</v>
      </c>
      <c r="N676" s="168">
        <f t="shared" si="368"/>
        <v>0</v>
      </c>
      <c r="O676" s="168">
        <f t="shared" si="368"/>
        <v>0</v>
      </c>
      <c r="P676" s="271">
        <f t="shared" si="368"/>
        <v>0</v>
      </c>
      <c r="Q676" s="283">
        <f>SUM(L676:P676)</f>
        <v>5000</v>
      </c>
      <c r="R676" s="223"/>
      <c r="S676" s="224"/>
      <c r="T676" s="153"/>
      <c r="U676" s="653"/>
      <c r="V676" s="572"/>
      <c r="W676" s="572"/>
      <c r="X676" s="572"/>
      <c r="Y676" s="572"/>
      <c r="Z676" s="572"/>
    </row>
    <row r="677" spans="1:26" s="162" customFormat="1" x14ac:dyDescent="0.2">
      <c r="A677" s="123" t="s">
        <v>884</v>
      </c>
      <c r="B677" s="202"/>
      <c r="C677" s="153"/>
      <c r="D677" s="203"/>
      <c r="E677" s="96"/>
      <c r="F677" s="100"/>
      <c r="G677" s="100"/>
      <c r="H677" s="100"/>
      <c r="I677" s="100"/>
      <c r="J677" s="101">
        <f t="shared" si="342"/>
        <v>0</v>
      </c>
      <c r="K677" s="94"/>
      <c r="L677" s="161">
        <f t="shared" ref="L677:Q677" si="369">SUM(L678:L678)</f>
        <v>0</v>
      </c>
      <c r="M677" s="157">
        <f t="shared" si="369"/>
        <v>0</v>
      </c>
      <c r="N677" s="157">
        <f t="shared" si="369"/>
        <v>0</v>
      </c>
      <c r="O677" s="157">
        <f t="shared" si="369"/>
        <v>0</v>
      </c>
      <c r="P677" s="270">
        <f t="shared" si="369"/>
        <v>0</v>
      </c>
      <c r="Q677" s="284">
        <f t="shared" si="369"/>
        <v>0</v>
      </c>
      <c r="R677" s="223" t="s">
        <v>819</v>
      </c>
      <c r="S677" s="224" t="s">
        <v>665</v>
      </c>
      <c r="T677" s="153"/>
      <c r="U677" s="653"/>
      <c r="V677" s="572"/>
      <c r="W677" s="572"/>
      <c r="X677" s="572"/>
      <c r="Y677" s="572"/>
      <c r="Z677" s="572"/>
    </row>
    <row r="678" spans="1:26" s="162" customFormat="1" x14ac:dyDescent="0.2">
      <c r="A678" s="95">
        <v>300</v>
      </c>
      <c r="B678" s="163" t="str">
        <f>IF(A678&lt;&gt;0,INDEX(Coûts,'PA-Détails'!A678, 2),)</f>
        <v>Fonctionnement des services</v>
      </c>
      <c r="C678" s="153"/>
      <c r="D678" s="94">
        <f>IF(A678&lt;&gt;0,INDEX(Coûts, 'PA-Détails'!A678, 5),)</f>
        <v>0</v>
      </c>
      <c r="E678" s="96">
        <v>1</v>
      </c>
      <c r="F678" s="100"/>
      <c r="G678" s="100"/>
      <c r="H678" s="100"/>
      <c r="I678" s="100"/>
      <c r="J678" s="101">
        <f t="shared" si="342"/>
        <v>1</v>
      </c>
      <c r="K678" s="94">
        <f>IF(A678&lt;&gt;0,INDEX(Coûts, 'PA-Détails'!A678, 3),)</f>
        <v>0</v>
      </c>
      <c r="L678" s="167">
        <f>ROUND(+$K678*E678,0)</f>
        <v>0</v>
      </c>
      <c r="M678" s="168">
        <f>ROUND(+$K678*F678,0)</f>
        <v>0</v>
      </c>
      <c r="N678" s="168">
        <f>ROUND(+$K678*G678,0)</f>
        <v>0</v>
      </c>
      <c r="O678" s="168">
        <f>ROUND(+$K678*H678,0)</f>
        <v>0</v>
      </c>
      <c r="P678" s="271">
        <f>ROUND(+$K678*I678,0)</f>
        <v>0</v>
      </c>
      <c r="Q678" s="283">
        <f>SUM(L678:P678)</f>
        <v>0</v>
      </c>
      <c r="R678" s="223"/>
      <c r="S678" s="224"/>
      <c r="T678" s="153"/>
      <c r="U678" s="653"/>
      <c r="V678" s="572"/>
      <c r="W678" s="572"/>
      <c r="X678" s="572"/>
      <c r="Y678" s="572"/>
      <c r="Z678" s="572"/>
    </row>
    <row r="679" spans="1:26" s="162" customFormat="1" x14ac:dyDescent="0.2">
      <c r="A679" s="123" t="s">
        <v>889</v>
      </c>
      <c r="B679" s="202"/>
      <c r="C679" s="153"/>
      <c r="D679" s="203"/>
      <c r="E679" s="96"/>
      <c r="F679" s="100"/>
      <c r="G679" s="100"/>
      <c r="H679" s="100"/>
      <c r="I679" s="100"/>
      <c r="J679" s="101">
        <f t="shared" si="342"/>
        <v>0</v>
      </c>
      <c r="K679" s="94"/>
      <c r="L679" s="161">
        <f t="shared" ref="L679:Q679" si="370">SUM(L680:L680)</f>
        <v>0</v>
      </c>
      <c r="M679" s="157">
        <f t="shared" si="370"/>
        <v>5000000</v>
      </c>
      <c r="N679" s="157">
        <f t="shared" si="370"/>
        <v>5000000</v>
      </c>
      <c r="O679" s="157">
        <f t="shared" si="370"/>
        <v>5000000</v>
      </c>
      <c r="P679" s="270">
        <f t="shared" si="370"/>
        <v>5000000</v>
      </c>
      <c r="Q679" s="284">
        <f t="shared" si="370"/>
        <v>20000000</v>
      </c>
      <c r="R679" s="223" t="s">
        <v>752</v>
      </c>
      <c r="S679" s="224"/>
      <c r="T679" s="153"/>
      <c r="U679" s="653"/>
      <c r="V679" s="572"/>
      <c r="W679" s="572"/>
      <c r="X679" s="572"/>
      <c r="Y679" s="572"/>
      <c r="Z679" s="572"/>
    </row>
    <row r="680" spans="1:26" s="162" customFormat="1" ht="12.75" x14ac:dyDescent="0.25">
      <c r="A680" s="95">
        <v>128</v>
      </c>
      <c r="B680" s="163" t="str">
        <f>IF(A680&lt;&gt;0,INDEX(Coûts,'PA-Détails'!A680, 2),)</f>
        <v>Frais d'organisation de l'examen de fin de l'enseignement de base</v>
      </c>
      <c r="C680" s="153"/>
      <c r="D680" s="94" t="str">
        <f>IF(A680&lt;&gt;0,INDEX(Coûts, 'PA-Détails'!A680, 5),)</f>
        <v>Forfait/an</v>
      </c>
      <c r="E680" s="96"/>
      <c r="F680" s="100">
        <v>1</v>
      </c>
      <c r="G680" s="100">
        <v>1</v>
      </c>
      <c r="H680" s="100">
        <v>1</v>
      </c>
      <c r="I680" s="100">
        <v>1</v>
      </c>
      <c r="J680" s="101">
        <f t="shared" si="342"/>
        <v>4</v>
      </c>
      <c r="K680" s="290">
        <f>IF(A680&lt;&gt;0,INDEX(Coûts, 'PA-Détails'!A680, 3),)</f>
        <v>5000000</v>
      </c>
      <c r="L680" s="167">
        <f t="shared" ref="L680:P682" si="371">ROUND(+$K680*E680,0)</f>
        <v>0</v>
      </c>
      <c r="M680" s="168">
        <f t="shared" si="371"/>
        <v>5000000</v>
      </c>
      <c r="N680" s="168">
        <f t="shared" si="371"/>
        <v>5000000</v>
      </c>
      <c r="O680" s="168">
        <f t="shared" si="371"/>
        <v>5000000</v>
      </c>
      <c r="P680" s="271">
        <f t="shared" si="371"/>
        <v>5000000</v>
      </c>
      <c r="Q680" s="283">
        <f>SUM(L680:P680)</f>
        <v>20000000</v>
      </c>
      <c r="R680" s="223"/>
      <c r="S680" s="224"/>
      <c r="T680" s="153"/>
      <c r="U680" s="653"/>
      <c r="V680" s="572"/>
      <c r="W680" s="572"/>
      <c r="X680" s="572"/>
      <c r="Y680" s="572"/>
      <c r="Z680" s="572"/>
    </row>
    <row r="681" spans="1:26" s="162" customFormat="1" x14ac:dyDescent="0.2">
      <c r="A681" s="211" t="s">
        <v>87</v>
      </c>
      <c r="B681" s="212"/>
      <c r="C681" s="213"/>
      <c r="D681" s="215"/>
      <c r="E681" s="102"/>
      <c r="F681" s="103"/>
      <c r="G681" s="103"/>
      <c r="H681" s="103"/>
      <c r="I681" s="103"/>
      <c r="J681" s="104">
        <f t="shared" si="342"/>
        <v>0</v>
      </c>
      <c r="K681" s="245"/>
      <c r="L681" s="246">
        <f t="shared" si="371"/>
        <v>0</v>
      </c>
      <c r="M681" s="217">
        <f t="shared" si="371"/>
        <v>0</v>
      </c>
      <c r="N681" s="217">
        <f t="shared" si="371"/>
        <v>0</v>
      </c>
      <c r="O681" s="217">
        <f t="shared" si="371"/>
        <v>0</v>
      </c>
      <c r="P681" s="273">
        <f t="shared" si="371"/>
        <v>0</v>
      </c>
      <c r="Q681" s="285">
        <f>SUM(L681:P681)</f>
        <v>0</v>
      </c>
      <c r="R681" s="221"/>
      <c r="S681" s="222"/>
      <c r="T681" s="214">
        <v>1</v>
      </c>
      <c r="U681" s="653"/>
      <c r="V681" s="572"/>
      <c r="W681" s="572"/>
      <c r="X681" s="572"/>
      <c r="Y681" s="572"/>
      <c r="Z681" s="572"/>
    </row>
    <row r="682" spans="1:26" s="162" customFormat="1" x14ac:dyDescent="0.2">
      <c r="A682" s="122" t="s">
        <v>978</v>
      </c>
      <c r="B682" s="152"/>
      <c r="C682" s="162" t="s">
        <v>1086</v>
      </c>
      <c r="D682" s="155"/>
      <c r="E682" s="97"/>
      <c r="F682" s="98"/>
      <c r="G682" s="98"/>
      <c r="H682" s="98"/>
      <c r="I682" s="98"/>
      <c r="J682" s="99">
        <f t="shared" si="342"/>
        <v>0</v>
      </c>
      <c r="K682" s="208"/>
      <c r="L682" s="161">
        <f t="shared" si="371"/>
        <v>0</v>
      </c>
      <c r="M682" s="157">
        <f t="shared" si="371"/>
        <v>0</v>
      </c>
      <c r="N682" s="157">
        <f t="shared" si="371"/>
        <v>0</v>
      </c>
      <c r="O682" s="157">
        <f t="shared" si="371"/>
        <v>0</v>
      </c>
      <c r="P682" s="270">
        <f t="shared" si="371"/>
        <v>0</v>
      </c>
      <c r="Q682" s="284">
        <f>SUM(L682:P682)</f>
        <v>0</v>
      </c>
      <c r="R682" s="200"/>
      <c r="S682" s="201"/>
      <c r="T682" s="154"/>
      <c r="U682" s="653"/>
      <c r="V682" s="572"/>
      <c r="W682" s="572"/>
      <c r="X682" s="572"/>
      <c r="Y682" s="572"/>
      <c r="Z682" s="572"/>
    </row>
    <row r="683" spans="1:26" x14ac:dyDescent="0.2">
      <c r="A683" s="20" t="s">
        <v>979</v>
      </c>
      <c r="B683" s="46"/>
      <c r="C683" s="51"/>
      <c r="D683" s="21"/>
      <c r="E683" s="96"/>
      <c r="F683" s="100"/>
      <c r="G683" s="100"/>
      <c r="H683" s="100"/>
      <c r="I683" s="100"/>
      <c r="J683" s="101">
        <f t="shared" si="342"/>
        <v>0</v>
      </c>
      <c r="K683" s="115"/>
      <c r="L683" s="161">
        <f t="shared" ref="L683:Q683" si="372">SUM(L684:L684)</f>
        <v>58790660.242336191</v>
      </c>
      <c r="M683" s="157">
        <f t="shared" si="372"/>
        <v>63668289.113337591</v>
      </c>
      <c r="N683" s="157">
        <f t="shared" si="372"/>
        <v>68595243.504468441</v>
      </c>
      <c r="O683" s="157">
        <f t="shared" si="372"/>
        <v>80357927.586091071</v>
      </c>
      <c r="P683" s="270">
        <f t="shared" si="372"/>
        <v>92961458.034095109</v>
      </c>
      <c r="Q683" s="284">
        <f t="shared" si="372"/>
        <v>364373578.48032838</v>
      </c>
      <c r="R683" s="182" t="s">
        <v>214</v>
      </c>
      <c r="S683" s="183" t="s">
        <v>663</v>
      </c>
      <c r="T683" s="51"/>
    </row>
    <row r="684" spans="1:26" x14ac:dyDescent="0.2">
      <c r="A684" s="95">
        <v>214</v>
      </c>
      <c r="B684" s="108" t="str">
        <f>IF(A684&lt;&gt;0,INDEX(Coûts,'PA-Détails'!A684, 2),)</f>
        <v>Rémunération d'un enseignant du secondaire 2</v>
      </c>
      <c r="C684" s="51"/>
      <c r="D684" s="94">
        <f>IF(A684&lt;&gt;0,INDEX(Coûts, 'PA-Détails'!A684, 5),)</f>
        <v>0</v>
      </c>
      <c r="E684" s="230">
        <f>ROUND('[5]Secondaire 2'!I$648*0.6,-1)</f>
        <v>39580</v>
      </c>
      <c r="F684" s="231">
        <f>ROUND('[5]Secondaire 2'!J$648*0.6,-1)</f>
        <v>39580</v>
      </c>
      <c r="G684" s="231">
        <f>ROUND('[5]Secondaire 2'!K$648*0.6,-1)</f>
        <v>39670</v>
      </c>
      <c r="H684" s="231">
        <f>ROUND('[5]Secondaire 2'!L$648*0.6,-1)</f>
        <v>43530</v>
      </c>
      <c r="I684" s="231">
        <f>ROUND('[5]Secondaire 2'!M$648*0.6,-1)</f>
        <v>47770</v>
      </c>
      <c r="J684" s="101">
        <f t="shared" si="342"/>
        <v>210130</v>
      </c>
      <c r="K684" s="289">
        <f>Q684/J684</f>
        <v>1734.0388258712624</v>
      </c>
      <c r="L684" s="233">
        <f>E684*'[5]Secondaire 2'!J$650</f>
        <v>58790660.242336191</v>
      </c>
      <c r="M684" s="234">
        <f>F684*'[5]Secondaire 2'!K$650</f>
        <v>63668289.113337591</v>
      </c>
      <c r="N684" s="234">
        <f>G684*'[5]Secondaire 2'!L$650</f>
        <v>68595243.504468441</v>
      </c>
      <c r="O684" s="234">
        <f>H684*'[5]Secondaire 2'!M$650</f>
        <v>80357927.586091071</v>
      </c>
      <c r="P684" s="272">
        <f>I684*'[5]Secondaire 2'!N$650</f>
        <v>92961458.034095109</v>
      </c>
      <c r="Q684" s="281">
        <f>SUM(L684:P684)</f>
        <v>364373578.48032838</v>
      </c>
      <c r="R684" s="182"/>
      <c r="S684" s="183"/>
      <c r="T684" s="51"/>
    </row>
    <row r="685" spans="1:26" x14ac:dyDescent="0.2">
      <c r="A685" s="17" t="s">
        <v>88</v>
      </c>
      <c r="B685" s="45"/>
      <c r="C685" s="329" t="s">
        <v>242</v>
      </c>
      <c r="D685" s="18"/>
      <c r="E685" s="97"/>
      <c r="F685" s="98"/>
      <c r="G685" s="98"/>
      <c r="H685" s="98"/>
      <c r="I685" s="98"/>
      <c r="J685" s="99">
        <f t="shared" si="342"/>
        <v>0</v>
      </c>
      <c r="K685" s="116"/>
      <c r="L685" s="35">
        <f>ROUND(+$K685*E685,0)</f>
        <v>0</v>
      </c>
      <c r="M685" s="34">
        <f>ROUND(+$K685*F685,0)</f>
        <v>0</v>
      </c>
      <c r="N685" s="34">
        <f>ROUND(+$K685*G685,0)</f>
        <v>0</v>
      </c>
      <c r="O685" s="34">
        <f>ROUND(+$K685*H685,0)</f>
        <v>0</v>
      </c>
      <c r="P685" s="269">
        <f>ROUND(+$K685*I685,0)</f>
        <v>0</v>
      </c>
      <c r="Q685" s="279">
        <f>SUM(L685:P685)</f>
        <v>0</v>
      </c>
      <c r="R685" s="180"/>
      <c r="S685" s="181"/>
      <c r="T685" s="50"/>
    </row>
    <row r="686" spans="1:26" x14ac:dyDescent="0.2">
      <c r="A686" s="20" t="s">
        <v>243</v>
      </c>
      <c r="B686" s="46"/>
      <c r="C686" s="51"/>
      <c r="D686" s="21"/>
      <c r="E686" s="96"/>
      <c r="F686" s="100"/>
      <c r="G686" s="100"/>
      <c r="H686" s="100"/>
      <c r="I686" s="100"/>
      <c r="J686" s="101">
        <f t="shared" si="342"/>
        <v>0</v>
      </c>
      <c r="K686" s="115"/>
      <c r="L686" s="161">
        <f t="shared" ref="L686:Q686" si="373">SUM(L687:L687)</f>
        <v>26000000</v>
      </c>
      <c r="M686" s="157">
        <f t="shared" si="373"/>
        <v>26000000</v>
      </c>
      <c r="N686" s="157">
        <f t="shared" si="373"/>
        <v>26000000</v>
      </c>
      <c r="O686" s="157">
        <f t="shared" si="373"/>
        <v>26000000</v>
      </c>
      <c r="P686" s="270">
        <f t="shared" si="373"/>
        <v>26000000</v>
      </c>
      <c r="Q686" s="284">
        <f t="shared" si="373"/>
        <v>130000000</v>
      </c>
      <c r="R686" s="182" t="s">
        <v>753</v>
      </c>
      <c r="S686" s="183" t="s">
        <v>665</v>
      </c>
      <c r="T686" s="51"/>
    </row>
    <row r="687" spans="1:26" x14ac:dyDescent="0.2">
      <c r="A687" s="95">
        <v>22</v>
      </c>
      <c r="B687" s="108" t="str">
        <f>IF(A687&lt;&gt;0,INDEX(Coûts,'PA-Détails'!A687, 2),)</f>
        <v>Construction et équipement de salle de classe au secondaire</v>
      </c>
      <c r="C687" s="51"/>
      <c r="D687" s="94" t="str">
        <f>IF(A687&lt;&gt;0,INDEX(Coûts, 'PA-Détails'!A687, 5),)</f>
        <v>Unité</v>
      </c>
      <c r="E687" s="96">
        <v>1300</v>
      </c>
      <c r="F687" s="100">
        <v>1300</v>
      </c>
      <c r="G687" s="100">
        <v>1300</v>
      </c>
      <c r="H687" s="100">
        <v>1300</v>
      </c>
      <c r="I687" s="100">
        <v>1300</v>
      </c>
      <c r="J687" s="101">
        <f t="shared" si="342"/>
        <v>6500</v>
      </c>
      <c r="K687" s="115">
        <f>IF(A687&lt;&gt;0,INDEX(Coûts, 'PA-Détails'!A687, 3),)</f>
        <v>20000</v>
      </c>
      <c r="L687" s="37">
        <f t="shared" ref="L687:P689" si="374">ROUND(+$K687*E687,0)</f>
        <v>26000000</v>
      </c>
      <c r="M687" s="36">
        <f t="shared" si="374"/>
        <v>26000000</v>
      </c>
      <c r="N687" s="36">
        <f t="shared" si="374"/>
        <v>26000000</v>
      </c>
      <c r="O687" s="36">
        <f t="shared" si="374"/>
        <v>26000000</v>
      </c>
      <c r="P687" s="268">
        <f t="shared" si="374"/>
        <v>26000000</v>
      </c>
      <c r="Q687" s="281">
        <f>SUM(L687:P687)</f>
        <v>130000000</v>
      </c>
      <c r="R687" s="182"/>
      <c r="S687" s="183"/>
      <c r="T687" s="51"/>
    </row>
    <row r="688" spans="1:26" x14ac:dyDescent="0.2">
      <c r="A688" s="14" t="s">
        <v>766</v>
      </c>
      <c r="B688" s="44"/>
      <c r="C688" s="112"/>
      <c r="D688" s="15"/>
      <c r="E688" s="102"/>
      <c r="F688" s="103"/>
      <c r="G688" s="103"/>
      <c r="H688" s="103"/>
      <c r="I688" s="103"/>
      <c r="J688" s="104">
        <f t="shared" si="342"/>
        <v>0</v>
      </c>
      <c r="K688" s="145"/>
      <c r="L688" s="33">
        <f t="shared" si="374"/>
        <v>0</v>
      </c>
      <c r="M688" s="32">
        <f t="shared" si="374"/>
        <v>0</v>
      </c>
      <c r="N688" s="32">
        <f t="shared" si="374"/>
        <v>0</v>
      </c>
      <c r="O688" s="32">
        <f t="shared" si="374"/>
        <v>0</v>
      </c>
      <c r="P688" s="267">
        <f t="shared" si="374"/>
        <v>0</v>
      </c>
      <c r="Q688" s="278">
        <f>SUM(L688:P688)</f>
        <v>0</v>
      </c>
      <c r="R688" s="16"/>
      <c r="S688" s="15"/>
      <c r="T688" s="112">
        <v>2</v>
      </c>
    </row>
    <row r="689" spans="1:20" x14ac:dyDescent="0.2">
      <c r="A689" s="17" t="s">
        <v>1087</v>
      </c>
      <c r="B689" s="45"/>
      <c r="C689" s="51"/>
      <c r="D689" s="18"/>
      <c r="E689" s="97"/>
      <c r="F689" s="98"/>
      <c r="G689" s="98"/>
      <c r="H689" s="98"/>
      <c r="I689" s="98"/>
      <c r="J689" s="99">
        <f t="shared" ref="J689:J785" si="375">SUM(E689:I689)</f>
        <v>0</v>
      </c>
      <c r="K689" s="116"/>
      <c r="L689" s="35">
        <f t="shared" si="374"/>
        <v>0</v>
      </c>
      <c r="M689" s="34">
        <f t="shared" si="374"/>
        <v>0</v>
      </c>
      <c r="N689" s="34">
        <f t="shared" si="374"/>
        <v>0</v>
      </c>
      <c r="O689" s="34">
        <f t="shared" si="374"/>
        <v>0</v>
      </c>
      <c r="P689" s="269">
        <f t="shared" si="374"/>
        <v>0</v>
      </c>
      <c r="Q689" s="279">
        <f>SUM(L689:P689)</f>
        <v>0</v>
      </c>
      <c r="R689" s="19"/>
      <c r="S689" s="18"/>
      <c r="T689" s="51"/>
    </row>
    <row r="690" spans="1:20" x14ac:dyDescent="0.2">
      <c r="A690" s="20" t="s">
        <v>482</v>
      </c>
      <c r="B690" s="46"/>
      <c r="C690" s="51" t="s">
        <v>398</v>
      </c>
      <c r="D690" s="21"/>
      <c r="E690" s="96"/>
      <c r="F690" s="100"/>
      <c r="G690" s="100"/>
      <c r="H690" s="100"/>
      <c r="I690" s="100"/>
      <c r="J690" s="101">
        <f t="shared" si="375"/>
        <v>0</v>
      </c>
      <c r="K690" s="115"/>
      <c r="L690" s="161">
        <f t="shared" ref="L690:Q690" si="376">SUM(L691:L692)</f>
        <v>4500</v>
      </c>
      <c r="M690" s="157">
        <f t="shared" si="376"/>
        <v>0</v>
      </c>
      <c r="N690" s="157">
        <f t="shared" si="376"/>
        <v>0</v>
      </c>
      <c r="O690" s="157">
        <f t="shared" si="376"/>
        <v>0</v>
      </c>
      <c r="P690" s="270">
        <f t="shared" si="376"/>
        <v>0</v>
      </c>
      <c r="Q690" s="284">
        <f t="shared" si="376"/>
        <v>4500</v>
      </c>
      <c r="R690" s="39" t="s">
        <v>758</v>
      </c>
      <c r="S690" s="21" t="s">
        <v>665</v>
      </c>
      <c r="T690" s="51"/>
    </row>
    <row r="691" spans="1:20" x14ac:dyDescent="0.2">
      <c r="A691" s="95">
        <v>2</v>
      </c>
      <c r="B691" s="108" t="str">
        <f>IF(A691&lt;&gt;0,INDEX(Coûts,'PA-Détails'!A691, 2),)</f>
        <v>Assistance technique nationale (consultants)</v>
      </c>
      <c r="C691" s="51"/>
      <c r="D691" s="94" t="str">
        <f>IF(A691&lt;&gt;0,INDEX(Coûts, 'PA-Détails'!A691, 5),)</f>
        <v>Pers / j</v>
      </c>
      <c r="E691" s="96">
        <v>5</v>
      </c>
      <c r="F691" s="100"/>
      <c r="G691" s="100"/>
      <c r="H691" s="100"/>
      <c r="I691" s="100"/>
      <c r="J691" s="101">
        <f t="shared" si="375"/>
        <v>5</v>
      </c>
      <c r="K691" s="115">
        <f>IF(A691&lt;&gt;0,INDEX(Coûts, 'PA-Détails'!A691, 3),)</f>
        <v>300</v>
      </c>
      <c r="L691" s="37">
        <f t="shared" ref="L691:P692" si="377">ROUND(+$K691*E691,0)</f>
        <v>1500</v>
      </c>
      <c r="M691" s="36">
        <f t="shared" si="377"/>
        <v>0</v>
      </c>
      <c r="N691" s="36">
        <f t="shared" si="377"/>
        <v>0</v>
      </c>
      <c r="O691" s="36">
        <f t="shared" si="377"/>
        <v>0</v>
      </c>
      <c r="P691" s="268">
        <f t="shared" si="377"/>
        <v>0</v>
      </c>
      <c r="Q691" s="281">
        <f>SUM(L691:P691)</f>
        <v>1500</v>
      </c>
      <c r="R691" s="22"/>
      <c r="S691" s="21"/>
      <c r="T691" s="51"/>
    </row>
    <row r="692" spans="1:20" x14ac:dyDescent="0.2">
      <c r="A692" s="95">
        <v>5</v>
      </c>
      <c r="B692" s="108" t="str">
        <f>IF(A692&lt;&gt;0,INDEX(Coûts,'PA-Détails'!A692, 2),)</f>
        <v>Atelier de validation</v>
      </c>
      <c r="C692" s="51"/>
      <c r="D692" s="94" t="str">
        <f>IF(A692&lt;&gt;0,INDEX(Coûts, 'PA-Détails'!A692, 5),)</f>
        <v>Pers / j</v>
      </c>
      <c r="E692" s="96">
        <f>3*20</f>
        <v>60</v>
      </c>
      <c r="F692" s="100"/>
      <c r="G692" s="100"/>
      <c r="H692" s="100"/>
      <c r="I692" s="100"/>
      <c r="J692" s="101">
        <f t="shared" si="375"/>
        <v>60</v>
      </c>
      <c r="K692" s="115">
        <f>IF(A692&lt;&gt;0,INDEX(Coûts, 'PA-Détails'!A692, 3),)</f>
        <v>50</v>
      </c>
      <c r="L692" s="37">
        <f t="shared" si="377"/>
        <v>3000</v>
      </c>
      <c r="M692" s="36">
        <f t="shared" si="377"/>
        <v>0</v>
      </c>
      <c r="N692" s="36">
        <f t="shared" si="377"/>
        <v>0</v>
      </c>
      <c r="O692" s="36">
        <f t="shared" si="377"/>
        <v>0</v>
      </c>
      <c r="P692" s="268">
        <f t="shared" si="377"/>
        <v>0</v>
      </c>
      <c r="Q692" s="281">
        <f>SUM(L692:P692)</f>
        <v>3000</v>
      </c>
      <c r="R692" s="22"/>
      <c r="S692" s="21"/>
      <c r="T692" s="51"/>
    </row>
    <row r="693" spans="1:20" x14ac:dyDescent="0.2">
      <c r="A693" s="20" t="s">
        <v>483</v>
      </c>
      <c r="B693" s="46"/>
      <c r="C693" s="51"/>
      <c r="D693" s="21"/>
      <c r="E693" s="96"/>
      <c r="F693" s="100"/>
      <c r="G693" s="100"/>
      <c r="H693" s="100"/>
      <c r="I693" s="100"/>
      <c r="J693" s="101">
        <f t="shared" si="375"/>
        <v>0</v>
      </c>
      <c r="K693" s="115"/>
      <c r="L693" s="161">
        <f t="shared" ref="L693:Q693" si="378">SUM(L694:L694)</f>
        <v>15750000</v>
      </c>
      <c r="M693" s="157">
        <f t="shared" si="378"/>
        <v>16537500</v>
      </c>
      <c r="N693" s="157">
        <f t="shared" si="378"/>
        <v>17364375</v>
      </c>
      <c r="O693" s="157">
        <f t="shared" si="378"/>
        <v>18232594</v>
      </c>
      <c r="P693" s="270">
        <f t="shared" si="378"/>
        <v>19144223</v>
      </c>
      <c r="Q693" s="284">
        <f t="shared" si="378"/>
        <v>87028692</v>
      </c>
      <c r="R693" s="39" t="s">
        <v>758</v>
      </c>
      <c r="S693" s="21" t="s">
        <v>665</v>
      </c>
      <c r="T693" s="51"/>
    </row>
    <row r="694" spans="1:20" x14ac:dyDescent="0.2">
      <c r="A694" s="95">
        <v>132</v>
      </c>
      <c r="B694" s="108" t="str">
        <f>IF(A694&lt;&gt;0,INDEX(Coûts,'PA-Détails'!A694, 2),)</f>
        <v>Kit pédagogique pour le secondaire</v>
      </c>
      <c r="C694" s="51"/>
      <c r="D694" s="94" t="str">
        <f>IF(A694&lt;&gt;0,INDEX(Coûts, 'PA-Détails'!A694, 5),)</f>
        <v>Forfait</v>
      </c>
      <c r="E694" s="96">
        <f>H!E69</f>
        <v>10500</v>
      </c>
      <c r="F694" s="100">
        <f>H!F69</f>
        <v>11025</v>
      </c>
      <c r="G694" s="100">
        <f>H!G69</f>
        <v>11576.25</v>
      </c>
      <c r="H694" s="100">
        <f>H!H69</f>
        <v>12155.0625</v>
      </c>
      <c r="I694" s="100">
        <f>H!I69</f>
        <v>12762.815625000001</v>
      </c>
      <c r="J694" s="101">
        <f t="shared" si="375"/>
        <v>58019.128125000003</v>
      </c>
      <c r="K694" s="115">
        <f>IF(A694&lt;&gt;0,INDEX(Coûts, 'PA-Détails'!A694, 3),)</f>
        <v>1500</v>
      </c>
      <c r="L694" s="37">
        <f t="shared" ref="L694:P695" si="379">ROUND(+$K694*E694,0)</f>
        <v>15750000</v>
      </c>
      <c r="M694" s="36">
        <f t="shared" si="379"/>
        <v>16537500</v>
      </c>
      <c r="N694" s="36">
        <f t="shared" si="379"/>
        <v>17364375</v>
      </c>
      <c r="O694" s="36">
        <f t="shared" si="379"/>
        <v>18232594</v>
      </c>
      <c r="P694" s="268">
        <f t="shared" si="379"/>
        <v>19144223</v>
      </c>
      <c r="Q694" s="281">
        <f>SUM(L694:P694)</f>
        <v>87028692</v>
      </c>
      <c r="R694" s="22"/>
      <c r="S694" s="21"/>
      <c r="T694" s="51"/>
    </row>
    <row r="695" spans="1:20" x14ac:dyDescent="0.2">
      <c r="A695" s="17" t="s">
        <v>484</v>
      </c>
      <c r="B695" s="45"/>
      <c r="C695" s="51" t="s">
        <v>401</v>
      </c>
      <c r="D695" s="18"/>
      <c r="E695" s="97"/>
      <c r="F695" s="98"/>
      <c r="G695" s="98"/>
      <c r="H695" s="98"/>
      <c r="I695" s="98"/>
      <c r="J695" s="99">
        <f t="shared" si="375"/>
        <v>0</v>
      </c>
      <c r="K695" s="116"/>
      <c r="L695" s="35">
        <f t="shared" si="379"/>
        <v>0</v>
      </c>
      <c r="M695" s="34">
        <f t="shared" si="379"/>
        <v>0</v>
      </c>
      <c r="N695" s="34">
        <f t="shared" si="379"/>
        <v>0</v>
      </c>
      <c r="O695" s="34">
        <f t="shared" si="379"/>
        <v>0</v>
      </c>
      <c r="P695" s="269">
        <f t="shared" si="379"/>
        <v>0</v>
      </c>
      <c r="Q695" s="279">
        <f>SUM(L695:P695)</f>
        <v>0</v>
      </c>
      <c r="R695" s="19"/>
      <c r="S695" s="18"/>
      <c r="T695" s="51"/>
    </row>
    <row r="696" spans="1:20" x14ac:dyDescent="0.2">
      <c r="A696" s="20" t="s">
        <v>1088</v>
      </c>
      <c r="B696" s="46"/>
      <c r="C696" s="51"/>
      <c r="D696" s="21"/>
      <c r="E696" s="96"/>
      <c r="F696" s="100"/>
      <c r="G696" s="100"/>
      <c r="H696" s="100"/>
      <c r="I696" s="100"/>
      <c r="J696" s="101">
        <f t="shared" si="375"/>
        <v>0</v>
      </c>
      <c r="K696" s="115"/>
      <c r="L696" s="161">
        <f t="shared" ref="L696:Q696" si="380">SUM(L697:L698)</f>
        <v>7200</v>
      </c>
      <c r="M696" s="157">
        <f t="shared" si="380"/>
        <v>0</v>
      </c>
      <c r="N696" s="157">
        <f t="shared" si="380"/>
        <v>0</v>
      </c>
      <c r="O696" s="157">
        <f t="shared" si="380"/>
        <v>0</v>
      </c>
      <c r="P696" s="270">
        <f t="shared" si="380"/>
        <v>0</v>
      </c>
      <c r="Q696" s="284">
        <f t="shared" si="380"/>
        <v>7200</v>
      </c>
      <c r="R696" s="39" t="s">
        <v>758</v>
      </c>
      <c r="S696" s="115" t="s">
        <v>670</v>
      </c>
      <c r="T696" s="51"/>
    </row>
    <row r="697" spans="1:20" x14ac:dyDescent="0.2">
      <c r="A697" s="95">
        <v>11</v>
      </c>
      <c r="B697" s="108" t="str">
        <f>IF(A697&lt;&gt;0,INDEX(Coûts,'PA-Détails'!A697, 2),)</f>
        <v>Atelier technique</v>
      </c>
      <c r="C697" s="51"/>
      <c r="D697" s="94" t="str">
        <f>IF(A697&lt;&gt;0,INDEX(Coûts, 'PA-Détails'!A697, 5),)</f>
        <v>Pers / j</v>
      </c>
      <c r="E697" s="96">
        <f>3*20</f>
        <v>60</v>
      </c>
      <c r="F697" s="100"/>
      <c r="G697" s="100"/>
      <c r="H697" s="100"/>
      <c r="I697" s="100"/>
      <c r="J697" s="101">
        <f t="shared" si="375"/>
        <v>60</v>
      </c>
      <c r="K697" s="115">
        <f>IF(A697&lt;&gt;0,INDEX(Coûts, 'PA-Détails'!A697, 3),)</f>
        <v>70</v>
      </c>
      <c r="L697" s="37">
        <f t="shared" ref="L697:P698" si="381">ROUND(+$K697*E697,0)</f>
        <v>4200</v>
      </c>
      <c r="M697" s="36">
        <f t="shared" si="381"/>
        <v>0</v>
      </c>
      <c r="N697" s="36">
        <f t="shared" si="381"/>
        <v>0</v>
      </c>
      <c r="O697" s="36">
        <f t="shared" si="381"/>
        <v>0</v>
      </c>
      <c r="P697" s="268">
        <f t="shared" si="381"/>
        <v>0</v>
      </c>
      <c r="Q697" s="281">
        <f>SUM(L697:P697)</f>
        <v>4200</v>
      </c>
      <c r="R697" s="22"/>
      <c r="S697" s="115"/>
      <c r="T697" s="51"/>
    </row>
    <row r="698" spans="1:20" x14ac:dyDescent="0.2">
      <c r="A698" s="95">
        <v>5</v>
      </c>
      <c r="B698" s="108" t="str">
        <f>IF(A698&lt;&gt;0,INDEX(Coûts,'PA-Détails'!A698, 2),)</f>
        <v>Atelier de validation</v>
      </c>
      <c r="C698" s="51"/>
      <c r="D698" s="94" t="str">
        <f>IF(A698&lt;&gt;0,INDEX(Coûts, 'PA-Détails'!A698, 5),)</f>
        <v>Pers / j</v>
      </c>
      <c r="E698" s="96">
        <f>3*20</f>
        <v>60</v>
      </c>
      <c r="F698" s="100"/>
      <c r="G698" s="100"/>
      <c r="H698" s="100"/>
      <c r="I698" s="100"/>
      <c r="J698" s="101">
        <f t="shared" si="375"/>
        <v>60</v>
      </c>
      <c r="K698" s="115">
        <f>IF(A698&lt;&gt;0,INDEX(Coûts, 'PA-Détails'!A698, 3),)</f>
        <v>50</v>
      </c>
      <c r="L698" s="37">
        <f t="shared" si="381"/>
        <v>3000</v>
      </c>
      <c r="M698" s="36">
        <f t="shared" si="381"/>
        <v>0</v>
      </c>
      <c r="N698" s="36">
        <f t="shared" si="381"/>
        <v>0</v>
      </c>
      <c r="O698" s="36">
        <f t="shared" si="381"/>
        <v>0</v>
      </c>
      <c r="P698" s="268">
        <f t="shared" si="381"/>
        <v>0</v>
      </c>
      <c r="Q698" s="281">
        <f>SUM(L698:P698)</f>
        <v>3000</v>
      </c>
      <c r="R698" s="22"/>
      <c r="S698" s="115"/>
      <c r="T698" s="51"/>
    </row>
    <row r="699" spans="1:20" x14ac:dyDescent="0.2">
      <c r="A699" s="20" t="s">
        <v>1089</v>
      </c>
      <c r="B699" s="46"/>
      <c r="C699" s="51"/>
      <c r="D699" s="21"/>
      <c r="E699" s="96"/>
      <c r="F699" s="100"/>
      <c r="G699" s="100"/>
      <c r="H699" s="100"/>
      <c r="I699" s="100"/>
      <c r="J699" s="101">
        <f t="shared" si="375"/>
        <v>0</v>
      </c>
      <c r="K699" s="115"/>
      <c r="L699" s="161">
        <f t="shared" ref="L699:Q699" si="382">SUM(L700:L702)</f>
        <v>13800</v>
      </c>
      <c r="M699" s="157">
        <f t="shared" si="382"/>
        <v>0</v>
      </c>
      <c r="N699" s="157">
        <f t="shared" si="382"/>
        <v>0</v>
      </c>
      <c r="O699" s="157">
        <f t="shared" si="382"/>
        <v>0</v>
      </c>
      <c r="P699" s="270">
        <f t="shared" si="382"/>
        <v>0</v>
      </c>
      <c r="Q699" s="284">
        <f t="shared" si="382"/>
        <v>13800</v>
      </c>
      <c r="R699" s="39" t="s">
        <v>758</v>
      </c>
      <c r="S699" s="115" t="s">
        <v>670</v>
      </c>
      <c r="T699" s="51"/>
    </row>
    <row r="700" spans="1:20" x14ac:dyDescent="0.2">
      <c r="A700" s="95">
        <v>11</v>
      </c>
      <c r="B700" s="108" t="str">
        <f>IF(A700&lt;&gt;0,INDEX(Coûts,'PA-Détails'!A700, 2),)</f>
        <v>Atelier technique</v>
      </c>
      <c r="C700" s="51"/>
      <c r="D700" s="94" t="str">
        <f>IF(A700&lt;&gt;0,INDEX(Coûts, 'PA-Détails'!A700, 5),)</f>
        <v>Pers / j</v>
      </c>
      <c r="E700" s="96">
        <f>3*20</f>
        <v>60</v>
      </c>
      <c r="F700" s="100"/>
      <c r="G700" s="100"/>
      <c r="H700" s="100"/>
      <c r="I700" s="100"/>
      <c r="J700" s="101">
        <f t="shared" si="375"/>
        <v>60</v>
      </c>
      <c r="K700" s="115">
        <f>IF(A700&lt;&gt;0,INDEX(Coûts, 'PA-Détails'!A700, 3),)</f>
        <v>70</v>
      </c>
      <c r="L700" s="37">
        <f t="shared" ref="L700:P702" si="383">ROUND(+$K700*E700,0)</f>
        <v>4200</v>
      </c>
      <c r="M700" s="36">
        <f t="shared" si="383"/>
        <v>0</v>
      </c>
      <c r="N700" s="36">
        <f t="shared" si="383"/>
        <v>0</v>
      </c>
      <c r="O700" s="36">
        <f t="shared" si="383"/>
        <v>0</v>
      </c>
      <c r="P700" s="268">
        <f t="shared" si="383"/>
        <v>0</v>
      </c>
      <c r="Q700" s="281">
        <f>SUM(L700:P700)</f>
        <v>4200</v>
      </c>
      <c r="R700" s="22"/>
      <c r="S700" s="115"/>
      <c r="T700" s="51"/>
    </row>
    <row r="701" spans="1:20" x14ac:dyDescent="0.2">
      <c r="A701" s="95">
        <v>5</v>
      </c>
      <c r="B701" s="108" t="str">
        <f>IF(A701&lt;&gt;0,INDEX(Coûts,'PA-Détails'!A701, 2),)</f>
        <v>Atelier de validation</v>
      </c>
      <c r="C701" s="51"/>
      <c r="D701" s="94" t="str">
        <f>IF(A701&lt;&gt;0,INDEX(Coûts, 'PA-Détails'!A701, 5),)</f>
        <v>Pers / j</v>
      </c>
      <c r="E701" s="96">
        <f>3*20</f>
        <v>60</v>
      </c>
      <c r="F701" s="100"/>
      <c r="G701" s="100"/>
      <c r="H701" s="100"/>
      <c r="I701" s="100"/>
      <c r="J701" s="101">
        <f t="shared" si="375"/>
        <v>60</v>
      </c>
      <c r="K701" s="115">
        <f>IF(A701&lt;&gt;0,INDEX(Coûts, 'PA-Détails'!A701, 3),)</f>
        <v>50</v>
      </c>
      <c r="L701" s="37">
        <f t="shared" si="383"/>
        <v>3000</v>
      </c>
      <c r="M701" s="36">
        <f t="shared" si="383"/>
        <v>0</v>
      </c>
      <c r="N701" s="36">
        <f t="shared" si="383"/>
        <v>0</v>
      </c>
      <c r="O701" s="36">
        <f t="shared" si="383"/>
        <v>0</v>
      </c>
      <c r="P701" s="268">
        <f t="shared" si="383"/>
        <v>0</v>
      </c>
      <c r="Q701" s="281">
        <f>SUM(L701:P701)</f>
        <v>3000</v>
      </c>
      <c r="R701" s="22"/>
      <c r="S701" s="115"/>
      <c r="T701" s="51"/>
    </row>
    <row r="702" spans="1:20" x14ac:dyDescent="0.2">
      <c r="A702" s="95">
        <v>8</v>
      </c>
      <c r="B702" s="108" t="str">
        <f>IF(A702&lt;&gt;0,INDEX(Coûts,'PA-Détails'!A702, 2),)</f>
        <v>Formation</v>
      </c>
      <c r="C702" s="51"/>
      <c r="D702" s="94" t="str">
        <f>IF(A702&lt;&gt;0,INDEX(Coûts, 'PA-Détails'!A702, 5),)</f>
        <v>Pers / j</v>
      </c>
      <c r="E702" s="96">
        <f>3*20</f>
        <v>60</v>
      </c>
      <c r="F702" s="100"/>
      <c r="G702" s="100"/>
      <c r="H702" s="100"/>
      <c r="I702" s="100"/>
      <c r="J702" s="101">
        <f t="shared" si="375"/>
        <v>60</v>
      </c>
      <c r="K702" s="115">
        <f>IF(A702&lt;&gt;0,INDEX(Coûts, 'PA-Détails'!A702, 3),)</f>
        <v>110</v>
      </c>
      <c r="L702" s="37">
        <f t="shared" si="383"/>
        <v>6600</v>
      </c>
      <c r="M702" s="36">
        <f t="shared" si="383"/>
        <v>0</v>
      </c>
      <c r="N702" s="36">
        <f t="shared" si="383"/>
        <v>0</v>
      </c>
      <c r="O702" s="36">
        <f t="shared" si="383"/>
        <v>0</v>
      </c>
      <c r="P702" s="268">
        <f t="shared" si="383"/>
        <v>0</v>
      </c>
      <c r="Q702" s="281">
        <f>SUM(L702:P702)</f>
        <v>6600</v>
      </c>
      <c r="R702" s="22"/>
      <c r="S702" s="115"/>
      <c r="T702" s="51"/>
    </row>
    <row r="703" spans="1:20" x14ac:dyDescent="0.2">
      <c r="A703" s="20" t="s">
        <v>485</v>
      </c>
      <c r="B703" s="46"/>
      <c r="C703" s="51"/>
      <c r="D703" s="21"/>
      <c r="E703" s="96"/>
      <c r="F703" s="100"/>
      <c r="G703" s="100"/>
      <c r="H703" s="100"/>
      <c r="I703" s="100"/>
      <c r="J703" s="101">
        <f t="shared" si="375"/>
        <v>0</v>
      </c>
      <c r="K703" s="115"/>
      <c r="L703" s="161">
        <f t="shared" ref="L703:Q703" si="384">SUM(L704:L704)</f>
        <v>2775300</v>
      </c>
      <c r="M703" s="157">
        <f t="shared" si="384"/>
        <v>2775300</v>
      </c>
      <c r="N703" s="157">
        <f t="shared" si="384"/>
        <v>2775300</v>
      </c>
      <c r="O703" s="157">
        <f t="shared" si="384"/>
        <v>2775300</v>
      </c>
      <c r="P703" s="270">
        <f t="shared" si="384"/>
        <v>2775300</v>
      </c>
      <c r="Q703" s="284">
        <f t="shared" si="384"/>
        <v>13876500</v>
      </c>
      <c r="R703" s="39" t="s">
        <v>758</v>
      </c>
      <c r="S703" s="115" t="s">
        <v>670</v>
      </c>
      <c r="T703" s="51"/>
    </row>
    <row r="704" spans="1:20" x14ac:dyDescent="0.2">
      <c r="A704" s="95">
        <v>58</v>
      </c>
      <c r="B704" s="108" t="str">
        <f>IF(A704&lt;&gt;0,INDEX(Coûts,'PA-Détails'!A704, 2),)</f>
        <v>Acquisition et distribution des manuels scolaires</v>
      </c>
      <c r="C704" s="51"/>
      <c r="D704" s="94" t="str">
        <f>IF(A704&lt;&gt;0,INDEX(Coûts, 'PA-Détails'!A704, 5),)</f>
        <v>Unité</v>
      </c>
      <c r="E704" s="96">
        <f>H!E75</f>
        <v>925100</v>
      </c>
      <c r="F704" s="100">
        <f>H!F75</f>
        <v>925100</v>
      </c>
      <c r="G704" s="100">
        <f>H!G75</f>
        <v>925100</v>
      </c>
      <c r="H704" s="100">
        <f>H!H75</f>
        <v>925100</v>
      </c>
      <c r="I704" s="100">
        <f>H!I75</f>
        <v>925100</v>
      </c>
      <c r="J704" s="101">
        <f t="shared" si="375"/>
        <v>4625500</v>
      </c>
      <c r="K704" s="115">
        <f>IF(A704&lt;&gt;0,INDEX(Coûts, 'PA-Détails'!A704, 3),)</f>
        <v>3</v>
      </c>
      <c r="L704" s="37">
        <f t="shared" ref="L704:P705" si="385">ROUND(+$K704*E704,0)</f>
        <v>2775300</v>
      </c>
      <c r="M704" s="36">
        <f t="shared" si="385"/>
        <v>2775300</v>
      </c>
      <c r="N704" s="36">
        <f t="shared" si="385"/>
        <v>2775300</v>
      </c>
      <c r="O704" s="36">
        <f t="shared" si="385"/>
        <v>2775300</v>
      </c>
      <c r="P704" s="268">
        <f t="shared" si="385"/>
        <v>2775300</v>
      </c>
      <c r="Q704" s="281">
        <f>SUM(L704:P704)</f>
        <v>13876500</v>
      </c>
      <c r="R704" s="22"/>
      <c r="S704" s="21"/>
      <c r="T704" s="51"/>
    </row>
    <row r="705" spans="1:20" x14ac:dyDescent="0.2">
      <c r="A705" s="17" t="s">
        <v>961</v>
      </c>
      <c r="B705" s="45"/>
      <c r="C705" s="51" t="s">
        <v>917</v>
      </c>
      <c r="D705" s="18"/>
      <c r="E705" s="97"/>
      <c r="F705" s="98"/>
      <c r="G705" s="98"/>
      <c r="H705" s="98"/>
      <c r="I705" s="98"/>
      <c r="J705" s="99">
        <f t="shared" si="375"/>
        <v>0</v>
      </c>
      <c r="K705" s="116"/>
      <c r="L705" s="35">
        <f t="shared" si="385"/>
        <v>0</v>
      </c>
      <c r="M705" s="34">
        <f t="shared" si="385"/>
        <v>0</v>
      </c>
      <c r="N705" s="34">
        <f t="shared" si="385"/>
        <v>0</v>
      </c>
      <c r="O705" s="34">
        <f t="shared" si="385"/>
        <v>0</v>
      </c>
      <c r="P705" s="269">
        <f t="shared" si="385"/>
        <v>0</v>
      </c>
      <c r="Q705" s="279">
        <f>SUM(L705:P705)</f>
        <v>0</v>
      </c>
      <c r="R705" s="19"/>
      <c r="S705" s="18"/>
      <c r="T705" s="51"/>
    </row>
    <row r="706" spans="1:20" x14ac:dyDescent="0.2">
      <c r="A706" s="20" t="s">
        <v>962</v>
      </c>
      <c r="B706" s="46"/>
      <c r="C706" s="51"/>
      <c r="D706" s="21"/>
      <c r="E706" s="96"/>
      <c r="F706" s="100"/>
      <c r="G706" s="100"/>
      <c r="H706" s="100"/>
      <c r="I706" s="100"/>
      <c r="J706" s="101">
        <f t="shared" si="375"/>
        <v>0</v>
      </c>
      <c r="K706" s="115"/>
      <c r="L706" s="161">
        <f t="shared" ref="L706:Q706" si="386">SUM(L707:L707)</f>
        <v>41200</v>
      </c>
      <c r="M706" s="157">
        <f t="shared" si="386"/>
        <v>41200</v>
      </c>
      <c r="N706" s="157">
        <f t="shared" si="386"/>
        <v>41200</v>
      </c>
      <c r="O706" s="157">
        <f t="shared" si="386"/>
        <v>41200</v>
      </c>
      <c r="P706" s="270">
        <f t="shared" si="386"/>
        <v>41200</v>
      </c>
      <c r="Q706" s="284">
        <f t="shared" si="386"/>
        <v>206000</v>
      </c>
      <c r="R706" s="39" t="s">
        <v>758</v>
      </c>
      <c r="S706" s="115" t="s">
        <v>670</v>
      </c>
      <c r="T706" s="51"/>
    </row>
    <row r="707" spans="1:20" x14ac:dyDescent="0.2">
      <c r="A707" s="95">
        <v>59</v>
      </c>
      <c r="B707" s="108" t="str">
        <f>IF(A707&lt;&gt;0,INDEX(Coûts,'PA-Détails'!A707, 2),)</f>
        <v>Acquisition et distribution de plaquettes/brochures/guides/livres</v>
      </c>
      <c r="C707" s="51"/>
      <c r="D707" s="94" t="str">
        <f>IF(A707&lt;&gt;0,INDEX(Coûts, 'PA-Détails'!A707, 5),)</f>
        <v>Unité</v>
      </c>
      <c r="E707" s="96">
        <f>H!E77</f>
        <v>20600</v>
      </c>
      <c r="F707" s="100">
        <f>H!F77</f>
        <v>20600</v>
      </c>
      <c r="G707" s="100">
        <f>H!G77</f>
        <v>20600</v>
      </c>
      <c r="H707" s="100">
        <f>H!H77</f>
        <v>20600</v>
      </c>
      <c r="I707" s="100">
        <f>H!I77</f>
        <v>20600</v>
      </c>
      <c r="J707" s="101">
        <f t="shared" si="375"/>
        <v>103000</v>
      </c>
      <c r="K707" s="115">
        <f>IF(A707&lt;&gt;0,INDEX(Coûts, 'PA-Détails'!A707, 3),)</f>
        <v>2</v>
      </c>
      <c r="L707" s="37">
        <f t="shared" ref="L707:P709" si="387">ROUND(+$K707*E707,0)</f>
        <v>41200</v>
      </c>
      <c r="M707" s="36">
        <f t="shared" si="387"/>
        <v>41200</v>
      </c>
      <c r="N707" s="36">
        <f t="shared" si="387"/>
        <v>41200</v>
      </c>
      <c r="O707" s="36">
        <f t="shared" si="387"/>
        <v>41200</v>
      </c>
      <c r="P707" s="268">
        <f t="shared" si="387"/>
        <v>41200</v>
      </c>
      <c r="Q707" s="281">
        <f>SUM(L707:P707)</f>
        <v>206000</v>
      </c>
      <c r="R707" s="22"/>
      <c r="S707" s="21"/>
      <c r="T707" s="51"/>
    </row>
    <row r="708" spans="1:20" x14ac:dyDescent="0.2">
      <c r="A708" s="14" t="s">
        <v>1090</v>
      </c>
      <c r="B708" s="44"/>
      <c r="C708" s="112"/>
      <c r="D708" s="15"/>
      <c r="E708" s="102"/>
      <c r="F708" s="103"/>
      <c r="G708" s="103"/>
      <c r="H708" s="103"/>
      <c r="I708" s="103"/>
      <c r="J708" s="104">
        <f t="shared" si="375"/>
        <v>0</v>
      </c>
      <c r="K708" s="145"/>
      <c r="L708" s="33">
        <f t="shared" si="387"/>
        <v>0</v>
      </c>
      <c r="M708" s="32">
        <f t="shared" si="387"/>
        <v>0</v>
      </c>
      <c r="N708" s="32">
        <f t="shared" si="387"/>
        <v>0</v>
      </c>
      <c r="O708" s="32">
        <f t="shared" si="387"/>
        <v>0</v>
      </c>
      <c r="P708" s="267">
        <f t="shared" si="387"/>
        <v>0</v>
      </c>
      <c r="Q708" s="278">
        <f>SUM(L708:P708)</f>
        <v>0</v>
      </c>
      <c r="R708" s="16"/>
      <c r="S708" s="15"/>
      <c r="T708" s="112">
        <v>2</v>
      </c>
    </row>
    <row r="709" spans="1:20" x14ac:dyDescent="0.2">
      <c r="A709" s="17" t="s">
        <v>89</v>
      </c>
      <c r="B709" s="45"/>
      <c r="C709" s="51" t="s">
        <v>486</v>
      </c>
      <c r="D709" s="18"/>
      <c r="E709" s="97"/>
      <c r="F709" s="98"/>
      <c r="G709" s="98"/>
      <c r="H709" s="98"/>
      <c r="I709" s="98"/>
      <c r="J709" s="99">
        <f t="shared" si="375"/>
        <v>0</v>
      </c>
      <c r="K709" s="116"/>
      <c r="L709" s="35">
        <f t="shared" si="387"/>
        <v>0</v>
      </c>
      <c r="M709" s="34">
        <f t="shared" si="387"/>
        <v>0</v>
      </c>
      <c r="N709" s="34">
        <f t="shared" si="387"/>
        <v>0</v>
      </c>
      <c r="O709" s="34">
        <f t="shared" si="387"/>
        <v>0</v>
      </c>
      <c r="P709" s="269">
        <f t="shared" si="387"/>
        <v>0</v>
      </c>
      <c r="Q709" s="279">
        <f>SUM(L709:P709)</f>
        <v>0</v>
      </c>
      <c r="R709" s="19"/>
      <c r="S709" s="18"/>
      <c r="T709" s="51"/>
    </row>
    <row r="710" spans="1:20" x14ac:dyDescent="0.2">
      <c r="A710" s="20" t="s">
        <v>1091</v>
      </c>
      <c r="B710" s="46"/>
      <c r="C710" s="51"/>
      <c r="D710" s="21"/>
      <c r="E710" s="96"/>
      <c r="F710" s="100"/>
      <c r="G710" s="100"/>
      <c r="H710" s="100"/>
      <c r="I710" s="100"/>
      <c r="J710" s="101">
        <f t="shared" si="375"/>
        <v>0</v>
      </c>
      <c r="K710" s="115"/>
      <c r="L710" s="161">
        <f t="shared" ref="L710:Q710" si="388">SUM(L711:L712)</f>
        <v>14000</v>
      </c>
      <c r="M710" s="157">
        <f t="shared" si="388"/>
        <v>0</v>
      </c>
      <c r="N710" s="157">
        <f t="shared" si="388"/>
        <v>0</v>
      </c>
      <c r="O710" s="157">
        <f t="shared" si="388"/>
        <v>0</v>
      </c>
      <c r="P710" s="270">
        <f t="shared" si="388"/>
        <v>0</v>
      </c>
      <c r="Q710" s="284">
        <f t="shared" si="388"/>
        <v>14000</v>
      </c>
      <c r="R710" s="39" t="s">
        <v>758</v>
      </c>
      <c r="S710" s="115" t="s">
        <v>665</v>
      </c>
      <c r="T710" s="51"/>
    </row>
    <row r="711" spans="1:20" x14ac:dyDescent="0.2">
      <c r="A711" s="95">
        <v>1</v>
      </c>
      <c r="B711" s="108" t="str">
        <f>IF(A711&lt;&gt;0,INDEX(Coûts,'PA-Détails'!A711, 2),)</f>
        <v>Assistance technique internationale (consultants)</v>
      </c>
      <c r="C711" s="51"/>
      <c r="D711" s="94" t="str">
        <f>IF(A711&lt;&gt;0,INDEX(Coûts, 'PA-Détails'!A711, 5),)</f>
        <v>Pers / j</v>
      </c>
      <c r="E711" s="96">
        <v>10</v>
      </c>
      <c r="F711" s="100"/>
      <c r="G711" s="100"/>
      <c r="H711" s="100"/>
      <c r="I711" s="100"/>
      <c r="J711" s="101">
        <f t="shared" si="375"/>
        <v>10</v>
      </c>
      <c r="K711" s="115">
        <f>IF(A711&lt;&gt;0,INDEX(Coûts, 'PA-Détails'!A711, 3),)</f>
        <v>1150</v>
      </c>
      <c r="L711" s="37">
        <f t="shared" ref="L711:P712" si="389">ROUND(+$K711*E711,0)</f>
        <v>11500</v>
      </c>
      <c r="M711" s="36">
        <f t="shared" si="389"/>
        <v>0</v>
      </c>
      <c r="N711" s="36">
        <f t="shared" si="389"/>
        <v>0</v>
      </c>
      <c r="O711" s="36">
        <f t="shared" si="389"/>
        <v>0</v>
      </c>
      <c r="P711" s="268">
        <f t="shared" si="389"/>
        <v>0</v>
      </c>
      <c r="Q711" s="281">
        <f>SUM(L711:P711)</f>
        <v>11500</v>
      </c>
      <c r="R711" s="22"/>
      <c r="S711" s="21"/>
      <c r="T711" s="51"/>
    </row>
    <row r="712" spans="1:20" x14ac:dyDescent="0.2">
      <c r="A712" s="95">
        <v>5</v>
      </c>
      <c r="B712" s="108" t="str">
        <f>IF(A712&lt;&gt;0,INDEX(Coûts,'PA-Détails'!A712, 2),)</f>
        <v>Atelier de validation</v>
      </c>
      <c r="C712" s="51"/>
      <c r="D712" s="94" t="str">
        <f>IF(A712&lt;&gt;0,INDEX(Coûts, 'PA-Détails'!A712, 5),)</f>
        <v>Pers / j</v>
      </c>
      <c r="E712" s="96">
        <v>50</v>
      </c>
      <c r="F712" s="100"/>
      <c r="G712" s="100"/>
      <c r="H712" s="100"/>
      <c r="I712" s="100"/>
      <c r="J712" s="101">
        <f t="shared" si="375"/>
        <v>50</v>
      </c>
      <c r="K712" s="115">
        <f>IF(A712&lt;&gt;0,INDEX(Coûts, 'PA-Détails'!A712, 3),)</f>
        <v>50</v>
      </c>
      <c r="L712" s="37">
        <f t="shared" si="389"/>
        <v>2500</v>
      </c>
      <c r="M712" s="36">
        <f t="shared" si="389"/>
        <v>0</v>
      </c>
      <c r="N712" s="36">
        <f t="shared" si="389"/>
        <v>0</v>
      </c>
      <c r="O712" s="36">
        <f t="shared" si="389"/>
        <v>0</v>
      </c>
      <c r="P712" s="268">
        <f t="shared" si="389"/>
        <v>0</v>
      </c>
      <c r="Q712" s="281">
        <f>SUM(L712:P712)</f>
        <v>2500</v>
      </c>
      <c r="R712" s="22"/>
      <c r="S712" s="21"/>
      <c r="T712" s="51"/>
    </row>
    <row r="713" spans="1:20" x14ac:dyDescent="0.2">
      <c r="A713" s="20" t="s">
        <v>1092</v>
      </c>
      <c r="B713" s="46"/>
      <c r="C713" s="51"/>
      <c r="D713" s="21"/>
      <c r="E713" s="96"/>
      <c r="F713" s="100"/>
      <c r="G713" s="100"/>
      <c r="H713" s="100"/>
      <c r="I713" s="100"/>
      <c r="J713" s="101">
        <f t="shared" si="375"/>
        <v>0</v>
      </c>
      <c r="K713" s="115"/>
      <c r="L713" s="161">
        <f t="shared" ref="L713:Q713" si="390">SUM(L714:L714)</f>
        <v>16300000</v>
      </c>
      <c r="M713" s="157">
        <f t="shared" si="390"/>
        <v>16300000</v>
      </c>
      <c r="N713" s="157">
        <f t="shared" si="390"/>
        <v>16300000</v>
      </c>
      <c r="O713" s="157">
        <f t="shared" si="390"/>
        <v>16300000</v>
      </c>
      <c r="P713" s="270">
        <f t="shared" si="390"/>
        <v>16300000</v>
      </c>
      <c r="Q713" s="284">
        <f t="shared" si="390"/>
        <v>81500000</v>
      </c>
      <c r="R713" s="39" t="s">
        <v>758</v>
      </c>
      <c r="S713" s="115" t="s">
        <v>665</v>
      </c>
      <c r="T713" s="51"/>
    </row>
    <row r="714" spans="1:20" x14ac:dyDescent="0.2">
      <c r="A714" s="95">
        <v>46</v>
      </c>
      <c r="B714" s="108" t="str">
        <f>IF(A714&lt;&gt;0,INDEX(Coûts,'PA-Détails'!A714, 2),)</f>
        <v>Équipement de laboratoire 1</v>
      </c>
      <c r="C714" s="51"/>
      <c r="D714" s="94" t="str">
        <f>IF(A714&lt;&gt;0,INDEX(Coûts, 'PA-Détails'!A714, 5),)</f>
        <v>Forfait</v>
      </c>
      <c r="E714" s="96">
        <f>H!E78</f>
        <v>1630</v>
      </c>
      <c r="F714" s="100">
        <f>H!F78</f>
        <v>1630</v>
      </c>
      <c r="G714" s="100">
        <f>H!G78</f>
        <v>1630</v>
      </c>
      <c r="H714" s="100">
        <f>H!H78</f>
        <v>1630</v>
      </c>
      <c r="I714" s="100">
        <f>H!I78</f>
        <v>1630</v>
      </c>
      <c r="J714" s="101">
        <f t="shared" si="375"/>
        <v>8150</v>
      </c>
      <c r="K714" s="115">
        <f>IF(A714&lt;&gt;0,INDEX(Coûts, 'PA-Détails'!A714, 3),)</f>
        <v>10000</v>
      </c>
      <c r="L714" s="37">
        <f>ROUND(+$K714*E714,0)</f>
        <v>16300000</v>
      </c>
      <c r="M714" s="36">
        <f>ROUND(+$K714*F714,0)</f>
        <v>16300000</v>
      </c>
      <c r="N714" s="36">
        <f>ROUND(+$K714*G714,0)</f>
        <v>16300000</v>
      </c>
      <c r="O714" s="36">
        <f>ROUND(+$K714*H714,0)</f>
        <v>16300000</v>
      </c>
      <c r="P714" s="268">
        <f>ROUND(+$K714*I714,0)</f>
        <v>16300000</v>
      </c>
      <c r="Q714" s="281">
        <f>SUM(L714:P714)</f>
        <v>81500000</v>
      </c>
      <c r="R714" s="22"/>
      <c r="S714" s="21"/>
      <c r="T714" s="51"/>
    </row>
    <row r="715" spans="1:20" x14ac:dyDescent="0.2">
      <c r="A715" s="20" t="s">
        <v>1093</v>
      </c>
      <c r="B715" s="46"/>
      <c r="C715" s="51"/>
      <c r="D715" s="21"/>
      <c r="E715" s="96"/>
      <c r="F715" s="100"/>
      <c r="G715" s="100"/>
      <c r="H715" s="100"/>
      <c r="I715" s="100"/>
      <c r="J715" s="101">
        <f t="shared" si="375"/>
        <v>0</v>
      </c>
      <c r="K715" s="115"/>
      <c r="L715" s="161">
        <f t="shared" ref="L715:Q715" si="391">SUM(L716:L716)</f>
        <v>8150000</v>
      </c>
      <c r="M715" s="157">
        <f t="shared" si="391"/>
        <v>8150000</v>
      </c>
      <c r="N715" s="157">
        <f t="shared" si="391"/>
        <v>8150000</v>
      </c>
      <c r="O715" s="157">
        <f t="shared" si="391"/>
        <v>8150000</v>
      </c>
      <c r="P715" s="270">
        <f t="shared" si="391"/>
        <v>8150000</v>
      </c>
      <c r="Q715" s="284">
        <f t="shared" si="391"/>
        <v>40750000</v>
      </c>
      <c r="R715" s="39" t="s">
        <v>758</v>
      </c>
      <c r="S715" s="115" t="s">
        <v>665</v>
      </c>
      <c r="T715" s="51"/>
    </row>
    <row r="716" spans="1:20" x14ac:dyDescent="0.2">
      <c r="A716" s="95">
        <v>47</v>
      </c>
      <c r="B716" s="108" t="str">
        <f>IF(A716&lt;&gt;0,INDEX(Coûts,'PA-Détails'!A716, 2),)</f>
        <v>Équipement de laboratoire 2</v>
      </c>
      <c r="C716" s="51"/>
      <c r="D716" s="94" t="str">
        <f>IF(A716&lt;&gt;0,INDEX(Coûts, 'PA-Détails'!A716, 5),)</f>
        <v>Forfait</v>
      </c>
      <c r="E716" s="96">
        <f>E714</f>
        <v>1630</v>
      </c>
      <c r="F716" s="100">
        <f>F714</f>
        <v>1630</v>
      </c>
      <c r="G716" s="100">
        <f>G714</f>
        <v>1630</v>
      </c>
      <c r="H716" s="100">
        <f>H714</f>
        <v>1630</v>
      </c>
      <c r="I716" s="100">
        <f>I714</f>
        <v>1630</v>
      </c>
      <c r="J716" s="101">
        <f t="shared" si="375"/>
        <v>8150</v>
      </c>
      <c r="K716" s="115">
        <f>IF(A716&lt;&gt;0,INDEX(Coûts, 'PA-Détails'!A716, 3),)</f>
        <v>5000</v>
      </c>
      <c r="L716" s="37">
        <f t="shared" ref="L716:P717" si="392">ROUND(+$K716*E716,0)</f>
        <v>8150000</v>
      </c>
      <c r="M716" s="36">
        <f t="shared" si="392"/>
        <v>8150000</v>
      </c>
      <c r="N716" s="36">
        <f t="shared" si="392"/>
        <v>8150000</v>
      </c>
      <c r="O716" s="36">
        <f t="shared" si="392"/>
        <v>8150000</v>
      </c>
      <c r="P716" s="268">
        <f t="shared" si="392"/>
        <v>8150000</v>
      </c>
      <c r="Q716" s="281">
        <f>SUM(L716:P716)</f>
        <v>40750000</v>
      </c>
      <c r="R716" s="22"/>
      <c r="S716" s="21"/>
      <c r="T716" s="51"/>
    </row>
    <row r="717" spans="1:20" x14ac:dyDescent="0.2">
      <c r="A717" s="17" t="s">
        <v>90</v>
      </c>
      <c r="B717" s="45"/>
      <c r="C717" s="51" t="s">
        <v>487</v>
      </c>
      <c r="D717" s="18"/>
      <c r="E717" s="97"/>
      <c r="F717" s="98"/>
      <c r="G717" s="98"/>
      <c r="H717" s="98"/>
      <c r="I717" s="98"/>
      <c r="J717" s="99">
        <f t="shared" si="375"/>
        <v>0</v>
      </c>
      <c r="K717" s="116"/>
      <c r="L717" s="35">
        <f t="shared" si="392"/>
        <v>0</v>
      </c>
      <c r="M717" s="34">
        <f t="shared" si="392"/>
        <v>0</v>
      </c>
      <c r="N717" s="34">
        <f t="shared" si="392"/>
        <v>0</v>
      </c>
      <c r="O717" s="34">
        <f t="shared" si="392"/>
        <v>0</v>
      </c>
      <c r="P717" s="269">
        <f t="shared" si="392"/>
        <v>0</v>
      </c>
      <c r="Q717" s="279">
        <f>SUM(L717:P717)</f>
        <v>0</v>
      </c>
      <c r="R717" s="19"/>
      <c r="S717" s="18"/>
      <c r="T717" s="51"/>
    </row>
    <row r="718" spans="1:20" x14ac:dyDescent="0.2">
      <c r="A718" s="20" t="s">
        <v>488</v>
      </c>
      <c r="B718" s="46"/>
      <c r="C718" s="51"/>
      <c r="D718" s="21"/>
      <c r="E718" s="96"/>
      <c r="F718" s="100"/>
      <c r="G718" s="100"/>
      <c r="H718" s="100"/>
      <c r="I718" s="100"/>
      <c r="J718" s="101">
        <f t="shared" si="375"/>
        <v>0</v>
      </c>
      <c r="K718" s="115"/>
      <c r="L718" s="161">
        <f t="shared" ref="L718:Q718" si="393">SUM(L719:L719)</f>
        <v>7500</v>
      </c>
      <c r="M718" s="157">
        <f t="shared" si="393"/>
        <v>0</v>
      </c>
      <c r="N718" s="157">
        <f t="shared" si="393"/>
        <v>0</v>
      </c>
      <c r="O718" s="157">
        <f t="shared" si="393"/>
        <v>0</v>
      </c>
      <c r="P718" s="270">
        <f t="shared" si="393"/>
        <v>0</v>
      </c>
      <c r="Q718" s="284">
        <f t="shared" si="393"/>
        <v>7500</v>
      </c>
      <c r="R718" s="39" t="s">
        <v>758</v>
      </c>
      <c r="S718" s="115" t="s">
        <v>665</v>
      </c>
      <c r="T718" s="51"/>
    </row>
    <row r="719" spans="1:20" x14ac:dyDescent="0.2">
      <c r="A719" s="95">
        <v>2</v>
      </c>
      <c r="B719" s="108" t="str">
        <f>IF(A719&lt;&gt;0,INDEX(Coûts,'PA-Détails'!A719, 2),)</f>
        <v>Assistance technique nationale (consultants)</v>
      </c>
      <c r="C719" s="51"/>
      <c r="D719" s="94" t="str">
        <f>IF(A719&lt;&gt;0,INDEX(Coûts, 'PA-Détails'!A719, 5),)</f>
        <v>Pers / j</v>
      </c>
      <c r="E719" s="96">
        <v>25</v>
      </c>
      <c r="F719" s="100"/>
      <c r="G719" s="100"/>
      <c r="H719" s="100"/>
      <c r="I719" s="100"/>
      <c r="J719" s="101">
        <f t="shared" si="375"/>
        <v>25</v>
      </c>
      <c r="K719" s="115">
        <f>IF(A719&lt;&gt;0,INDEX(Coûts, 'PA-Détails'!A719, 3),)</f>
        <v>300</v>
      </c>
      <c r="L719" s="37">
        <f>ROUND(+$K719*E719,0)</f>
        <v>7500</v>
      </c>
      <c r="M719" s="36">
        <f>ROUND(+$K719*F719,0)</f>
        <v>0</v>
      </c>
      <c r="N719" s="36">
        <f>ROUND(+$K719*G719,0)</f>
        <v>0</v>
      </c>
      <c r="O719" s="36">
        <f>ROUND(+$K719*H719,0)</f>
        <v>0</v>
      </c>
      <c r="P719" s="268">
        <f>ROUND(+$K719*I719,0)</f>
        <v>0</v>
      </c>
      <c r="Q719" s="281">
        <f>SUM(L719:P719)</f>
        <v>7500</v>
      </c>
      <c r="R719" s="22"/>
      <c r="S719" s="21"/>
      <c r="T719" s="51"/>
    </row>
    <row r="720" spans="1:20" x14ac:dyDescent="0.2">
      <c r="A720" s="20" t="s">
        <v>489</v>
      </c>
      <c r="B720" s="46"/>
      <c r="C720" s="51"/>
      <c r="D720" s="21"/>
      <c r="E720" s="96"/>
      <c r="F720" s="100"/>
      <c r="G720" s="100"/>
      <c r="H720" s="100"/>
      <c r="I720" s="100"/>
      <c r="J720" s="101">
        <f t="shared" si="375"/>
        <v>0</v>
      </c>
      <c r="K720" s="115"/>
      <c r="L720" s="161">
        <f t="shared" ref="L720:Q720" si="394">SUM(L721:L723)</f>
        <v>68500</v>
      </c>
      <c r="M720" s="157">
        <f t="shared" si="394"/>
        <v>0</v>
      </c>
      <c r="N720" s="157">
        <f t="shared" si="394"/>
        <v>0</v>
      </c>
      <c r="O720" s="157">
        <f t="shared" si="394"/>
        <v>0</v>
      </c>
      <c r="P720" s="270">
        <f t="shared" si="394"/>
        <v>0</v>
      </c>
      <c r="Q720" s="284">
        <f t="shared" si="394"/>
        <v>68500</v>
      </c>
      <c r="R720" s="39" t="s">
        <v>758</v>
      </c>
      <c r="S720" s="115" t="s">
        <v>665</v>
      </c>
      <c r="T720" s="51"/>
    </row>
    <row r="721" spans="1:20" x14ac:dyDescent="0.2">
      <c r="A721" s="95">
        <v>2</v>
      </c>
      <c r="B721" s="108" t="str">
        <f>IF(A721&lt;&gt;0,INDEX(Coûts,'PA-Détails'!A721, 2),)</f>
        <v>Assistance technique nationale (consultants)</v>
      </c>
      <c r="C721" s="51"/>
      <c r="D721" s="94" t="str">
        <f>IF(A721&lt;&gt;0,INDEX(Coûts, 'PA-Détails'!A721, 5),)</f>
        <v>Pers / j</v>
      </c>
      <c r="E721" s="96">
        <v>20</v>
      </c>
      <c r="F721" s="100"/>
      <c r="G721" s="100"/>
      <c r="H721" s="100"/>
      <c r="I721" s="100"/>
      <c r="J721" s="101">
        <f t="shared" si="375"/>
        <v>20</v>
      </c>
      <c r="K721" s="115">
        <f>IF(A721&lt;&gt;0,INDEX(Coûts, 'PA-Détails'!A721, 3),)</f>
        <v>300</v>
      </c>
      <c r="L721" s="37">
        <f t="shared" ref="L721:P723" si="395">ROUND(+$K721*E721,0)</f>
        <v>6000</v>
      </c>
      <c r="M721" s="36">
        <f t="shared" si="395"/>
        <v>0</v>
      </c>
      <c r="N721" s="36">
        <f t="shared" si="395"/>
        <v>0</v>
      </c>
      <c r="O721" s="36">
        <f t="shared" si="395"/>
        <v>0</v>
      </c>
      <c r="P721" s="268">
        <f t="shared" si="395"/>
        <v>0</v>
      </c>
      <c r="Q721" s="281">
        <f>SUM(L721:P721)</f>
        <v>6000</v>
      </c>
      <c r="R721" s="22"/>
      <c r="S721" s="21"/>
      <c r="T721" s="51"/>
    </row>
    <row r="722" spans="1:20" x14ac:dyDescent="0.2">
      <c r="A722" s="95">
        <v>5</v>
      </c>
      <c r="B722" s="108" t="str">
        <f>IF(A722&lt;&gt;0,INDEX(Coûts,'PA-Détails'!A722, 2),)</f>
        <v>Atelier de validation</v>
      </c>
      <c r="C722" s="51"/>
      <c r="D722" s="94" t="str">
        <f>IF(A722&lt;&gt;0,INDEX(Coûts, 'PA-Détails'!A722, 5),)</f>
        <v>Pers / j</v>
      </c>
      <c r="E722" s="96">
        <v>50</v>
      </c>
      <c r="F722" s="100"/>
      <c r="G722" s="100"/>
      <c r="H722" s="100"/>
      <c r="I722" s="100"/>
      <c r="J722" s="101">
        <f t="shared" si="375"/>
        <v>50</v>
      </c>
      <c r="K722" s="115">
        <f>IF(A722&lt;&gt;0,INDEX(Coûts, 'PA-Détails'!A722, 3),)</f>
        <v>50</v>
      </c>
      <c r="L722" s="37">
        <f t="shared" si="395"/>
        <v>2500</v>
      </c>
      <c r="M722" s="36">
        <f t="shared" si="395"/>
        <v>0</v>
      </c>
      <c r="N722" s="36">
        <f t="shared" si="395"/>
        <v>0</v>
      </c>
      <c r="O722" s="36">
        <f t="shared" si="395"/>
        <v>0</v>
      </c>
      <c r="P722" s="268">
        <f t="shared" si="395"/>
        <v>0</v>
      </c>
      <c r="Q722" s="281">
        <f>SUM(L722:P722)</f>
        <v>2500</v>
      </c>
      <c r="R722" s="22"/>
      <c r="S722" s="21"/>
      <c r="T722" s="51"/>
    </row>
    <row r="723" spans="1:20" x14ac:dyDescent="0.2">
      <c r="A723" s="95">
        <v>12</v>
      </c>
      <c r="B723" s="108" t="str">
        <f>IF(A723&lt;&gt;0,INDEX(Coûts,'PA-Détails'!A723, 2),)</f>
        <v>Formation - Action et Formation de formateurs</v>
      </c>
      <c r="C723" s="51"/>
      <c r="D723" s="94" t="str">
        <f>IF(A723&lt;&gt;0,INDEX(Coûts, 'PA-Détails'!A723, 5),)</f>
        <v>Pers / j</v>
      </c>
      <c r="E723" s="96">
        <v>400</v>
      </c>
      <c r="F723" s="100"/>
      <c r="G723" s="100"/>
      <c r="H723" s="100"/>
      <c r="I723" s="100"/>
      <c r="J723" s="101">
        <f t="shared" si="375"/>
        <v>400</v>
      </c>
      <c r="K723" s="115">
        <f>IF(A723&lt;&gt;0,INDEX(Coûts, 'PA-Détails'!A723, 3),)</f>
        <v>150</v>
      </c>
      <c r="L723" s="37">
        <f t="shared" si="395"/>
        <v>60000</v>
      </c>
      <c r="M723" s="36">
        <f t="shared" si="395"/>
        <v>0</v>
      </c>
      <c r="N723" s="36">
        <f t="shared" si="395"/>
        <v>0</v>
      </c>
      <c r="O723" s="36">
        <f t="shared" si="395"/>
        <v>0</v>
      </c>
      <c r="P723" s="268">
        <f t="shared" si="395"/>
        <v>0</v>
      </c>
      <c r="Q723" s="281">
        <f>SUM(L723:P723)</f>
        <v>60000</v>
      </c>
      <c r="R723" s="22"/>
      <c r="S723" s="21"/>
      <c r="T723" s="51"/>
    </row>
    <row r="724" spans="1:20" x14ac:dyDescent="0.2">
      <c r="A724" s="20" t="s">
        <v>490</v>
      </c>
      <c r="B724" s="46"/>
      <c r="C724" s="51"/>
      <c r="D724" s="21"/>
      <c r="E724" s="96"/>
      <c r="F724" s="100"/>
      <c r="G724" s="100"/>
      <c r="H724" s="100"/>
      <c r="I724" s="100"/>
      <c r="J724" s="101">
        <f t="shared" si="375"/>
        <v>0</v>
      </c>
      <c r="K724" s="115"/>
      <c r="L724" s="161">
        <f t="shared" ref="L724:Q724" si="396">SUM(L725:L726)</f>
        <v>978000</v>
      </c>
      <c r="M724" s="157">
        <f t="shared" si="396"/>
        <v>978000</v>
      </c>
      <c r="N724" s="157">
        <f t="shared" si="396"/>
        <v>978000</v>
      </c>
      <c r="O724" s="157">
        <f t="shared" si="396"/>
        <v>978000</v>
      </c>
      <c r="P724" s="270">
        <f t="shared" si="396"/>
        <v>978000</v>
      </c>
      <c r="Q724" s="284">
        <f t="shared" si="396"/>
        <v>4890000</v>
      </c>
      <c r="R724" s="39" t="s">
        <v>758</v>
      </c>
      <c r="S724" s="115" t="s">
        <v>665</v>
      </c>
      <c r="T724" s="51"/>
    </row>
    <row r="725" spans="1:20" x14ac:dyDescent="0.2">
      <c r="A725" s="95">
        <v>37</v>
      </c>
      <c r="B725" s="108" t="str">
        <f>IF(A725&lt;&gt;0,INDEX(Coûts,'PA-Détails'!A725, 2),)</f>
        <v>Équipement de bibliothèque</v>
      </c>
      <c r="C725" s="51"/>
      <c r="D725" s="94" t="str">
        <f>IF(A725&lt;&gt;0,INDEX(Coûts, 'PA-Détails'!A725, 5),)</f>
        <v>Unité</v>
      </c>
      <c r="E725" s="96">
        <f>E716</f>
        <v>1630</v>
      </c>
      <c r="F725" s="100">
        <f>E725</f>
        <v>1630</v>
      </c>
      <c r="G725" s="100">
        <f>F725</f>
        <v>1630</v>
      </c>
      <c r="H725" s="100">
        <f>G725</f>
        <v>1630</v>
      </c>
      <c r="I725" s="100">
        <f>H725</f>
        <v>1630</v>
      </c>
      <c r="J725" s="101">
        <f t="shared" si="375"/>
        <v>8150</v>
      </c>
      <c r="K725" s="115">
        <f>IF(A725&lt;&gt;0,INDEX(Coûts, 'PA-Détails'!A725, 3),)</f>
        <v>500</v>
      </c>
      <c r="L725" s="37">
        <f t="shared" ref="L725:P728" si="397">ROUND(+$K725*E725,0)</f>
        <v>815000</v>
      </c>
      <c r="M725" s="36">
        <f t="shared" si="397"/>
        <v>815000</v>
      </c>
      <c r="N725" s="36">
        <f t="shared" si="397"/>
        <v>815000</v>
      </c>
      <c r="O725" s="36">
        <f t="shared" si="397"/>
        <v>815000</v>
      </c>
      <c r="P725" s="268">
        <f t="shared" si="397"/>
        <v>815000</v>
      </c>
      <c r="Q725" s="281">
        <f>SUM(L725:P725)</f>
        <v>4075000</v>
      </c>
      <c r="R725" s="22"/>
      <c r="S725" s="21"/>
      <c r="T725" s="51"/>
    </row>
    <row r="726" spans="1:20" x14ac:dyDescent="0.2">
      <c r="A726" s="95">
        <v>59</v>
      </c>
      <c r="B726" s="108" t="str">
        <f>IF(A726&lt;&gt;0,INDEX(Coûts,'PA-Détails'!A726, 2),)</f>
        <v>Acquisition et distribution de plaquettes/brochures/guides/livres</v>
      </c>
      <c r="C726" s="51"/>
      <c r="D726" s="94" t="str">
        <f>IF(A726&lt;&gt;0,INDEX(Coûts, 'PA-Détails'!A726, 5),)</f>
        <v>Unité</v>
      </c>
      <c r="E726" s="96">
        <f>50*E725</f>
        <v>81500</v>
      </c>
      <c r="F726" s="100">
        <f>50*F725</f>
        <v>81500</v>
      </c>
      <c r="G726" s="100">
        <f>50*G725</f>
        <v>81500</v>
      </c>
      <c r="H726" s="100">
        <f>50*H725</f>
        <v>81500</v>
      </c>
      <c r="I726" s="100">
        <f>50*I725</f>
        <v>81500</v>
      </c>
      <c r="J726" s="101">
        <f t="shared" si="375"/>
        <v>407500</v>
      </c>
      <c r="K726" s="115">
        <f>IF(A726&lt;&gt;0,INDEX(Coûts, 'PA-Détails'!A726, 3),)</f>
        <v>2</v>
      </c>
      <c r="L726" s="37">
        <f t="shared" si="397"/>
        <v>163000</v>
      </c>
      <c r="M726" s="36">
        <f t="shared" si="397"/>
        <v>163000</v>
      </c>
      <c r="N726" s="36">
        <f t="shared" si="397"/>
        <v>163000</v>
      </c>
      <c r="O726" s="36">
        <f t="shared" si="397"/>
        <v>163000</v>
      </c>
      <c r="P726" s="268">
        <f t="shared" si="397"/>
        <v>163000</v>
      </c>
      <c r="Q726" s="281">
        <f>SUM(L726:P726)</f>
        <v>815000</v>
      </c>
      <c r="R726" s="22"/>
      <c r="S726" s="21"/>
      <c r="T726" s="51"/>
    </row>
    <row r="727" spans="1:20" x14ac:dyDescent="0.2">
      <c r="A727" s="14" t="s">
        <v>767</v>
      </c>
      <c r="B727" s="44"/>
      <c r="C727" s="112"/>
      <c r="D727" s="15"/>
      <c r="E727" s="102"/>
      <c r="F727" s="103"/>
      <c r="G727" s="103"/>
      <c r="H727" s="103"/>
      <c r="I727" s="103"/>
      <c r="J727" s="104">
        <f t="shared" si="375"/>
        <v>0</v>
      </c>
      <c r="K727" s="145"/>
      <c r="L727" s="33">
        <f t="shared" si="397"/>
        <v>0</v>
      </c>
      <c r="M727" s="32">
        <f t="shared" si="397"/>
        <v>0</v>
      </c>
      <c r="N727" s="32">
        <f t="shared" si="397"/>
        <v>0</v>
      </c>
      <c r="O727" s="32">
        <f t="shared" si="397"/>
        <v>0</v>
      </c>
      <c r="P727" s="267">
        <f t="shared" si="397"/>
        <v>0</v>
      </c>
      <c r="Q727" s="278">
        <f>SUM(L727:P727)</f>
        <v>0</v>
      </c>
      <c r="R727" s="16"/>
      <c r="S727" s="15"/>
      <c r="T727" s="112">
        <v>2</v>
      </c>
    </row>
    <row r="728" spans="1:20" x14ac:dyDescent="0.2">
      <c r="A728" s="17" t="s">
        <v>91</v>
      </c>
      <c r="B728" s="45"/>
      <c r="C728" s="51" t="s">
        <v>491</v>
      </c>
      <c r="D728" s="18"/>
      <c r="E728" s="97"/>
      <c r="F728" s="98"/>
      <c r="G728" s="98"/>
      <c r="H728" s="98"/>
      <c r="I728" s="98"/>
      <c r="J728" s="99">
        <f t="shared" si="375"/>
        <v>0</v>
      </c>
      <c r="K728" s="116"/>
      <c r="L728" s="35">
        <f t="shared" si="397"/>
        <v>0</v>
      </c>
      <c r="M728" s="34">
        <f t="shared" si="397"/>
        <v>0</v>
      </c>
      <c r="N728" s="34">
        <f t="shared" si="397"/>
        <v>0</v>
      </c>
      <c r="O728" s="34">
        <f t="shared" si="397"/>
        <v>0</v>
      </c>
      <c r="P728" s="269">
        <f t="shared" si="397"/>
        <v>0</v>
      </c>
      <c r="Q728" s="279">
        <f>SUM(L728:P728)</f>
        <v>0</v>
      </c>
      <c r="R728" s="19"/>
      <c r="S728" s="18"/>
      <c r="T728" s="51"/>
    </row>
    <row r="729" spans="1:20" x14ac:dyDescent="0.2">
      <c r="A729" s="20" t="s">
        <v>492</v>
      </c>
      <c r="B729" s="46"/>
      <c r="C729" s="51"/>
      <c r="D729" s="21"/>
      <c r="E729" s="96"/>
      <c r="F729" s="100"/>
      <c r="G729" s="100"/>
      <c r="H729" s="100"/>
      <c r="I729" s="100"/>
      <c r="J729" s="101">
        <f t="shared" si="375"/>
        <v>0</v>
      </c>
      <c r="K729" s="115"/>
      <c r="L729" s="161">
        <f t="shared" ref="L729:Q729" si="398">SUM(L730:L730)</f>
        <v>8000000</v>
      </c>
      <c r="M729" s="157">
        <f t="shared" si="398"/>
        <v>8000000</v>
      </c>
      <c r="N729" s="157">
        <f t="shared" si="398"/>
        <v>8000000</v>
      </c>
      <c r="O729" s="157">
        <f t="shared" si="398"/>
        <v>8000000</v>
      </c>
      <c r="P729" s="270">
        <f t="shared" si="398"/>
        <v>8000000</v>
      </c>
      <c r="Q729" s="284">
        <f t="shared" si="398"/>
        <v>40000000</v>
      </c>
      <c r="R729" s="39" t="s">
        <v>753</v>
      </c>
      <c r="S729" s="115" t="s">
        <v>670</v>
      </c>
      <c r="T729" s="51"/>
    </row>
    <row r="730" spans="1:20" x14ac:dyDescent="0.2">
      <c r="A730" s="95">
        <v>50</v>
      </c>
      <c r="B730" s="108" t="str">
        <f>IF(A730&lt;&gt;0,INDEX(Coûts,'PA-Détails'!A730, 2),)</f>
        <v>Table banc/Table (ETFP)</v>
      </c>
      <c r="C730" s="51"/>
      <c r="D730" s="94" t="str">
        <f>IF(A730&lt;&gt;0,INDEX(Coûts, 'PA-Détails'!A730, 5),)</f>
        <v>Unité</v>
      </c>
      <c r="E730" s="96">
        <f>H!E85</f>
        <v>80000</v>
      </c>
      <c r="F730" s="100">
        <f>E730</f>
        <v>80000</v>
      </c>
      <c r="G730" s="100">
        <f>F730</f>
        <v>80000</v>
      </c>
      <c r="H730" s="100">
        <f>G730</f>
        <v>80000</v>
      </c>
      <c r="I730" s="100">
        <f>H730</f>
        <v>80000</v>
      </c>
      <c r="J730" s="101">
        <f t="shared" si="375"/>
        <v>400000</v>
      </c>
      <c r="K730" s="115">
        <f>IF(A730&lt;&gt;0,INDEX(Coûts, 'PA-Détails'!A730, 3),)</f>
        <v>100</v>
      </c>
      <c r="L730" s="37">
        <f t="shared" ref="L730:P731" si="399">ROUND(+$K730*E730,0)</f>
        <v>8000000</v>
      </c>
      <c r="M730" s="36">
        <f t="shared" si="399"/>
        <v>8000000</v>
      </c>
      <c r="N730" s="36">
        <f t="shared" si="399"/>
        <v>8000000</v>
      </c>
      <c r="O730" s="36">
        <f t="shared" si="399"/>
        <v>8000000</v>
      </c>
      <c r="P730" s="268">
        <f t="shared" si="399"/>
        <v>8000000</v>
      </c>
      <c r="Q730" s="281">
        <f>SUM(L730:P730)</f>
        <v>40000000</v>
      </c>
      <c r="R730" s="22"/>
      <c r="S730" s="21"/>
      <c r="T730" s="51"/>
    </row>
    <row r="731" spans="1:20" x14ac:dyDescent="0.2">
      <c r="A731" s="17" t="s">
        <v>493</v>
      </c>
      <c r="B731" s="45"/>
      <c r="C731" s="51" t="s">
        <v>494</v>
      </c>
      <c r="D731" s="18"/>
      <c r="E731" s="97"/>
      <c r="F731" s="98"/>
      <c r="G731" s="98"/>
      <c r="H731" s="98"/>
      <c r="I731" s="98"/>
      <c r="J731" s="99">
        <f t="shared" si="375"/>
        <v>0</v>
      </c>
      <c r="K731" s="116"/>
      <c r="L731" s="35">
        <f t="shared" si="399"/>
        <v>0</v>
      </c>
      <c r="M731" s="34">
        <f t="shared" si="399"/>
        <v>0</v>
      </c>
      <c r="N731" s="34">
        <f t="shared" si="399"/>
        <v>0</v>
      </c>
      <c r="O731" s="34">
        <f t="shared" si="399"/>
        <v>0</v>
      </c>
      <c r="P731" s="269">
        <f t="shared" si="399"/>
        <v>0</v>
      </c>
      <c r="Q731" s="279">
        <f>SUM(L731:P731)</f>
        <v>0</v>
      </c>
      <c r="R731" s="19"/>
      <c r="S731" s="18"/>
      <c r="T731" s="51"/>
    </row>
    <row r="732" spans="1:20" x14ac:dyDescent="0.2">
      <c r="A732" s="20" t="s">
        <v>495</v>
      </c>
      <c r="B732" s="46"/>
      <c r="C732" s="51"/>
      <c r="D732" s="21"/>
      <c r="E732" s="96"/>
      <c r="F732" s="100"/>
      <c r="G732" s="100"/>
      <c r="H732" s="100"/>
      <c r="I732" s="100"/>
      <c r="J732" s="101">
        <f t="shared" si="375"/>
        <v>0</v>
      </c>
      <c r="K732" s="115"/>
      <c r="L732" s="161">
        <f t="shared" ref="L732:Q732" si="400">SUM(L733:L733)</f>
        <v>163000</v>
      </c>
      <c r="M732" s="157">
        <f t="shared" si="400"/>
        <v>163000</v>
      </c>
      <c r="N732" s="157">
        <f t="shared" si="400"/>
        <v>163000</v>
      </c>
      <c r="O732" s="157">
        <f t="shared" si="400"/>
        <v>163000</v>
      </c>
      <c r="P732" s="270">
        <f t="shared" si="400"/>
        <v>163000</v>
      </c>
      <c r="Q732" s="284">
        <f t="shared" si="400"/>
        <v>815000</v>
      </c>
      <c r="R732" s="198" t="s">
        <v>694</v>
      </c>
      <c r="S732" s="115" t="s">
        <v>665</v>
      </c>
      <c r="T732" s="51"/>
    </row>
    <row r="733" spans="1:20" x14ac:dyDescent="0.2">
      <c r="A733" s="95">
        <v>51</v>
      </c>
      <c r="B733" s="108" t="str">
        <f>IF(A733&lt;&gt;0,INDEX(Coûts,'PA-Détails'!A733, 2),)</f>
        <v>Kit d'équipements sportifs</v>
      </c>
      <c r="C733" s="51"/>
      <c r="D733" s="94" t="str">
        <f>IF(A733&lt;&gt;0,INDEX(Coûts, 'PA-Détails'!A733, 5),)</f>
        <v>Forfait</v>
      </c>
      <c r="E733" s="96">
        <f>E725</f>
        <v>1630</v>
      </c>
      <c r="F733" s="100">
        <f>E733</f>
        <v>1630</v>
      </c>
      <c r="G733" s="100">
        <f>F733</f>
        <v>1630</v>
      </c>
      <c r="H733" s="100">
        <f>G733</f>
        <v>1630</v>
      </c>
      <c r="I733" s="100">
        <f>H733</f>
        <v>1630</v>
      </c>
      <c r="J733" s="101">
        <f t="shared" si="375"/>
        <v>8150</v>
      </c>
      <c r="K733" s="115">
        <f>IF(A733&lt;&gt;0,INDEX(Coûts, 'PA-Détails'!A733, 3),)</f>
        <v>100</v>
      </c>
      <c r="L733" s="37">
        <f t="shared" ref="L733:P735" si="401">ROUND(+$K733*E733,0)</f>
        <v>163000</v>
      </c>
      <c r="M733" s="36">
        <f t="shared" si="401"/>
        <v>163000</v>
      </c>
      <c r="N733" s="36">
        <f t="shared" si="401"/>
        <v>163000</v>
      </c>
      <c r="O733" s="36">
        <f t="shared" si="401"/>
        <v>163000</v>
      </c>
      <c r="P733" s="268">
        <f t="shared" si="401"/>
        <v>163000</v>
      </c>
      <c r="Q733" s="281">
        <f>SUM(L733:P733)</f>
        <v>815000</v>
      </c>
      <c r="R733" s="22"/>
      <c r="S733" s="21"/>
      <c r="T733" s="51"/>
    </row>
    <row r="734" spans="1:20" x14ac:dyDescent="0.2">
      <c r="A734" s="14" t="s">
        <v>1169</v>
      </c>
      <c r="B734" s="44"/>
      <c r="C734" s="112"/>
      <c r="D734" s="15"/>
      <c r="E734" s="102"/>
      <c r="F734" s="103"/>
      <c r="G734" s="103"/>
      <c r="H734" s="103"/>
      <c r="I734" s="103"/>
      <c r="J734" s="104">
        <f t="shared" si="375"/>
        <v>0</v>
      </c>
      <c r="K734" s="145"/>
      <c r="L734" s="33">
        <f t="shared" si="401"/>
        <v>0</v>
      </c>
      <c r="M734" s="32">
        <f t="shared" si="401"/>
        <v>0</v>
      </c>
      <c r="N734" s="32">
        <f t="shared" si="401"/>
        <v>0</v>
      </c>
      <c r="O734" s="32">
        <f t="shared" si="401"/>
        <v>0</v>
      </c>
      <c r="P734" s="267">
        <f t="shared" si="401"/>
        <v>0</v>
      </c>
      <c r="Q734" s="278">
        <f>SUM(L734:P734)</f>
        <v>0</v>
      </c>
      <c r="R734" s="16"/>
      <c r="S734" s="15"/>
      <c r="T734" s="112">
        <v>2</v>
      </c>
    </row>
    <row r="735" spans="1:20" x14ac:dyDescent="0.2">
      <c r="A735" s="17" t="s">
        <v>1170</v>
      </c>
      <c r="B735" s="45"/>
      <c r="C735" s="51" t="s">
        <v>458</v>
      </c>
      <c r="D735" s="18"/>
      <c r="E735" s="97"/>
      <c r="F735" s="98"/>
      <c r="G735" s="98"/>
      <c r="H735" s="98"/>
      <c r="I735" s="98"/>
      <c r="J735" s="99">
        <f t="shared" si="375"/>
        <v>0</v>
      </c>
      <c r="K735" s="116"/>
      <c r="L735" s="35">
        <f t="shared" si="401"/>
        <v>0</v>
      </c>
      <c r="M735" s="34">
        <f t="shared" si="401"/>
        <v>0</v>
      </c>
      <c r="N735" s="34">
        <f t="shared" si="401"/>
        <v>0</v>
      </c>
      <c r="O735" s="34">
        <f t="shared" si="401"/>
        <v>0</v>
      </c>
      <c r="P735" s="269">
        <f t="shared" si="401"/>
        <v>0</v>
      </c>
      <c r="Q735" s="279">
        <f>SUM(L735:P735)</f>
        <v>0</v>
      </c>
      <c r="R735" s="19"/>
      <c r="S735" s="18"/>
      <c r="T735" s="51"/>
    </row>
    <row r="736" spans="1:20" x14ac:dyDescent="0.2">
      <c r="A736" s="20" t="s">
        <v>496</v>
      </c>
      <c r="B736" s="46"/>
      <c r="C736" s="51"/>
      <c r="D736" s="21"/>
      <c r="E736" s="96"/>
      <c r="F736" s="100"/>
      <c r="G736" s="100"/>
      <c r="H736" s="100"/>
      <c r="I736" s="100"/>
      <c r="J736" s="101">
        <f t="shared" si="375"/>
        <v>0</v>
      </c>
      <c r="K736" s="115"/>
      <c r="L736" s="161">
        <f t="shared" ref="L736:Q736" si="402">SUM(L737:L738)</f>
        <v>29000</v>
      </c>
      <c r="M736" s="157">
        <f t="shared" si="402"/>
        <v>29000</v>
      </c>
      <c r="N736" s="157">
        <f t="shared" si="402"/>
        <v>0</v>
      </c>
      <c r="O736" s="157">
        <f t="shared" si="402"/>
        <v>0</v>
      </c>
      <c r="P736" s="270">
        <f t="shared" si="402"/>
        <v>0</v>
      </c>
      <c r="Q736" s="284">
        <f t="shared" si="402"/>
        <v>58000</v>
      </c>
      <c r="R736" s="39" t="s">
        <v>758</v>
      </c>
      <c r="S736" s="115" t="s">
        <v>670</v>
      </c>
      <c r="T736" s="51"/>
    </row>
    <row r="737" spans="1:26" x14ac:dyDescent="0.2">
      <c r="A737" s="95">
        <v>2</v>
      </c>
      <c r="B737" s="108" t="str">
        <f>IF(A737&lt;&gt;0,INDEX(Coûts,'PA-Détails'!A737, 2),)</f>
        <v>Assistance technique nationale (consultants)</v>
      </c>
      <c r="C737" s="51"/>
      <c r="D737" s="94" t="str">
        <f>IF(A737&lt;&gt;0,INDEX(Coûts, 'PA-Détails'!A737, 5),)</f>
        <v>Pers / j</v>
      </c>
      <c r="E737" s="96">
        <v>50</v>
      </c>
      <c r="F737" s="100">
        <v>50</v>
      </c>
      <c r="G737" s="100"/>
      <c r="H737" s="100"/>
      <c r="I737" s="100"/>
      <c r="J737" s="101">
        <f t="shared" si="375"/>
        <v>100</v>
      </c>
      <c r="K737" s="115">
        <f>IF(A737&lt;&gt;0,INDEX(Coûts, 'PA-Détails'!A737, 3),)</f>
        <v>300</v>
      </c>
      <c r="L737" s="37">
        <f t="shared" ref="L737:P738" si="403">ROUND(+$K737*E737,0)</f>
        <v>15000</v>
      </c>
      <c r="M737" s="36">
        <f t="shared" si="403"/>
        <v>15000</v>
      </c>
      <c r="N737" s="36">
        <f t="shared" si="403"/>
        <v>0</v>
      </c>
      <c r="O737" s="36">
        <f t="shared" si="403"/>
        <v>0</v>
      </c>
      <c r="P737" s="268">
        <f t="shared" si="403"/>
        <v>0</v>
      </c>
      <c r="Q737" s="281">
        <f>SUM(L737:P737)</f>
        <v>30000</v>
      </c>
      <c r="R737" s="22"/>
      <c r="S737" s="21"/>
      <c r="T737" s="51"/>
    </row>
    <row r="738" spans="1:26" x14ac:dyDescent="0.2">
      <c r="A738" s="95">
        <v>11</v>
      </c>
      <c r="B738" s="108" t="str">
        <f>IF(A738&lt;&gt;0,INDEX(Coûts,'PA-Détails'!A738, 2),)</f>
        <v>Atelier technique</v>
      </c>
      <c r="C738" s="51"/>
      <c r="D738" s="94" t="str">
        <f>IF(A738&lt;&gt;0,INDEX(Coûts, 'PA-Détails'!A738, 5),)</f>
        <v>Pers / j</v>
      </c>
      <c r="E738" s="96">
        <v>200</v>
      </c>
      <c r="F738" s="100">
        <v>200</v>
      </c>
      <c r="G738" s="100"/>
      <c r="H738" s="100"/>
      <c r="I738" s="100"/>
      <c r="J738" s="101">
        <f t="shared" si="375"/>
        <v>400</v>
      </c>
      <c r="K738" s="115">
        <f>IF(A738&lt;&gt;0,INDEX(Coûts, 'PA-Détails'!A738, 3),)</f>
        <v>70</v>
      </c>
      <c r="L738" s="37">
        <f t="shared" si="403"/>
        <v>14000</v>
      </c>
      <c r="M738" s="36">
        <f t="shared" si="403"/>
        <v>14000</v>
      </c>
      <c r="N738" s="36">
        <f t="shared" si="403"/>
        <v>0</v>
      </c>
      <c r="O738" s="36">
        <f t="shared" si="403"/>
        <v>0</v>
      </c>
      <c r="P738" s="268">
        <f t="shared" si="403"/>
        <v>0</v>
      </c>
      <c r="Q738" s="281">
        <f>SUM(L738:P738)</f>
        <v>28000</v>
      </c>
      <c r="R738" s="22"/>
      <c r="S738" s="21"/>
      <c r="T738" s="51"/>
    </row>
    <row r="739" spans="1:26" x14ac:dyDescent="0.2">
      <c r="A739" s="20" t="s">
        <v>497</v>
      </c>
      <c r="B739" s="46"/>
      <c r="C739" s="51"/>
      <c r="D739" s="21"/>
      <c r="E739" s="96"/>
      <c r="F739" s="100"/>
      <c r="G739" s="100"/>
      <c r="H739" s="100"/>
      <c r="I739" s="100"/>
      <c r="J739" s="101">
        <f t="shared" si="375"/>
        <v>0</v>
      </c>
      <c r="K739" s="115"/>
      <c r="L739" s="161">
        <f t="shared" ref="L739:Q739" si="404">SUM(L740:L741)</f>
        <v>5002500</v>
      </c>
      <c r="M739" s="157">
        <f t="shared" si="404"/>
        <v>4980000</v>
      </c>
      <c r="N739" s="157">
        <f t="shared" si="404"/>
        <v>5002500</v>
      </c>
      <c r="O739" s="157">
        <f t="shared" si="404"/>
        <v>4980000</v>
      </c>
      <c r="P739" s="270">
        <f t="shared" si="404"/>
        <v>5002500</v>
      </c>
      <c r="Q739" s="284">
        <f t="shared" si="404"/>
        <v>24967500</v>
      </c>
      <c r="R739" s="39" t="s">
        <v>758</v>
      </c>
      <c r="S739" s="115" t="s">
        <v>670</v>
      </c>
      <c r="T739" s="51"/>
    </row>
    <row r="740" spans="1:26" x14ac:dyDescent="0.2">
      <c r="A740" s="95">
        <v>12</v>
      </c>
      <c r="B740" s="108" t="str">
        <f>IF(A740&lt;&gt;0,INDEX(Coûts,'PA-Détails'!A740, 2),)</f>
        <v>Formation - Action et Formation de formateurs</v>
      </c>
      <c r="C740" s="51"/>
      <c r="D740" s="94" t="str">
        <f>IF(A740&lt;&gt;0,INDEX(Coûts, 'PA-Détails'!A740, 5),)</f>
        <v>Pers / j</v>
      </c>
      <c r="E740" s="96">
        <f>30*5</f>
        <v>150</v>
      </c>
      <c r="F740" s="100"/>
      <c r="G740" s="100">
        <f>E740</f>
        <v>150</v>
      </c>
      <c r="H740" s="100"/>
      <c r="I740" s="100">
        <f>G740</f>
        <v>150</v>
      </c>
      <c r="J740" s="101">
        <f t="shared" si="375"/>
        <v>450</v>
      </c>
      <c r="K740" s="115">
        <f>IF(A740&lt;&gt;0,INDEX(Coûts, 'PA-Détails'!A740, 3),)</f>
        <v>150</v>
      </c>
      <c r="L740" s="37">
        <f t="shared" ref="L740:P776" si="405">ROUND(+$K740*E740,0)</f>
        <v>22500</v>
      </c>
      <c r="M740" s="36">
        <f t="shared" si="405"/>
        <v>0</v>
      </c>
      <c r="N740" s="36">
        <f t="shared" si="405"/>
        <v>22500</v>
      </c>
      <c r="O740" s="36">
        <f t="shared" si="405"/>
        <v>0</v>
      </c>
      <c r="P740" s="268">
        <f t="shared" si="405"/>
        <v>22500</v>
      </c>
      <c r="Q740" s="281">
        <f>SUM(L740:P740)</f>
        <v>67500</v>
      </c>
      <c r="R740" s="22"/>
      <c r="S740" s="21"/>
      <c r="T740" s="51"/>
    </row>
    <row r="741" spans="1:26" x14ac:dyDescent="0.2">
      <c r="A741" s="95">
        <v>13</v>
      </c>
      <c r="B741" s="108" t="str">
        <f>IF(A741&lt;&gt;0,INDEX(Coûts,'PA-Détails'!A741, 2),)</f>
        <v>Formation au niveau local</v>
      </c>
      <c r="C741" s="51"/>
      <c r="D741" s="94" t="str">
        <f>IF(A741&lt;&gt;0,INDEX(Coûts, 'PA-Détails'!A741, 5),)</f>
        <v>Pers / j</v>
      </c>
      <c r="E741" s="96">
        <f>H!E70*5/2</f>
        <v>332000</v>
      </c>
      <c r="F741" s="100">
        <f>E741</f>
        <v>332000</v>
      </c>
      <c r="G741" s="100">
        <f>F741</f>
        <v>332000</v>
      </c>
      <c r="H741" s="100">
        <f>G741</f>
        <v>332000</v>
      </c>
      <c r="I741" s="100">
        <f>G741</f>
        <v>332000</v>
      </c>
      <c r="J741" s="101">
        <f t="shared" si="375"/>
        <v>1660000</v>
      </c>
      <c r="K741" s="115">
        <f>IF(A741&lt;&gt;0,INDEX(Coûts, 'PA-Détails'!A741, 3),)</f>
        <v>15</v>
      </c>
      <c r="L741" s="37">
        <f t="shared" si="405"/>
        <v>4980000</v>
      </c>
      <c r="M741" s="36">
        <f t="shared" si="405"/>
        <v>4980000</v>
      </c>
      <c r="N741" s="36">
        <f t="shared" si="405"/>
        <v>4980000</v>
      </c>
      <c r="O741" s="36">
        <f t="shared" si="405"/>
        <v>4980000</v>
      </c>
      <c r="P741" s="268">
        <f t="shared" si="405"/>
        <v>4980000</v>
      </c>
      <c r="Q741" s="281">
        <f>SUM(L741:P741)</f>
        <v>24900000</v>
      </c>
      <c r="R741" s="22"/>
      <c r="S741" s="21"/>
      <c r="T741" s="51"/>
    </row>
    <row r="742" spans="1:26" x14ac:dyDescent="0.2">
      <c r="A742" s="14" t="s">
        <v>1359</v>
      </c>
      <c r="B742" s="44"/>
      <c r="C742" s="112"/>
      <c r="D742" s="15"/>
      <c r="E742" s="102"/>
      <c r="F742" s="103"/>
      <c r="G742" s="103"/>
      <c r="H742" s="103"/>
      <c r="I742" s="103"/>
      <c r="J742" s="104">
        <f t="shared" ref="J742:J747" si="406">SUM(E742:I742)</f>
        <v>0</v>
      </c>
      <c r="K742" s="145"/>
      <c r="L742" s="33">
        <f t="shared" ref="L742:P743" si="407">ROUND(+$K742*E742,0)</f>
        <v>0</v>
      </c>
      <c r="M742" s="32">
        <f t="shared" si="407"/>
        <v>0</v>
      </c>
      <c r="N742" s="32">
        <f t="shared" si="407"/>
        <v>0</v>
      </c>
      <c r="O742" s="32">
        <f t="shared" si="407"/>
        <v>0</v>
      </c>
      <c r="P742" s="267">
        <f t="shared" si="407"/>
        <v>0</v>
      </c>
      <c r="Q742" s="278">
        <f>SUM(L742:P742)</f>
        <v>0</v>
      </c>
      <c r="R742" s="178"/>
      <c r="S742" s="179"/>
      <c r="T742" s="49">
        <v>3</v>
      </c>
    </row>
    <row r="743" spans="1:26" s="162" customFormat="1" x14ac:dyDescent="0.2">
      <c r="A743" s="122" t="s">
        <v>1171</v>
      </c>
      <c r="B743" s="152"/>
      <c r="C743" s="162" t="s">
        <v>1129</v>
      </c>
      <c r="D743" s="155"/>
      <c r="E743" s="96"/>
      <c r="F743" s="100"/>
      <c r="G743" s="100"/>
      <c r="H743" s="100"/>
      <c r="I743" s="100"/>
      <c r="J743" s="101">
        <f t="shared" si="406"/>
        <v>0</v>
      </c>
      <c r="K743" s="208"/>
      <c r="L743" s="161">
        <f t="shared" si="407"/>
        <v>0</v>
      </c>
      <c r="M743" s="157">
        <f t="shared" si="407"/>
        <v>0</v>
      </c>
      <c r="N743" s="157">
        <f t="shared" si="407"/>
        <v>0</v>
      </c>
      <c r="O743" s="157">
        <f t="shared" si="407"/>
        <v>0</v>
      </c>
      <c r="P743" s="270">
        <f t="shared" si="407"/>
        <v>0</v>
      </c>
      <c r="Q743" s="284">
        <f>SUM(L743:P743)</f>
        <v>0</v>
      </c>
      <c r="R743" s="200"/>
      <c r="S743" s="201"/>
      <c r="T743" s="154"/>
      <c r="U743" s="653"/>
      <c r="V743" s="572"/>
      <c r="W743" s="572"/>
      <c r="X743" s="572"/>
      <c r="Y743" s="572"/>
      <c r="Z743" s="572"/>
    </row>
    <row r="744" spans="1:26" s="162" customFormat="1" x14ac:dyDescent="0.2">
      <c r="A744" s="123" t="s">
        <v>1172</v>
      </c>
      <c r="B744" s="202"/>
      <c r="C744" s="153"/>
      <c r="D744" s="203"/>
      <c r="E744" s="96"/>
      <c r="F744" s="100"/>
      <c r="G744" s="100"/>
      <c r="H744" s="100"/>
      <c r="I744" s="100"/>
      <c r="J744" s="101">
        <f t="shared" si="406"/>
        <v>0</v>
      </c>
      <c r="K744" s="94"/>
      <c r="L744" s="161">
        <f t="shared" ref="L744:Q744" si="408">SUM(L745:L747)</f>
        <v>42000</v>
      </c>
      <c r="M744" s="157">
        <f t="shared" si="408"/>
        <v>0</v>
      </c>
      <c r="N744" s="157">
        <f t="shared" si="408"/>
        <v>0</v>
      </c>
      <c r="O744" s="157">
        <f t="shared" si="408"/>
        <v>0</v>
      </c>
      <c r="P744" s="270">
        <f t="shared" si="408"/>
        <v>0</v>
      </c>
      <c r="Q744" s="284">
        <f t="shared" si="408"/>
        <v>42000</v>
      </c>
      <c r="R744" s="223" t="s">
        <v>1425</v>
      </c>
      <c r="S744" s="224"/>
      <c r="T744" s="153"/>
      <c r="U744" s="653"/>
      <c r="V744" s="572"/>
      <c r="W744" s="572"/>
      <c r="X744" s="572"/>
      <c r="Y744" s="572"/>
      <c r="Z744" s="572"/>
    </row>
    <row r="745" spans="1:26" s="162" customFormat="1" x14ac:dyDescent="0.2">
      <c r="A745" s="199">
        <v>1</v>
      </c>
      <c r="B745" s="163" t="str">
        <f>IF(A745&lt;&gt;0,INDEX(Coûts,'PA-Détails'!A745, 2),)</f>
        <v>Assistance technique internationale (consultants)</v>
      </c>
      <c r="C745" s="153"/>
      <c r="D745" s="94" t="str">
        <f>IF(A745&lt;&gt;0,INDEX(Coûts, 'PA-Détails'!A745, 5),)</f>
        <v>Pers / j</v>
      </c>
      <c r="E745" s="96">
        <v>20</v>
      </c>
      <c r="F745" s="100"/>
      <c r="G745" s="100"/>
      <c r="H745" s="100"/>
      <c r="I745" s="100"/>
      <c r="J745" s="101">
        <f t="shared" si="406"/>
        <v>20</v>
      </c>
      <c r="K745" s="94">
        <f>IF(A745&lt;&gt;0,INDEX(Coûts, 'PA-Détails'!A745, 3),)</f>
        <v>1150</v>
      </c>
      <c r="L745" s="167">
        <f t="shared" ref="L745:P748" si="409">ROUND(+$K745*E745,0)</f>
        <v>23000</v>
      </c>
      <c r="M745" s="168">
        <f t="shared" si="409"/>
        <v>0</v>
      </c>
      <c r="N745" s="168">
        <f t="shared" si="409"/>
        <v>0</v>
      </c>
      <c r="O745" s="168">
        <f t="shared" si="409"/>
        <v>0</v>
      </c>
      <c r="P745" s="271">
        <f t="shared" si="409"/>
        <v>0</v>
      </c>
      <c r="Q745" s="283">
        <f>SUM(L745:P745)</f>
        <v>23000</v>
      </c>
      <c r="R745" s="169"/>
      <c r="S745" s="94"/>
      <c r="T745" s="153"/>
      <c r="U745" s="653"/>
      <c r="V745" s="572"/>
      <c r="W745" s="572"/>
      <c r="X745" s="572"/>
      <c r="Y745" s="572"/>
      <c r="Z745" s="572"/>
    </row>
    <row r="746" spans="1:26" s="162" customFormat="1" x14ac:dyDescent="0.2">
      <c r="A746" s="199">
        <v>2</v>
      </c>
      <c r="B746" s="163" t="str">
        <f>IF(A746&lt;&gt;0,INDEX(Coûts,'PA-Détails'!A746, 2),)</f>
        <v>Assistance technique nationale (consultants)</v>
      </c>
      <c r="C746" s="153"/>
      <c r="D746" s="94" t="str">
        <f>IF(A746&lt;&gt;0,INDEX(Coûts, 'PA-Détails'!A746, 5),)</f>
        <v>Pers / j</v>
      </c>
      <c r="E746" s="96">
        <v>30</v>
      </c>
      <c r="F746" s="100"/>
      <c r="G746" s="100"/>
      <c r="H746" s="100"/>
      <c r="I746" s="100"/>
      <c r="J746" s="101">
        <f t="shared" si="406"/>
        <v>30</v>
      </c>
      <c r="K746" s="94">
        <f>IF(A746&lt;&gt;0,INDEX(Coûts, 'PA-Détails'!A746, 3),)</f>
        <v>300</v>
      </c>
      <c r="L746" s="167">
        <f t="shared" si="409"/>
        <v>9000</v>
      </c>
      <c r="M746" s="168">
        <f t="shared" si="409"/>
        <v>0</v>
      </c>
      <c r="N746" s="168">
        <f t="shared" si="409"/>
        <v>0</v>
      </c>
      <c r="O746" s="168">
        <f t="shared" si="409"/>
        <v>0</v>
      </c>
      <c r="P746" s="271">
        <f t="shared" si="409"/>
        <v>0</v>
      </c>
      <c r="Q746" s="283">
        <f>SUM(L746:P746)</f>
        <v>9000</v>
      </c>
      <c r="R746" s="169"/>
      <c r="S746" s="94"/>
      <c r="T746" s="153"/>
      <c r="U746" s="653"/>
      <c r="V746" s="572"/>
      <c r="W746" s="572"/>
      <c r="X746" s="572"/>
      <c r="Y746" s="572"/>
      <c r="Z746" s="572"/>
    </row>
    <row r="747" spans="1:26" s="162" customFormat="1" x14ac:dyDescent="0.2">
      <c r="A747" s="199">
        <v>5</v>
      </c>
      <c r="B747" s="163" t="str">
        <f>IF(A747&lt;&gt;0,INDEX(Coûts,'PA-Détails'!A747, 2),)</f>
        <v>Atelier de validation</v>
      </c>
      <c r="C747" s="153"/>
      <c r="D747" s="94" t="str">
        <f>IF(A747&lt;&gt;0,INDEX(Coûts, 'PA-Détails'!A747, 5),)</f>
        <v>Pers / j</v>
      </c>
      <c r="E747" s="96">
        <f>100*2</f>
        <v>200</v>
      </c>
      <c r="F747" s="100"/>
      <c r="G747" s="100"/>
      <c r="H747" s="100"/>
      <c r="I747" s="100"/>
      <c r="J747" s="101">
        <f t="shared" si="406"/>
        <v>200</v>
      </c>
      <c r="K747" s="94">
        <f>IF(A747&lt;&gt;0,INDEX(Coûts, 'PA-Détails'!A747, 3),)</f>
        <v>50</v>
      </c>
      <c r="L747" s="167">
        <f t="shared" si="409"/>
        <v>10000</v>
      </c>
      <c r="M747" s="168">
        <f t="shared" si="409"/>
        <v>0</v>
      </c>
      <c r="N747" s="168">
        <f t="shared" si="409"/>
        <v>0</v>
      </c>
      <c r="O747" s="168">
        <f t="shared" si="409"/>
        <v>0</v>
      </c>
      <c r="P747" s="271">
        <f t="shared" si="409"/>
        <v>0</v>
      </c>
      <c r="Q747" s="283">
        <f>SUM(L747:P747)</f>
        <v>10000</v>
      </c>
      <c r="R747" s="169"/>
      <c r="S747" s="94"/>
      <c r="T747" s="153"/>
      <c r="U747" s="653"/>
      <c r="V747" s="572"/>
      <c r="W747" s="572"/>
      <c r="X747" s="572"/>
      <c r="Y747" s="572"/>
      <c r="Z747" s="572"/>
    </row>
    <row r="748" spans="1:26" s="162" customFormat="1" x14ac:dyDescent="0.2">
      <c r="A748" s="122" t="s">
        <v>1173</v>
      </c>
      <c r="B748" s="163"/>
      <c r="C748" s="153"/>
      <c r="D748" s="94"/>
      <c r="E748" s="96"/>
      <c r="F748" s="100"/>
      <c r="G748" s="100"/>
      <c r="H748" s="100"/>
      <c r="I748" s="100"/>
      <c r="J748" s="101"/>
      <c r="K748" s="94"/>
      <c r="L748" s="167">
        <f t="shared" si="409"/>
        <v>0</v>
      </c>
      <c r="M748" s="168">
        <f t="shared" si="409"/>
        <v>0</v>
      </c>
      <c r="N748" s="168">
        <f t="shared" si="409"/>
        <v>0</v>
      </c>
      <c r="O748" s="168">
        <f t="shared" si="409"/>
        <v>0</v>
      </c>
      <c r="P748" s="271">
        <f t="shared" si="409"/>
        <v>0</v>
      </c>
      <c r="Q748" s="283"/>
      <c r="R748" s="243"/>
      <c r="S748" s="94"/>
      <c r="T748" s="153"/>
      <c r="U748" s="653"/>
      <c r="V748" s="572"/>
      <c r="W748" s="572"/>
      <c r="X748" s="572"/>
      <c r="Y748" s="572"/>
      <c r="Z748" s="572"/>
    </row>
    <row r="749" spans="1:26" s="162" customFormat="1" x14ac:dyDescent="0.2">
      <c r="A749" s="123" t="s">
        <v>1174</v>
      </c>
      <c r="B749" s="163"/>
      <c r="C749" s="153"/>
      <c r="D749" s="94"/>
      <c r="E749" s="96"/>
      <c r="F749" s="100"/>
      <c r="G749" s="100"/>
      <c r="H749" s="100"/>
      <c r="I749" s="100"/>
      <c r="J749" s="101"/>
      <c r="K749" s="94"/>
      <c r="L749" s="161">
        <f t="shared" ref="L749:Q749" si="410">SUM(L750:L752)</f>
        <v>42000</v>
      </c>
      <c r="M749" s="157">
        <f t="shared" si="410"/>
        <v>0</v>
      </c>
      <c r="N749" s="157">
        <f t="shared" si="410"/>
        <v>0</v>
      </c>
      <c r="O749" s="157">
        <f t="shared" si="410"/>
        <v>0</v>
      </c>
      <c r="P749" s="270">
        <f t="shared" si="410"/>
        <v>0</v>
      </c>
      <c r="Q749" s="284">
        <f t="shared" si="410"/>
        <v>42000</v>
      </c>
      <c r="R749" s="223" t="s">
        <v>1425</v>
      </c>
      <c r="S749" s="94"/>
      <c r="T749" s="153"/>
      <c r="U749" s="653"/>
      <c r="V749" s="572"/>
      <c r="W749" s="572"/>
      <c r="X749" s="572"/>
      <c r="Y749" s="572"/>
      <c r="Z749" s="572"/>
    </row>
    <row r="750" spans="1:26" s="162" customFormat="1" x14ac:dyDescent="0.2">
      <c r="A750" s="95">
        <v>1</v>
      </c>
      <c r="B750" s="163" t="str">
        <f>IF(A750&lt;&gt;0,INDEX(Coûts,'PA-Détails'!A750, 2),)</f>
        <v>Assistance technique internationale (consultants)</v>
      </c>
      <c r="C750" s="153"/>
      <c r="D750" s="94" t="str">
        <f>IF(A750&lt;&gt;0,INDEX(Coûts, 'PA-Détails'!A750, 5),)</f>
        <v>Pers / j</v>
      </c>
      <c r="E750" s="96">
        <v>20</v>
      </c>
      <c r="F750" s="100"/>
      <c r="G750" s="100"/>
      <c r="H750" s="100"/>
      <c r="I750" s="100"/>
      <c r="J750" s="101">
        <f>SUM(E750:I750)</f>
        <v>20</v>
      </c>
      <c r="K750" s="94">
        <f>IF(A750&lt;&gt;0,INDEX(Coûts, 'PA-Détails'!A750, 3),)</f>
        <v>1150</v>
      </c>
      <c r="L750" s="167">
        <f t="shared" ref="L750:P753" si="411">ROUND(+$K750*E750,0)</f>
        <v>23000</v>
      </c>
      <c r="M750" s="168">
        <f t="shared" si="411"/>
        <v>0</v>
      </c>
      <c r="N750" s="168">
        <f t="shared" si="411"/>
        <v>0</v>
      </c>
      <c r="O750" s="168">
        <f t="shared" si="411"/>
        <v>0</v>
      </c>
      <c r="P750" s="271">
        <f t="shared" si="411"/>
        <v>0</v>
      </c>
      <c r="Q750" s="283">
        <f>SUM(L750:P750)</f>
        <v>23000</v>
      </c>
      <c r="R750" s="169"/>
      <c r="S750" s="94"/>
      <c r="T750" s="153"/>
      <c r="U750" s="653"/>
      <c r="V750" s="572"/>
      <c r="W750" s="572"/>
      <c r="X750" s="572"/>
      <c r="Y750" s="572"/>
      <c r="Z750" s="572"/>
    </row>
    <row r="751" spans="1:26" s="162" customFormat="1" x14ac:dyDescent="0.2">
      <c r="A751" s="95">
        <v>2</v>
      </c>
      <c r="B751" s="163" t="str">
        <f>IF(A751&lt;&gt;0,INDEX(Coûts,'PA-Détails'!A751, 2),)</f>
        <v>Assistance technique nationale (consultants)</v>
      </c>
      <c r="C751" s="153"/>
      <c r="D751" s="94" t="str">
        <f>IF(A751&lt;&gt;0,INDEX(Coûts, 'PA-Détails'!A751, 5),)</f>
        <v>Pers / j</v>
      </c>
      <c r="E751" s="96">
        <v>30</v>
      </c>
      <c r="F751" s="100"/>
      <c r="G751" s="100"/>
      <c r="H751" s="100"/>
      <c r="I751" s="100"/>
      <c r="J751" s="101">
        <f>SUM(E751:I751)</f>
        <v>30</v>
      </c>
      <c r="K751" s="94">
        <f>IF(A751&lt;&gt;0,INDEX(Coûts, 'PA-Détails'!A751, 3),)</f>
        <v>300</v>
      </c>
      <c r="L751" s="167">
        <f t="shared" si="411"/>
        <v>9000</v>
      </c>
      <c r="M751" s="168">
        <f t="shared" si="411"/>
        <v>0</v>
      </c>
      <c r="N751" s="168">
        <f t="shared" si="411"/>
        <v>0</v>
      </c>
      <c r="O751" s="168">
        <f t="shared" si="411"/>
        <v>0</v>
      </c>
      <c r="P751" s="271">
        <f t="shared" si="411"/>
        <v>0</v>
      </c>
      <c r="Q751" s="283">
        <f>SUM(L751:P751)</f>
        <v>9000</v>
      </c>
      <c r="R751" s="169"/>
      <c r="S751" s="94"/>
      <c r="T751" s="153"/>
      <c r="U751" s="653"/>
      <c r="V751" s="572"/>
      <c r="W751" s="572"/>
      <c r="X751" s="572"/>
      <c r="Y751" s="572"/>
      <c r="Z751" s="572"/>
    </row>
    <row r="752" spans="1:26" s="162" customFormat="1" x14ac:dyDescent="0.2">
      <c r="A752" s="95">
        <v>5</v>
      </c>
      <c r="B752" s="163" t="str">
        <f>IF(A752&lt;&gt;0,INDEX(Coûts,'PA-Détails'!A752, 2),)</f>
        <v>Atelier de validation</v>
      </c>
      <c r="C752" s="153"/>
      <c r="D752" s="94" t="str">
        <f>IF(A752&lt;&gt;0,INDEX(Coûts, 'PA-Détails'!A752, 5),)</f>
        <v>Pers / j</v>
      </c>
      <c r="E752" s="96">
        <f>100*2</f>
        <v>200</v>
      </c>
      <c r="F752" s="100"/>
      <c r="G752" s="100"/>
      <c r="H752" s="100"/>
      <c r="I752" s="100"/>
      <c r="J752" s="101">
        <f>SUM(E752:I752)</f>
        <v>200</v>
      </c>
      <c r="K752" s="94">
        <f>IF(A752&lt;&gt;0,INDEX(Coûts, 'PA-Détails'!A752, 3),)</f>
        <v>50</v>
      </c>
      <c r="L752" s="167">
        <f t="shared" si="411"/>
        <v>10000</v>
      </c>
      <c r="M752" s="168">
        <f t="shared" si="411"/>
        <v>0</v>
      </c>
      <c r="N752" s="168">
        <f t="shared" si="411"/>
        <v>0</v>
      </c>
      <c r="O752" s="168">
        <f t="shared" si="411"/>
        <v>0</v>
      </c>
      <c r="P752" s="271">
        <f t="shared" si="411"/>
        <v>0</v>
      </c>
      <c r="Q752" s="283">
        <f>SUM(L752:P752)</f>
        <v>10000</v>
      </c>
      <c r="R752" s="169"/>
      <c r="S752" s="94"/>
      <c r="T752" s="153"/>
      <c r="U752" s="653"/>
      <c r="V752" s="572"/>
      <c r="W752" s="572"/>
      <c r="X752" s="572"/>
      <c r="Y752" s="572"/>
      <c r="Z752" s="572"/>
    </row>
    <row r="753" spans="1:26" s="162" customFormat="1" x14ac:dyDescent="0.2">
      <c r="A753" s="122" t="s">
        <v>1175</v>
      </c>
      <c r="B753" s="163"/>
      <c r="C753" s="153"/>
      <c r="D753" s="94"/>
      <c r="E753" s="96"/>
      <c r="F753" s="100"/>
      <c r="G753" s="100"/>
      <c r="H753" s="100"/>
      <c r="I753" s="100"/>
      <c r="J753" s="101"/>
      <c r="K753" s="94"/>
      <c r="L753" s="167">
        <f t="shared" si="411"/>
        <v>0</v>
      </c>
      <c r="M753" s="168">
        <f t="shared" si="411"/>
        <v>0</v>
      </c>
      <c r="N753" s="168">
        <f t="shared" si="411"/>
        <v>0</v>
      </c>
      <c r="O753" s="168">
        <f t="shared" si="411"/>
        <v>0</v>
      </c>
      <c r="P753" s="271">
        <f t="shared" si="411"/>
        <v>0</v>
      </c>
      <c r="Q753" s="283"/>
      <c r="R753" s="169"/>
      <c r="S753" s="94"/>
      <c r="T753" s="153"/>
      <c r="U753" s="653"/>
      <c r="V753" s="572"/>
      <c r="W753" s="572"/>
      <c r="X753" s="572"/>
      <c r="Y753" s="572"/>
      <c r="Z753" s="572"/>
    </row>
    <row r="754" spans="1:26" s="162" customFormat="1" x14ac:dyDescent="0.2">
      <c r="A754" s="123" t="s">
        <v>1176</v>
      </c>
      <c r="B754" s="202"/>
      <c r="C754" s="153"/>
      <c r="D754" s="203"/>
      <c r="E754" s="96"/>
      <c r="F754" s="100"/>
      <c r="G754" s="100"/>
      <c r="H754" s="100"/>
      <c r="I754" s="100"/>
      <c r="J754" s="101">
        <f t="shared" ref="J754:J760" si="412">SUM(E754:I754)</f>
        <v>0</v>
      </c>
      <c r="K754" s="94"/>
      <c r="L754" s="161">
        <f t="shared" ref="L754:Q754" si="413">SUM(L755:L756)</f>
        <v>9500</v>
      </c>
      <c r="M754" s="157">
        <f t="shared" si="413"/>
        <v>0</v>
      </c>
      <c r="N754" s="157">
        <f t="shared" si="413"/>
        <v>0</v>
      </c>
      <c r="O754" s="157">
        <f t="shared" si="413"/>
        <v>0</v>
      </c>
      <c r="P754" s="270">
        <f t="shared" si="413"/>
        <v>0</v>
      </c>
      <c r="Q754" s="284">
        <f t="shared" si="413"/>
        <v>9500</v>
      </c>
      <c r="R754" s="223" t="s">
        <v>1422</v>
      </c>
      <c r="S754" s="224" t="s">
        <v>670</v>
      </c>
      <c r="T754" s="153"/>
      <c r="U754" s="653"/>
      <c r="V754" s="572"/>
      <c r="W754" s="572"/>
      <c r="X754" s="572"/>
      <c r="Y754" s="572"/>
      <c r="Z754" s="572"/>
    </row>
    <row r="755" spans="1:26" s="162" customFormat="1" x14ac:dyDescent="0.2">
      <c r="A755" s="95">
        <v>2</v>
      </c>
      <c r="B755" s="163" t="str">
        <f>IF(A755&lt;&gt;0,INDEX(Coûts,'PA-Détails'!A755, 2),)</f>
        <v>Assistance technique nationale (consultants)</v>
      </c>
      <c r="C755" s="153"/>
      <c r="D755" s="94" t="str">
        <f>IF(A755&lt;&gt;0,INDEX(Coûts, 'PA-Détails'!A755, 5),)</f>
        <v>Pers / j</v>
      </c>
      <c r="E755" s="96">
        <v>15</v>
      </c>
      <c r="F755" s="100"/>
      <c r="G755" s="100"/>
      <c r="H755" s="100"/>
      <c r="I755" s="100"/>
      <c r="J755" s="101">
        <f t="shared" si="412"/>
        <v>15</v>
      </c>
      <c r="K755" s="94">
        <f>IF(A755&lt;&gt;0,INDEX(Coûts, 'PA-Détails'!A755, 3),)</f>
        <v>300</v>
      </c>
      <c r="L755" s="167">
        <f t="shared" ref="L755:P756" si="414">ROUND(+$K755*E755,0)</f>
        <v>4500</v>
      </c>
      <c r="M755" s="168">
        <f t="shared" si="414"/>
        <v>0</v>
      </c>
      <c r="N755" s="168">
        <f t="shared" si="414"/>
        <v>0</v>
      </c>
      <c r="O755" s="168">
        <f t="shared" si="414"/>
        <v>0</v>
      </c>
      <c r="P755" s="271">
        <f t="shared" si="414"/>
        <v>0</v>
      </c>
      <c r="Q755" s="283">
        <f>SUM(L755:P755)</f>
        <v>4500</v>
      </c>
      <c r="R755" s="169"/>
      <c r="S755" s="94"/>
      <c r="T755" s="153"/>
      <c r="U755" s="653"/>
      <c r="V755" s="572"/>
      <c r="W755" s="572"/>
      <c r="X755" s="572"/>
      <c r="Y755" s="572"/>
      <c r="Z755" s="572"/>
    </row>
    <row r="756" spans="1:26" s="162" customFormat="1" x14ac:dyDescent="0.2">
      <c r="A756" s="95">
        <v>5</v>
      </c>
      <c r="B756" s="163" t="str">
        <f>IF(A756&lt;&gt;0,INDEX(Coûts,'PA-Détails'!A756, 2),)</f>
        <v>Atelier de validation</v>
      </c>
      <c r="C756" s="153"/>
      <c r="D756" s="94" t="str">
        <f>IF(A756&lt;&gt;0,INDEX(Coûts, 'PA-Détails'!A756, 5),)</f>
        <v>Pers / j</v>
      </c>
      <c r="E756" s="96">
        <v>100</v>
      </c>
      <c r="F756" s="100"/>
      <c r="G756" s="100"/>
      <c r="H756" s="100"/>
      <c r="I756" s="100"/>
      <c r="J756" s="101">
        <f t="shared" si="412"/>
        <v>100</v>
      </c>
      <c r="K756" s="94">
        <f>IF(A756&lt;&gt;0,INDEX(Coûts, 'PA-Détails'!A756, 3),)</f>
        <v>50</v>
      </c>
      <c r="L756" s="167">
        <f t="shared" si="414"/>
        <v>5000</v>
      </c>
      <c r="M756" s="168">
        <f t="shared" si="414"/>
        <v>0</v>
      </c>
      <c r="N756" s="168">
        <f t="shared" si="414"/>
        <v>0</v>
      </c>
      <c r="O756" s="168">
        <f t="shared" si="414"/>
        <v>0</v>
      </c>
      <c r="P756" s="271">
        <f t="shared" si="414"/>
        <v>0</v>
      </c>
      <c r="Q756" s="283">
        <f>SUM(L756:P756)</f>
        <v>5000</v>
      </c>
      <c r="R756" s="169"/>
      <c r="S756" s="94"/>
      <c r="T756" s="153"/>
      <c r="U756" s="653"/>
      <c r="V756" s="572"/>
      <c r="W756" s="572"/>
      <c r="X756" s="572"/>
      <c r="Y756" s="572"/>
      <c r="Z756" s="572"/>
    </row>
    <row r="757" spans="1:26" s="162" customFormat="1" x14ac:dyDescent="0.2">
      <c r="A757" s="123" t="s">
        <v>1177</v>
      </c>
      <c r="B757" s="202"/>
      <c r="C757" s="153"/>
      <c r="D757" s="203"/>
      <c r="E757" s="96"/>
      <c r="F757" s="100"/>
      <c r="G757" s="100"/>
      <c r="H757" s="100"/>
      <c r="I757" s="100"/>
      <c r="J757" s="101">
        <f t="shared" si="412"/>
        <v>0</v>
      </c>
      <c r="K757" s="94"/>
      <c r="L757" s="161">
        <f t="shared" ref="L757:Q757" si="415">SUM(L758:L760)</f>
        <v>76000</v>
      </c>
      <c r="M757" s="157">
        <f t="shared" si="415"/>
        <v>0</v>
      </c>
      <c r="N757" s="157">
        <f t="shared" si="415"/>
        <v>0</v>
      </c>
      <c r="O757" s="157">
        <f t="shared" si="415"/>
        <v>0</v>
      </c>
      <c r="P757" s="270">
        <f t="shared" si="415"/>
        <v>0</v>
      </c>
      <c r="Q757" s="284">
        <f t="shared" si="415"/>
        <v>76000</v>
      </c>
      <c r="R757" s="223" t="s">
        <v>1422</v>
      </c>
      <c r="S757" s="224" t="s">
        <v>670</v>
      </c>
      <c r="T757" s="153"/>
      <c r="U757" s="653"/>
      <c r="V757" s="572"/>
      <c r="W757" s="572"/>
      <c r="X757" s="572"/>
      <c r="Y757" s="572"/>
      <c r="Z757" s="572"/>
    </row>
    <row r="758" spans="1:26" s="162" customFormat="1" x14ac:dyDescent="0.2">
      <c r="A758" s="95">
        <v>1</v>
      </c>
      <c r="B758" s="163" t="str">
        <f>IF(A758&lt;&gt;0,INDEX(Coûts,'PA-Détails'!A758, 2),)</f>
        <v>Assistance technique internationale (consultants)</v>
      </c>
      <c r="C758" s="153"/>
      <c r="D758" s="94" t="str">
        <f>IF(A758&lt;&gt;0,INDEX(Coûts, 'PA-Détails'!A758, 5),)</f>
        <v>Pers / j</v>
      </c>
      <c r="E758" s="96">
        <v>40</v>
      </c>
      <c r="F758" s="100"/>
      <c r="G758" s="100"/>
      <c r="H758" s="100"/>
      <c r="I758" s="100"/>
      <c r="J758" s="101">
        <f t="shared" si="412"/>
        <v>40</v>
      </c>
      <c r="K758" s="94">
        <f>IF(A758&lt;&gt;0,INDEX(Coûts, 'PA-Détails'!A758, 3),)</f>
        <v>1150</v>
      </c>
      <c r="L758" s="167">
        <f t="shared" ref="L758:P760" si="416">ROUND(+$K758*E758,0)</f>
        <v>46000</v>
      </c>
      <c r="M758" s="168">
        <f t="shared" si="416"/>
        <v>0</v>
      </c>
      <c r="N758" s="168">
        <f t="shared" si="416"/>
        <v>0</v>
      </c>
      <c r="O758" s="168">
        <f t="shared" si="416"/>
        <v>0</v>
      </c>
      <c r="P758" s="271">
        <f t="shared" si="416"/>
        <v>0</v>
      </c>
      <c r="Q758" s="283">
        <f>SUM(L758:P758)</f>
        <v>46000</v>
      </c>
      <c r="R758" s="169"/>
      <c r="S758" s="94"/>
      <c r="T758" s="153"/>
      <c r="U758" s="653"/>
      <c r="V758" s="572"/>
      <c r="W758" s="572"/>
      <c r="X758" s="572"/>
      <c r="Y758" s="572"/>
      <c r="Z758" s="572"/>
    </row>
    <row r="759" spans="1:26" s="162" customFormat="1" x14ac:dyDescent="0.2">
      <c r="A759" s="95">
        <v>2</v>
      </c>
      <c r="B759" s="163" t="str">
        <f>IF(A759&lt;&gt;0,INDEX(Coûts,'PA-Détails'!A759, 2),)</f>
        <v>Assistance technique nationale (consultants)</v>
      </c>
      <c r="C759" s="153"/>
      <c r="D759" s="94" t="str">
        <f>IF(A759&lt;&gt;0,INDEX(Coûts, 'PA-Détails'!A759, 5),)</f>
        <v>Pers / j</v>
      </c>
      <c r="E759" s="96">
        <v>50</v>
      </c>
      <c r="F759" s="100"/>
      <c r="G759" s="100"/>
      <c r="H759" s="100"/>
      <c r="I759" s="100"/>
      <c r="J759" s="101">
        <f t="shared" si="412"/>
        <v>50</v>
      </c>
      <c r="K759" s="94">
        <f>IF(A759&lt;&gt;0,INDEX(Coûts, 'PA-Détails'!A759, 3),)</f>
        <v>300</v>
      </c>
      <c r="L759" s="167">
        <f t="shared" si="416"/>
        <v>15000</v>
      </c>
      <c r="M759" s="168">
        <f t="shared" si="416"/>
        <v>0</v>
      </c>
      <c r="N759" s="168">
        <f t="shared" si="416"/>
        <v>0</v>
      </c>
      <c r="O759" s="168">
        <f t="shared" si="416"/>
        <v>0</v>
      </c>
      <c r="P759" s="271">
        <f t="shared" si="416"/>
        <v>0</v>
      </c>
      <c r="Q759" s="283">
        <f>SUM(L759:P759)</f>
        <v>15000</v>
      </c>
      <c r="R759" s="169"/>
      <c r="S759" s="94"/>
      <c r="T759" s="153"/>
      <c r="U759" s="653"/>
      <c r="V759" s="572"/>
      <c r="W759" s="572"/>
      <c r="X759" s="572"/>
      <c r="Y759" s="572"/>
      <c r="Z759" s="572"/>
    </row>
    <row r="760" spans="1:26" s="162" customFormat="1" x14ac:dyDescent="0.2">
      <c r="A760" s="95">
        <v>5</v>
      </c>
      <c r="B760" s="163" t="str">
        <f>IF(A760&lt;&gt;0,INDEX(Coûts,'PA-Détails'!A760, 2),)</f>
        <v>Atelier de validation</v>
      </c>
      <c r="C760" s="153"/>
      <c r="D760" s="94" t="str">
        <f>IF(A760&lt;&gt;0,INDEX(Coûts, 'PA-Détails'!A760, 5),)</f>
        <v>Pers / j</v>
      </c>
      <c r="E760" s="96">
        <f>100*3</f>
        <v>300</v>
      </c>
      <c r="F760" s="100"/>
      <c r="G760" s="100"/>
      <c r="H760" s="100"/>
      <c r="I760" s="100"/>
      <c r="J760" s="101">
        <f t="shared" si="412"/>
        <v>300</v>
      </c>
      <c r="K760" s="94">
        <f>IF(A760&lt;&gt;0,INDEX(Coûts, 'PA-Détails'!A760, 3),)</f>
        <v>50</v>
      </c>
      <c r="L760" s="167">
        <f t="shared" si="416"/>
        <v>15000</v>
      </c>
      <c r="M760" s="168">
        <f t="shared" si="416"/>
        <v>0</v>
      </c>
      <c r="N760" s="168">
        <f t="shared" si="416"/>
        <v>0</v>
      </c>
      <c r="O760" s="168">
        <f t="shared" si="416"/>
        <v>0</v>
      </c>
      <c r="P760" s="271">
        <f t="shared" si="416"/>
        <v>0</v>
      </c>
      <c r="Q760" s="283">
        <f>SUM(L760:P760)</f>
        <v>15000</v>
      </c>
      <c r="R760" s="169"/>
      <c r="S760" s="94"/>
      <c r="T760" s="153"/>
      <c r="U760" s="653"/>
      <c r="V760" s="572"/>
      <c r="W760" s="572"/>
      <c r="X760" s="572"/>
      <c r="Y760" s="572"/>
      <c r="Z760" s="572"/>
    </row>
    <row r="761" spans="1:26" s="162" customFormat="1" x14ac:dyDescent="0.2">
      <c r="A761" s="123" t="s">
        <v>1178</v>
      </c>
      <c r="B761" s="163"/>
      <c r="C761" s="153"/>
      <c r="D761" s="94"/>
      <c r="E761" s="96"/>
      <c r="F761" s="100"/>
      <c r="G761" s="100"/>
      <c r="H761" s="100"/>
      <c r="I761" s="100"/>
      <c r="J761" s="101"/>
      <c r="K761" s="94"/>
      <c r="L761" s="161">
        <f t="shared" ref="L761:Q761" si="417">SUM(L762:L763)</f>
        <v>1800000</v>
      </c>
      <c r="M761" s="157">
        <f t="shared" si="417"/>
        <v>2800000</v>
      </c>
      <c r="N761" s="157">
        <f t="shared" si="417"/>
        <v>2800000</v>
      </c>
      <c r="O761" s="157">
        <f t="shared" si="417"/>
        <v>2800000</v>
      </c>
      <c r="P761" s="270">
        <f t="shared" si="417"/>
        <v>2800000</v>
      </c>
      <c r="Q761" s="284">
        <f t="shared" si="417"/>
        <v>13000000</v>
      </c>
      <c r="R761" s="169" t="s">
        <v>882</v>
      </c>
      <c r="S761" s="94" t="s">
        <v>849</v>
      </c>
      <c r="T761" s="153"/>
      <c r="U761" s="653"/>
      <c r="V761" s="572"/>
      <c r="W761" s="572"/>
      <c r="X761" s="572"/>
      <c r="Y761" s="572"/>
      <c r="Z761" s="572"/>
    </row>
    <row r="762" spans="1:26" s="162" customFormat="1" x14ac:dyDescent="0.2">
      <c r="A762" s="95">
        <v>48</v>
      </c>
      <c r="B762" s="163" t="str">
        <f>IF(A762&lt;&gt;0,INDEX(Coûts,'PA-Détails'!A762, 2),)</f>
        <v>Équipement de laboratoire et atelier (supérieur)</v>
      </c>
      <c r="C762" s="153"/>
      <c r="D762" s="94" t="str">
        <f>IF(A762&lt;&gt;0,INDEX(Coûts, 'PA-Détails'!A762, 5),)</f>
        <v>Forfait</v>
      </c>
      <c r="E762" s="96">
        <v>9</v>
      </c>
      <c r="F762" s="100">
        <v>14</v>
      </c>
      <c r="G762" s="100">
        <v>14</v>
      </c>
      <c r="H762" s="100">
        <v>14</v>
      </c>
      <c r="I762" s="100">
        <v>14</v>
      </c>
      <c r="J762" s="101">
        <f>SUM(E762:I762)</f>
        <v>65</v>
      </c>
      <c r="K762" s="94">
        <f>IF(A762&lt;&gt;0,INDEX(Coûts, 'PA-Détails'!A762, 3),)</f>
        <v>100000</v>
      </c>
      <c r="L762" s="167">
        <f t="shared" ref="L762:P765" si="418">ROUND(+$K762*E762,0)</f>
        <v>900000</v>
      </c>
      <c r="M762" s="168">
        <f t="shared" si="418"/>
        <v>1400000</v>
      </c>
      <c r="N762" s="168">
        <f t="shared" si="418"/>
        <v>1400000</v>
      </c>
      <c r="O762" s="168">
        <f t="shared" si="418"/>
        <v>1400000</v>
      </c>
      <c r="P762" s="271">
        <f t="shared" si="418"/>
        <v>1400000</v>
      </c>
      <c r="Q762" s="283">
        <f>SUM(L762:P762)</f>
        <v>6500000</v>
      </c>
      <c r="R762" s="169"/>
      <c r="S762" s="94"/>
      <c r="T762" s="153"/>
      <c r="U762" s="653"/>
      <c r="V762" s="572"/>
      <c r="W762" s="572"/>
      <c r="X762" s="572"/>
      <c r="Y762" s="572"/>
      <c r="Z762" s="572"/>
    </row>
    <row r="763" spans="1:26" s="162" customFormat="1" x14ac:dyDescent="0.2">
      <c r="A763" s="95">
        <v>70</v>
      </c>
      <c r="B763" s="163" t="str">
        <f>IF(A763&lt;&gt;0,INDEX(Coûts,'PA-Détails'!A763, 2),)</f>
        <v>Equipement d'un établissement supérieur en matériel didactique, atelier</v>
      </c>
      <c r="C763" s="153"/>
      <c r="D763" s="94" t="str">
        <f>IF(A763&lt;&gt;0,INDEX(Coûts, 'PA-Détails'!A763, 5),)</f>
        <v>Budget/an</v>
      </c>
      <c r="E763" s="96">
        <v>9</v>
      </c>
      <c r="F763" s="100">
        <v>14</v>
      </c>
      <c r="G763" s="100">
        <v>14</v>
      </c>
      <c r="H763" s="100">
        <v>14</v>
      </c>
      <c r="I763" s="100">
        <v>14</v>
      </c>
      <c r="J763" s="101">
        <f>SUM(E763:I763)</f>
        <v>65</v>
      </c>
      <c r="K763" s="94">
        <f>IF(A763&lt;&gt;0,INDEX(Coûts, 'PA-Détails'!A763, 3),)</f>
        <v>100000</v>
      </c>
      <c r="L763" s="167">
        <f t="shared" si="418"/>
        <v>900000</v>
      </c>
      <c r="M763" s="168">
        <f t="shared" si="418"/>
        <v>1400000</v>
      </c>
      <c r="N763" s="168">
        <f t="shared" si="418"/>
        <v>1400000</v>
      </c>
      <c r="O763" s="168">
        <f t="shared" si="418"/>
        <v>1400000</v>
      </c>
      <c r="P763" s="271">
        <f t="shared" si="418"/>
        <v>1400000</v>
      </c>
      <c r="Q763" s="283">
        <f>SUM(L763:P763)</f>
        <v>6500000</v>
      </c>
      <c r="R763" s="169"/>
      <c r="S763" s="94"/>
      <c r="T763" s="153"/>
      <c r="U763" s="653"/>
      <c r="V763" s="572"/>
      <c r="W763" s="572"/>
      <c r="X763" s="572"/>
      <c r="Y763" s="572"/>
      <c r="Z763" s="572"/>
    </row>
    <row r="764" spans="1:26" s="162" customFormat="1" x14ac:dyDescent="0.2">
      <c r="A764" s="122" t="s">
        <v>1179</v>
      </c>
      <c r="B764" s="152"/>
      <c r="C764" s="162" t="s">
        <v>850</v>
      </c>
      <c r="D764" s="155"/>
      <c r="E764" s="96"/>
      <c r="F764" s="100"/>
      <c r="G764" s="100"/>
      <c r="H764" s="100"/>
      <c r="I764" s="100"/>
      <c r="J764" s="101">
        <f>SUM(E764:I764)</f>
        <v>0</v>
      </c>
      <c r="K764" s="208"/>
      <c r="L764" s="161">
        <f t="shared" si="418"/>
        <v>0</v>
      </c>
      <c r="M764" s="157">
        <f t="shared" si="418"/>
        <v>0</v>
      </c>
      <c r="N764" s="157">
        <f t="shared" si="418"/>
        <v>0</v>
      </c>
      <c r="O764" s="157">
        <f t="shared" si="418"/>
        <v>0</v>
      </c>
      <c r="P764" s="270">
        <f t="shared" si="418"/>
        <v>0</v>
      </c>
      <c r="Q764" s="284">
        <f>SUM(L764:P764)</f>
        <v>0</v>
      </c>
      <c r="R764" s="200"/>
      <c r="S764" s="201"/>
      <c r="T764" s="154"/>
      <c r="U764" s="653"/>
      <c r="V764" s="572"/>
      <c r="W764" s="572"/>
      <c r="X764" s="572"/>
      <c r="Y764" s="572"/>
      <c r="Z764" s="572"/>
    </row>
    <row r="765" spans="1:26" s="162" customFormat="1" x14ac:dyDescent="0.2">
      <c r="A765" s="123" t="s">
        <v>1180</v>
      </c>
      <c r="B765" s="202"/>
      <c r="C765" s="153"/>
      <c r="D765" s="203"/>
      <c r="E765" s="96"/>
      <c r="F765" s="100"/>
      <c r="G765" s="100"/>
      <c r="H765" s="100"/>
      <c r="I765" s="100"/>
      <c r="J765" s="101">
        <f>SUM(E765:I765)</f>
        <v>0</v>
      </c>
      <c r="K765" s="94"/>
      <c r="L765" s="167">
        <f t="shared" si="418"/>
        <v>0</v>
      </c>
      <c r="M765" s="168">
        <f t="shared" si="418"/>
        <v>0</v>
      </c>
      <c r="N765" s="168">
        <f t="shared" si="418"/>
        <v>0</v>
      </c>
      <c r="O765" s="168">
        <f t="shared" si="418"/>
        <v>0</v>
      </c>
      <c r="P765" s="271">
        <f t="shared" si="418"/>
        <v>0</v>
      </c>
      <c r="Q765" s="283">
        <f>SUM(L765:P765)</f>
        <v>0</v>
      </c>
      <c r="R765" s="223" t="s">
        <v>826</v>
      </c>
      <c r="S765" s="224"/>
      <c r="T765" s="153"/>
      <c r="U765" s="653"/>
      <c r="V765" s="572"/>
      <c r="W765" s="572"/>
      <c r="X765" s="572"/>
      <c r="Y765" s="572"/>
      <c r="Z765" s="572"/>
    </row>
    <row r="766" spans="1:26" s="162" customFormat="1" x14ac:dyDescent="0.2">
      <c r="A766" s="123" t="s">
        <v>1181</v>
      </c>
      <c r="B766" s="202"/>
      <c r="C766" s="153"/>
      <c r="D766" s="203"/>
      <c r="E766" s="96"/>
      <c r="F766" s="100"/>
      <c r="G766" s="100"/>
      <c r="H766" s="100"/>
      <c r="I766" s="100"/>
      <c r="J766" s="101">
        <f>SUM(E766:I766)</f>
        <v>0</v>
      </c>
      <c r="K766" s="94"/>
      <c r="L766" s="161">
        <f t="shared" ref="L766:Q766" si="419">SUM(L767:L768)</f>
        <v>0</v>
      </c>
      <c r="M766" s="157">
        <f t="shared" si="419"/>
        <v>4500</v>
      </c>
      <c r="N766" s="157">
        <f t="shared" si="419"/>
        <v>0</v>
      </c>
      <c r="O766" s="157">
        <f t="shared" si="419"/>
        <v>0</v>
      </c>
      <c r="P766" s="270">
        <f t="shared" si="419"/>
        <v>0</v>
      </c>
      <c r="Q766" s="284">
        <f t="shared" si="419"/>
        <v>4500</v>
      </c>
      <c r="R766" s="223" t="s">
        <v>826</v>
      </c>
      <c r="S766" s="224" t="s">
        <v>665</v>
      </c>
      <c r="T766" s="153"/>
      <c r="U766" s="653"/>
      <c r="V766" s="572"/>
      <c r="W766" s="572"/>
      <c r="X766" s="572"/>
      <c r="Y766" s="572"/>
      <c r="Z766" s="572"/>
    </row>
    <row r="767" spans="1:26" s="162" customFormat="1" x14ac:dyDescent="0.2">
      <c r="A767" s="95">
        <v>2</v>
      </c>
      <c r="B767" s="163" t="str">
        <f>IF(A767&lt;&gt;0,INDEX(Coûts,'PA-Détails'!A767, 2),)</f>
        <v>Assistance technique nationale (consultants)</v>
      </c>
      <c r="C767" s="153"/>
      <c r="D767" s="94" t="str">
        <f>IF(A767&lt;&gt;0,INDEX(Coûts, 'PA-Détails'!A767, 5),)</f>
        <v>Pers / j</v>
      </c>
      <c r="E767" s="96"/>
      <c r="F767" s="100">
        <v>10</v>
      </c>
      <c r="G767" s="100"/>
      <c r="H767" s="100"/>
      <c r="I767" s="100"/>
      <c r="J767" s="101">
        <f>SUM(F767:I767)</f>
        <v>10</v>
      </c>
      <c r="K767" s="94">
        <f>IF(A767&lt;&gt;0,INDEX(Coûts, 'PA-Détails'!A767, 3),)</f>
        <v>300</v>
      </c>
      <c r="L767" s="167">
        <f t="shared" ref="L767:P769" si="420">ROUND(+$K767*E767,0)</f>
        <v>0</v>
      </c>
      <c r="M767" s="168">
        <f t="shared" si="420"/>
        <v>3000</v>
      </c>
      <c r="N767" s="168">
        <f t="shared" si="420"/>
        <v>0</v>
      </c>
      <c r="O767" s="168">
        <f t="shared" si="420"/>
        <v>0</v>
      </c>
      <c r="P767" s="271">
        <f t="shared" si="420"/>
        <v>0</v>
      </c>
      <c r="Q767" s="283">
        <f>SUM(L767:P767)</f>
        <v>3000</v>
      </c>
      <c r="R767" s="169"/>
      <c r="S767" s="94"/>
      <c r="T767" s="153"/>
      <c r="U767" s="653"/>
      <c r="V767" s="572"/>
      <c r="W767" s="572"/>
      <c r="X767" s="572"/>
      <c r="Y767" s="572"/>
      <c r="Z767" s="572"/>
    </row>
    <row r="768" spans="1:26" s="162" customFormat="1" x14ac:dyDescent="0.2">
      <c r="A768" s="95">
        <v>5</v>
      </c>
      <c r="B768" s="163" t="str">
        <f>IF(A768&lt;&gt;0,INDEX(Coûts,'PA-Détails'!A768, 2),)</f>
        <v>Atelier de validation</v>
      </c>
      <c r="C768" s="153"/>
      <c r="D768" s="94" t="str">
        <f>IF(A768&lt;&gt;0,INDEX(Coûts, 'PA-Détails'!A768, 5),)</f>
        <v>Pers / j</v>
      </c>
      <c r="E768" s="96"/>
      <c r="F768" s="100">
        <v>30</v>
      </c>
      <c r="G768" s="100"/>
      <c r="H768" s="100"/>
      <c r="I768" s="100"/>
      <c r="J768" s="101">
        <f>SUM(F768:I768)</f>
        <v>30</v>
      </c>
      <c r="K768" s="94">
        <f>IF(A768&lt;&gt;0,INDEX(Coûts, 'PA-Détails'!A768, 3),)</f>
        <v>50</v>
      </c>
      <c r="L768" s="167">
        <f t="shared" si="420"/>
        <v>0</v>
      </c>
      <c r="M768" s="168">
        <f t="shared" si="420"/>
        <v>1500</v>
      </c>
      <c r="N768" s="168">
        <f t="shared" si="420"/>
        <v>0</v>
      </c>
      <c r="O768" s="168">
        <f t="shared" si="420"/>
        <v>0</v>
      </c>
      <c r="P768" s="271">
        <f t="shared" si="420"/>
        <v>0</v>
      </c>
      <c r="Q768" s="283">
        <f>SUM(L768:P768)</f>
        <v>1500</v>
      </c>
      <c r="R768" s="169"/>
      <c r="S768" s="94"/>
      <c r="T768" s="153"/>
      <c r="U768" s="653"/>
      <c r="V768" s="572"/>
      <c r="W768" s="572"/>
      <c r="X768" s="572"/>
      <c r="Y768" s="572"/>
      <c r="Z768" s="572"/>
    </row>
    <row r="769" spans="1:26" s="162" customFormat="1" x14ac:dyDescent="0.2">
      <c r="A769" s="122" t="s">
        <v>1182</v>
      </c>
      <c r="B769" s="152"/>
      <c r="C769" s="153"/>
      <c r="D769" s="155"/>
      <c r="E769" s="96"/>
      <c r="F769" s="100"/>
      <c r="G769" s="100"/>
      <c r="H769" s="100"/>
      <c r="I769" s="100"/>
      <c r="J769" s="101">
        <f>SUM(E769:I769)</f>
        <v>0</v>
      </c>
      <c r="K769" s="208"/>
      <c r="L769" s="161">
        <f t="shared" si="420"/>
        <v>0</v>
      </c>
      <c r="M769" s="157">
        <f t="shared" si="420"/>
        <v>0</v>
      </c>
      <c r="N769" s="157">
        <f t="shared" si="420"/>
        <v>0</v>
      </c>
      <c r="O769" s="157">
        <f t="shared" si="420"/>
        <v>0</v>
      </c>
      <c r="P769" s="270">
        <f t="shared" si="420"/>
        <v>0</v>
      </c>
      <c r="Q769" s="284">
        <f>SUM(L769:P769)</f>
        <v>0</v>
      </c>
      <c r="R769" s="200"/>
      <c r="S769" s="201"/>
      <c r="T769" s="154"/>
      <c r="U769" s="653"/>
      <c r="V769" s="572"/>
      <c r="W769" s="572"/>
      <c r="X769" s="572"/>
      <c r="Y769" s="572"/>
      <c r="Z769" s="572"/>
    </row>
    <row r="770" spans="1:26" s="162" customFormat="1" x14ac:dyDescent="0.2">
      <c r="A770" s="123" t="s">
        <v>1183</v>
      </c>
      <c r="B770" s="202"/>
      <c r="C770" s="153"/>
      <c r="D770" s="203"/>
      <c r="E770" s="96"/>
      <c r="F770" s="100"/>
      <c r="G770" s="100"/>
      <c r="H770" s="100"/>
      <c r="I770" s="100"/>
      <c r="J770" s="101">
        <f>SUM(E770:I770)</f>
        <v>0</v>
      </c>
      <c r="K770" s="94"/>
      <c r="L770" s="161">
        <f t="shared" ref="L770:Q770" si="421">SUM(L771:L772)</f>
        <v>9500</v>
      </c>
      <c r="M770" s="157">
        <f t="shared" si="421"/>
        <v>0</v>
      </c>
      <c r="N770" s="157">
        <f t="shared" si="421"/>
        <v>0</v>
      </c>
      <c r="O770" s="157">
        <f t="shared" si="421"/>
        <v>0</v>
      </c>
      <c r="P770" s="270">
        <f t="shared" si="421"/>
        <v>0</v>
      </c>
      <c r="Q770" s="284">
        <f t="shared" si="421"/>
        <v>9500</v>
      </c>
      <c r="R770" s="169" t="s">
        <v>1137</v>
      </c>
      <c r="S770" s="94" t="s">
        <v>665</v>
      </c>
      <c r="T770" s="153"/>
      <c r="U770" s="653"/>
      <c r="V770" s="572"/>
      <c r="W770" s="572"/>
      <c r="X770" s="572"/>
      <c r="Y770" s="572"/>
      <c r="Z770" s="572"/>
    </row>
    <row r="771" spans="1:26" s="162" customFormat="1" x14ac:dyDescent="0.2">
      <c r="A771" s="95">
        <v>2</v>
      </c>
      <c r="B771" s="163" t="str">
        <f>IF(A771&lt;&gt;0,INDEX(Coûts,'PA-Détails'!A771, 2),)</f>
        <v>Assistance technique nationale (consultants)</v>
      </c>
      <c r="C771" s="153"/>
      <c r="D771" s="94" t="str">
        <f>IF(A771&lt;&gt;0,INDEX(Coûts, 'PA-Détails'!A771, 5),)</f>
        <v>Pers / j</v>
      </c>
      <c r="E771" s="96">
        <v>15</v>
      </c>
      <c r="F771" s="100"/>
      <c r="G771" s="100"/>
      <c r="H771" s="100"/>
      <c r="I771" s="100"/>
      <c r="J771" s="101">
        <f>SUM(E771:I771)</f>
        <v>15</v>
      </c>
      <c r="K771" s="94">
        <f>IF(A771&lt;&gt;0,INDEX(Coûts, 'PA-Détails'!A771, 3),)</f>
        <v>300</v>
      </c>
      <c r="L771" s="167">
        <f t="shared" ref="L771:P772" si="422">ROUND(+$K771*E771,0)</f>
        <v>4500</v>
      </c>
      <c r="M771" s="168">
        <f t="shared" si="422"/>
        <v>0</v>
      </c>
      <c r="N771" s="168">
        <f t="shared" si="422"/>
        <v>0</v>
      </c>
      <c r="O771" s="168">
        <f t="shared" si="422"/>
        <v>0</v>
      </c>
      <c r="P771" s="271">
        <f t="shared" si="422"/>
        <v>0</v>
      </c>
      <c r="Q771" s="283">
        <f>SUM(L771:P771)</f>
        <v>4500</v>
      </c>
      <c r="R771" s="169"/>
      <c r="S771" s="94"/>
      <c r="T771" s="153"/>
      <c r="U771" s="653"/>
      <c r="V771" s="572"/>
      <c r="W771" s="572"/>
      <c r="X771" s="572"/>
      <c r="Y771" s="572"/>
      <c r="Z771" s="572"/>
    </row>
    <row r="772" spans="1:26" s="162" customFormat="1" x14ac:dyDescent="0.2">
      <c r="A772" s="95">
        <v>5</v>
      </c>
      <c r="B772" s="163" t="str">
        <f>IF(A772&lt;&gt;0,INDEX(Coûts,'PA-Détails'!A772, 2),)</f>
        <v>Atelier de validation</v>
      </c>
      <c r="C772" s="153"/>
      <c r="D772" s="94" t="str">
        <f>IF(A772&lt;&gt;0,INDEX(Coûts, 'PA-Détails'!A772, 5),)</f>
        <v>Pers / j</v>
      </c>
      <c r="E772" s="96">
        <v>100</v>
      </c>
      <c r="F772" s="100"/>
      <c r="G772" s="100"/>
      <c r="H772" s="100"/>
      <c r="I772" s="100"/>
      <c r="J772" s="101">
        <f>SUM(E772:I772)</f>
        <v>100</v>
      </c>
      <c r="K772" s="94">
        <f>IF(A772&lt;&gt;0,INDEX(Coûts, 'PA-Détails'!A772, 3),)</f>
        <v>50</v>
      </c>
      <c r="L772" s="167">
        <f t="shared" si="422"/>
        <v>5000</v>
      </c>
      <c r="M772" s="168">
        <f t="shared" si="422"/>
        <v>0</v>
      </c>
      <c r="N772" s="168">
        <f t="shared" si="422"/>
        <v>0</v>
      </c>
      <c r="O772" s="168">
        <f t="shared" si="422"/>
        <v>0</v>
      </c>
      <c r="P772" s="271">
        <f t="shared" si="422"/>
        <v>0</v>
      </c>
      <c r="Q772" s="283">
        <f>SUM(L772:P772)</f>
        <v>5000</v>
      </c>
      <c r="R772" s="169"/>
      <c r="S772" s="94"/>
      <c r="T772" s="153"/>
      <c r="U772" s="653"/>
      <c r="V772" s="572"/>
      <c r="W772" s="572"/>
      <c r="X772" s="572"/>
      <c r="Y772" s="572"/>
      <c r="Z772" s="572"/>
    </row>
    <row r="773" spans="1:26" s="162" customFormat="1" x14ac:dyDescent="0.2">
      <c r="A773" s="123" t="s">
        <v>1184</v>
      </c>
      <c r="B773" s="163"/>
      <c r="C773" s="153"/>
      <c r="D773" s="94"/>
      <c r="E773" s="96"/>
      <c r="F773" s="100"/>
      <c r="G773" s="100"/>
      <c r="H773" s="100"/>
      <c r="I773" s="100"/>
      <c r="J773" s="101"/>
      <c r="K773" s="94"/>
      <c r="L773" s="161">
        <f t="shared" ref="L773:Q773" si="423">SUM(L774:L774)</f>
        <v>10000</v>
      </c>
      <c r="M773" s="157">
        <f t="shared" si="423"/>
        <v>10000</v>
      </c>
      <c r="N773" s="157">
        <f t="shared" si="423"/>
        <v>10000</v>
      </c>
      <c r="O773" s="157">
        <f t="shared" si="423"/>
        <v>10000</v>
      </c>
      <c r="P773" s="270">
        <f t="shared" si="423"/>
        <v>10000</v>
      </c>
      <c r="Q773" s="284">
        <f t="shared" si="423"/>
        <v>50000</v>
      </c>
      <c r="R773" s="169" t="s">
        <v>1137</v>
      </c>
      <c r="S773" s="94" t="s">
        <v>665</v>
      </c>
      <c r="T773" s="153"/>
      <c r="U773" s="653"/>
      <c r="V773" s="572"/>
      <c r="W773" s="572"/>
      <c r="X773" s="572"/>
      <c r="Y773" s="572"/>
      <c r="Z773" s="572"/>
    </row>
    <row r="774" spans="1:26" s="162" customFormat="1" x14ac:dyDescent="0.2">
      <c r="A774" s="95">
        <v>251</v>
      </c>
      <c r="B774" s="163" t="str">
        <f>IF(A774&lt;&gt;0,INDEX(Coûts,'PA-Détails'!A774, 2),)</f>
        <v xml:space="preserve">Frais de fonctionnement d'un comité scientifique/cadre de coordination </v>
      </c>
      <c r="C774" s="153"/>
      <c r="D774" s="94" t="str">
        <f>IF(A774&lt;&gt;0,INDEX(Coûts, 'PA-Détails'!A774, 5),)</f>
        <v>Forfait</v>
      </c>
      <c r="E774" s="96">
        <v>1</v>
      </c>
      <c r="F774" s="100">
        <v>1</v>
      </c>
      <c r="G774" s="100">
        <v>1</v>
      </c>
      <c r="H774" s="100">
        <v>1</v>
      </c>
      <c r="I774" s="100">
        <v>1</v>
      </c>
      <c r="J774" s="101">
        <f>SUM(E774:I774)</f>
        <v>5</v>
      </c>
      <c r="K774" s="94">
        <f>IF(A774&lt;&gt;0,INDEX(Coûts, 'PA-Détails'!A774, 3),)</f>
        <v>10000</v>
      </c>
      <c r="L774" s="167">
        <f>ROUND(+$K774*E774,0)</f>
        <v>10000</v>
      </c>
      <c r="M774" s="167">
        <f>ROUND(+$K774*F774,0)</f>
        <v>10000</v>
      </c>
      <c r="N774" s="168">
        <f>ROUND(+$K774*G774,0)</f>
        <v>10000</v>
      </c>
      <c r="O774" s="168">
        <f>ROUND(+$K774*H774,0)</f>
        <v>10000</v>
      </c>
      <c r="P774" s="271">
        <f>ROUND(+$K774*I774,0)</f>
        <v>10000</v>
      </c>
      <c r="Q774" s="283">
        <f>SUM(L774:P774)</f>
        <v>50000</v>
      </c>
      <c r="R774" s="169"/>
      <c r="S774" s="94"/>
      <c r="T774" s="153"/>
      <c r="U774" s="653"/>
      <c r="V774" s="572"/>
      <c r="W774" s="572"/>
      <c r="X774" s="572"/>
      <c r="Y774" s="572"/>
      <c r="Z774" s="572"/>
    </row>
    <row r="775" spans="1:26" x14ac:dyDescent="0.2">
      <c r="A775" s="14" t="s">
        <v>1185</v>
      </c>
      <c r="B775" s="44"/>
      <c r="C775" s="112"/>
      <c r="D775" s="15"/>
      <c r="E775" s="102"/>
      <c r="F775" s="103"/>
      <c r="G775" s="103"/>
      <c r="H775" s="103"/>
      <c r="I775" s="103"/>
      <c r="J775" s="104">
        <f t="shared" si="375"/>
        <v>0</v>
      </c>
      <c r="K775" s="145"/>
      <c r="L775" s="33">
        <f t="shared" si="405"/>
        <v>0</v>
      </c>
      <c r="M775" s="32">
        <f t="shared" si="405"/>
        <v>0</v>
      </c>
      <c r="N775" s="32">
        <f t="shared" si="405"/>
        <v>0</v>
      </c>
      <c r="O775" s="32">
        <f t="shared" si="405"/>
        <v>0</v>
      </c>
      <c r="P775" s="267">
        <f t="shared" si="405"/>
        <v>0</v>
      </c>
      <c r="Q775" s="278">
        <f>SUM(L775:P775)</f>
        <v>0</v>
      </c>
      <c r="R775" s="40"/>
      <c r="S775" s="145"/>
      <c r="T775" s="49">
        <v>3</v>
      </c>
    </row>
    <row r="776" spans="1:26" x14ac:dyDescent="0.2">
      <c r="A776" s="17" t="s">
        <v>1186</v>
      </c>
      <c r="B776" s="45"/>
      <c r="C776" s="51"/>
      <c r="D776" s="18"/>
      <c r="E776" s="97"/>
      <c r="F776" s="98"/>
      <c r="G776" s="98"/>
      <c r="H776" s="98"/>
      <c r="I776" s="98"/>
      <c r="J776" s="99">
        <f t="shared" si="375"/>
        <v>0</v>
      </c>
      <c r="K776" s="116"/>
      <c r="L776" s="35">
        <f t="shared" si="405"/>
        <v>0</v>
      </c>
      <c r="M776" s="34">
        <f t="shared" si="405"/>
        <v>0</v>
      </c>
      <c r="N776" s="34">
        <f t="shared" si="405"/>
        <v>0</v>
      </c>
      <c r="O776" s="34">
        <f t="shared" si="405"/>
        <v>0</v>
      </c>
      <c r="P776" s="269">
        <f t="shared" si="405"/>
        <v>0</v>
      </c>
      <c r="Q776" s="279">
        <f>SUM(L776:P776)</f>
        <v>0</v>
      </c>
      <c r="R776" s="38"/>
      <c r="S776" s="116"/>
      <c r="T776" s="50"/>
    </row>
    <row r="777" spans="1:26" x14ac:dyDescent="0.2">
      <c r="A777" s="20" t="s">
        <v>1187</v>
      </c>
      <c r="B777" s="149"/>
      <c r="C777" s="51"/>
      <c r="D777" s="21"/>
      <c r="E777" s="96"/>
      <c r="F777" s="100"/>
      <c r="G777" s="100"/>
      <c r="H777" s="100"/>
      <c r="I777" s="100"/>
      <c r="J777" s="101">
        <f t="shared" si="375"/>
        <v>0</v>
      </c>
      <c r="K777" s="115"/>
      <c r="L777" s="161">
        <f t="shared" ref="L777:Q777" si="424">SUM(L778:L780)</f>
        <v>0</v>
      </c>
      <c r="M777" s="157">
        <f t="shared" si="424"/>
        <v>3135000</v>
      </c>
      <c r="N777" s="157">
        <f t="shared" si="424"/>
        <v>2625000</v>
      </c>
      <c r="O777" s="157">
        <f t="shared" si="424"/>
        <v>0</v>
      </c>
      <c r="P777" s="270">
        <f t="shared" si="424"/>
        <v>0</v>
      </c>
      <c r="Q777" s="284">
        <f t="shared" si="424"/>
        <v>5760000</v>
      </c>
      <c r="R777" s="39" t="s">
        <v>752</v>
      </c>
      <c r="S777" s="115" t="s">
        <v>665</v>
      </c>
      <c r="T777" s="51"/>
    </row>
    <row r="778" spans="1:26" x14ac:dyDescent="0.2">
      <c r="A778" s="95">
        <v>41</v>
      </c>
      <c r="B778" s="108" t="str">
        <f>IF(A778&lt;&gt;0,INDEX(Coûts,'PA-Détails'!A778, 2),)</f>
        <v>Achat de Moto</v>
      </c>
      <c r="C778" s="51"/>
      <c r="D778" s="94" t="str">
        <f>IF(A778&lt;&gt;0,INDEX(Coûts, 'PA-Détails'!A778, 5),)</f>
        <v>Unité</v>
      </c>
      <c r="E778" s="96"/>
      <c r="F778" s="100">
        <f>H!C143/2</f>
        <v>875</v>
      </c>
      <c r="G778" s="100">
        <f>F778</f>
        <v>875</v>
      </c>
      <c r="H778" s="100"/>
      <c r="I778" s="100"/>
      <c r="J778" s="101">
        <f t="shared" si="375"/>
        <v>1750</v>
      </c>
      <c r="K778" s="115">
        <f>IF(A778&lt;&gt;0,INDEX(Coûts, 'PA-Détails'!A778, 3),)</f>
        <v>3000</v>
      </c>
      <c r="L778" s="37">
        <f t="shared" ref="L778:P781" si="425">ROUND(+$K778*E778,0)</f>
        <v>0</v>
      </c>
      <c r="M778" s="36">
        <f t="shared" si="425"/>
        <v>2625000</v>
      </c>
      <c r="N778" s="36">
        <f t="shared" si="425"/>
        <v>2625000</v>
      </c>
      <c r="O778" s="36">
        <f t="shared" si="425"/>
        <v>0</v>
      </c>
      <c r="P778" s="268">
        <f t="shared" si="425"/>
        <v>0</v>
      </c>
      <c r="Q778" s="281">
        <f>SUM(L778:P778)</f>
        <v>5250000</v>
      </c>
      <c r="R778" s="39"/>
      <c r="S778" s="115"/>
      <c r="T778" s="51"/>
    </row>
    <row r="779" spans="1:26" x14ac:dyDescent="0.2">
      <c r="A779" s="95">
        <v>40</v>
      </c>
      <c r="B779" s="108" t="str">
        <f>IF(A779&lt;&gt;0,INDEX(Coûts,'PA-Détails'!A779, 2),)</f>
        <v>Achat Voiture et ou Jeep (4x4)</v>
      </c>
      <c r="C779" s="51"/>
      <c r="D779" s="94" t="str">
        <f>IF(A779&lt;&gt;0,INDEX(Coûts, 'PA-Détails'!A779, 5),)</f>
        <v>Unité</v>
      </c>
      <c r="E779" s="96"/>
      <c r="F779" s="100">
        <f>30/2</f>
        <v>15</v>
      </c>
      <c r="G779" s="100"/>
      <c r="H779" s="100"/>
      <c r="I779" s="100"/>
      <c r="J779" s="101">
        <f t="shared" si="375"/>
        <v>15</v>
      </c>
      <c r="K779" s="115">
        <f>IF(A779&lt;&gt;0,INDEX(Coûts, 'PA-Détails'!A779, 3),)</f>
        <v>30000</v>
      </c>
      <c r="L779" s="37">
        <f t="shared" si="425"/>
        <v>0</v>
      </c>
      <c r="M779" s="36">
        <f t="shared" si="425"/>
        <v>450000</v>
      </c>
      <c r="N779" s="36">
        <f t="shared" si="425"/>
        <v>0</v>
      </c>
      <c r="O779" s="36">
        <f t="shared" si="425"/>
        <v>0</v>
      </c>
      <c r="P779" s="268">
        <f t="shared" si="425"/>
        <v>0</v>
      </c>
      <c r="Q779" s="281">
        <f>SUM(L779:P779)</f>
        <v>450000</v>
      </c>
      <c r="R779" s="39"/>
      <c r="S779" s="115"/>
      <c r="T779" s="51"/>
    </row>
    <row r="780" spans="1:26" x14ac:dyDescent="0.2">
      <c r="A780" s="95">
        <v>43</v>
      </c>
      <c r="B780" s="108" t="str">
        <f>IF(A780&lt;&gt;0,INDEX(Coûts,'PA-Détails'!A780, 2),)</f>
        <v>Pirogues Motorisées</v>
      </c>
      <c r="C780" s="51"/>
      <c r="D780" s="94" t="str">
        <f>IF(A780&lt;&gt;0,INDEX(Coûts, 'PA-Détails'!A780, 5),)</f>
        <v>Unité</v>
      </c>
      <c r="E780" s="96"/>
      <c r="F780" s="100">
        <f>40</f>
        <v>40</v>
      </c>
      <c r="G780" s="100"/>
      <c r="H780" s="100"/>
      <c r="I780" s="100"/>
      <c r="J780" s="101">
        <f t="shared" si="375"/>
        <v>40</v>
      </c>
      <c r="K780" s="115">
        <f>IF(A780&lt;&gt;0,INDEX(Coûts, 'PA-Détails'!A780, 3),)</f>
        <v>1500</v>
      </c>
      <c r="L780" s="37">
        <f t="shared" si="425"/>
        <v>0</v>
      </c>
      <c r="M780" s="36">
        <f t="shared" si="425"/>
        <v>60000</v>
      </c>
      <c r="N780" s="36">
        <f t="shared" si="425"/>
        <v>0</v>
      </c>
      <c r="O780" s="36">
        <f t="shared" si="425"/>
        <v>0</v>
      </c>
      <c r="P780" s="268">
        <f t="shared" si="425"/>
        <v>0</v>
      </c>
      <c r="Q780" s="281">
        <f>SUM(L780:P780)</f>
        <v>60000</v>
      </c>
      <c r="R780" s="39"/>
      <c r="S780" s="115"/>
      <c r="T780" s="51"/>
    </row>
    <row r="781" spans="1:26" x14ac:dyDescent="0.2">
      <c r="A781" s="17" t="s">
        <v>1188</v>
      </c>
      <c r="B781" s="45"/>
      <c r="C781" s="51"/>
      <c r="D781" s="18"/>
      <c r="E781" s="97"/>
      <c r="F781" s="98"/>
      <c r="G781" s="98"/>
      <c r="H781" s="98"/>
      <c r="I781" s="98"/>
      <c r="J781" s="99">
        <f t="shared" si="375"/>
        <v>0</v>
      </c>
      <c r="K781" s="116"/>
      <c r="L781" s="35">
        <f t="shared" si="425"/>
        <v>0</v>
      </c>
      <c r="M781" s="34">
        <f t="shared" si="425"/>
        <v>0</v>
      </c>
      <c r="N781" s="34">
        <f t="shared" si="425"/>
        <v>0</v>
      </c>
      <c r="O781" s="34">
        <f t="shared" si="425"/>
        <v>0</v>
      </c>
      <c r="P781" s="269">
        <f t="shared" si="425"/>
        <v>0</v>
      </c>
      <c r="Q781" s="279">
        <f>SUM(L781:P781)</f>
        <v>0</v>
      </c>
      <c r="R781" s="38"/>
      <c r="S781" s="116"/>
      <c r="T781" s="50"/>
    </row>
    <row r="782" spans="1:26" x14ac:dyDescent="0.2">
      <c r="A782" s="20" t="s">
        <v>1189</v>
      </c>
      <c r="B782" s="149"/>
      <c r="C782" s="51" t="s">
        <v>609</v>
      </c>
      <c r="D782" s="21"/>
      <c r="E782" s="96"/>
      <c r="F782" s="100"/>
      <c r="G782" s="100"/>
      <c r="H782" s="100"/>
      <c r="I782" s="100"/>
      <c r="J782" s="101">
        <f t="shared" si="375"/>
        <v>0</v>
      </c>
      <c r="K782" s="115"/>
      <c r="L782" s="161">
        <f t="shared" ref="L782:Q782" si="426">SUM(L783:L783)</f>
        <v>0</v>
      </c>
      <c r="M782" s="157">
        <f t="shared" si="426"/>
        <v>0</v>
      </c>
      <c r="N782" s="157">
        <f t="shared" si="426"/>
        <v>2100000</v>
      </c>
      <c r="O782" s="157">
        <f t="shared" si="426"/>
        <v>2100000</v>
      </c>
      <c r="P782" s="270">
        <f t="shared" si="426"/>
        <v>2100000</v>
      </c>
      <c r="Q782" s="284">
        <f t="shared" si="426"/>
        <v>6300000</v>
      </c>
      <c r="R782" s="39" t="s">
        <v>752</v>
      </c>
      <c r="S782" s="115" t="s">
        <v>663</v>
      </c>
      <c r="T782" s="51"/>
    </row>
    <row r="783" spans="1:26" x14ac:dyDescent="0.2">
      <c r="A783" s="95">
        <v>217</v>
      </c>
      <c r="B783" s="108" t="str">
        <f>IF(A783&lt;&gt;0,INDEX(Coûts,'PA-Détails'!A783, 2),)</f>
        <v>Primes d'itinérance (Inspecteurs itinérants)</v>
      </c>
      <c r="C783" s="51"/>
      <c r="D783" s="94" t="str">
        <f>IF(A783&lt;&gt;0,INDEX(Coûts, 'PA-Détails'!A783, 5),)</f>
        <v>Prime/an</v>
      </c>
      <c r="E783" s="96"/>
      <c r="F783" s="100"/>
      <c r="G783" s="188">
        <f>H!C143</f>
        <v>1750</v>
      </c>
      <c r="H783" s="100">
        <f>G783</f>
        <v>1750</v>
      </c>
      <c r="I783" s="100">
        <f>H783</f>
        <v>1750</v>
      </c>
      <c r="J783" s="101">
        <f t="shared" si="375"/>
        <v>5250</v>
      </c>
      <c r="K783" s="115">
        <f>IF(A783&lt;&gt;0,INDEX(Coûts, 'PA-Détails'!A783, 3),)</f>
        <v>1200</v>
      </c>
      <c r="L783" s="37">
        <f t="shared" ref="L783:P784" si="427">ROUND(+$K783*E783,0)</f>
        <v>0</v>
      </c>
      <c r="M783" s="36">
        <f t="shared" si="427"/>
        <v>0</v>
      </c>
      <c r="N783" s="36">
        <f t="shared" si="427"/>
        <v>2100000</v>
      </c>
      <c r="O783" s="36">
        <f t="shared" si="427"/>
        <v>2100000</v>
      </c>
      <c r="P783" s="268">
        <f t="shared" si="427"/>
        <v>2100000</v>
      </c>
      <c r="Q783" s="281">
        <f>SUM(L783:P783)</f>
        <v>6300000</v>
      </c>
      <c r="R783" s="39"/>
      <c r="S783" s="115"/>
      <c r="T783" s="51"/>
    </row>
    <row r="784" spans="1:26" x14ac:dyDescent="0.2">
      <c r="A784" s="17" t="s">
        <v>1190</v>
      </c>
      <c r="B784" s="45"/>
      <c r="C784" s="51"/>
      <c r="D784" s="18"/>
      <c r="E784" s="97"/>
      <c r="F784" s="98"/>
      <c r="G784" s="98"/>
      <c r="H784" s="98"/>
      <c r="I784" s="98"/>
      <c r="J784" s="99">
        <f t="shared" si="375"/>
        <v>0</v>
      </c>
      <c r="K784" s="116"/>
      <c r="L784" s="35">
        <f t="shared" si="427"/>
        <v>0</v>
      </c>
      <c r="M784" s="34">
        <f t="shared" si="427"/>
        <v>0</v>
      </c>
      <c r="N784" s="34">
        <f t="shared" si="427"/>
        <v>0</v>
      </c>
      <c r="O784" s="34">
        <f t="shared" si="427"/>
        <v>0</v>
      </c>
      <c r="P784" s="269">
        <f t="shared" si="427"/>
        <v>0</v>
      </c>
      <c r="Q784" s="279">
        <f>SUM(L784:P784)</f>
        <v>0</v>
      </c>
      <c r="R784" s="38"/>
      <c r="S784" s="116"/>
      <c r="T784" s="50"/>
    </row>
    <row r="785" spans="1:21" x14ac:dyDescent="0.2">
      <c r="A785" s="20" t="s">
        <v>1191</v>
      </c>
      <c r="B785" s="46"/>
      <c r="C785" s="51" t="s">
        <v>610</v>
      </c>
      <c r="D785" s="21"/>
      <c r="E785" s="96"/>
      <c r="F785" s="100"/>
      <c r="G785" s="100"/>
      <c r="H785" s="100"/>
      <c r="I785" s="100"/>
      <c r="J785" s="101">
        <f t="shared" si="375"/>
        <v>0</v>
      </c>
      <c r="K785" s="115"/>
      <c r="L785" s="161">
        <f t="shared" ref="L785:Q785" si="428">SUM(L786:L786)</f>
        <v>0</v>
      </c>
      <c r="M785" s="157">
        <f t="shared" si="428"/>
        <v>875000</v>
      </c>
      <c r="N785" s="157">
        <f t="shared" si="428"/>
        <v>875000</v>
      </c>
      <c r="O785" s="157">
        <f t="shared" si="428"/>
        <v>0</v>
      </c>
      <c r="P785" s="270">
        <f t="shared" si="428"/>
        <v>0</v>
      </c>
      <c r="Q785" s="284">
        <f t="shared" si="428"/>
        <v>1750000</v>
      </c>
      <c r="R785" s="39" t="s">
        <v>752</v>
      </c>
      <c r="S785" s="115" t="s">
        <v>665</v>
      </c>
      <c r="T785" s="51"/>
    </row>
    <row r="786" spans="1:21" x14ac:dyDescent="0.2">
      <c r="A786" s="95">
        <v>55</v>
      </c>
      <c r="B786" s="108" t="str">
        <f>IF(A786&lt;&gt;0,INDEX(Coûts,'PA-Détails'!A786, 2),)</f>
        <v>Ordinateur portable</v>
      </c>
      <c r="C786" s="51"/>
      <c r="D786" s="94" t="str">
        <f>IF(A786&lt;&gt;0,INDEX(Coûts, 'PA-Détails'!A786, 5),)</f>
        <v>Unité</v>
      </c>
      <c r="E786" s="96"/>
      <c r="F786" s="100">
        <f>F778</f>
        <v>875</v>
      </c>
      <c r="G786" s="100">
        <f>G778</f>
        <v>875</v>
      </c>
      <c r="H786" s="100"/>
      <c r="I786" s="100"/>
      <c r="J786" s="101">
        <f t="shared" ref="J786:J849" si="429">SUM(E786:I786)</f>
        <v>1750</v>
      </c>
      <c r="K786" s="115">
        <f>IF(A786&lt;&gt;0,INDEX(Coûts, 'PA-Détails'!A786, 3),)</f>
        <v>1000</v>
      </c>
      <c r="L786" s="37">
        <f t="shared" ref="L786:P788" si="430">ROUND(+$K786*E786,0)</f>
        <v>0</v>
      </c>
      <c r="M786" s="36">
        <f t="shared" si="430"/>
        <v>875000</v>
      </c>
      <c r="N786" s="36">
        <f t="shared" si="430"/>
        <v>875000</v>
      </c>
      <c r="O786" s="36">
        <f t="shared" si="430"/>
        <v>0</v>
      </c>
      <c r="P786" s="268">
        <f t="shared" si="430"/>
        <v>0</v>
      </c>
      <c r="Q786" s="281">
        <f>SUM(L786:P786)</f>
        <v>1750000</v>
      </c>
      <c r="R786" s="39"/>
      <c r="S786" s="115"/>
      <c r="T786" s="51"/>
    </row>
    <row r="787" spans="1:21" x14ac:dyDescent="0.2">
      <c r="A787" s="14" t="s">
        <v>1192</v>
      </c>
      <c r="B787" s="44"/>
      <c r="C787" s="112"/>
      <c r="D787" s="15"/>
      <c r="E787" s="102"/>
      <c r="F787" s="103"/>
      <c r="G787" s="103"/>
      <c r="H787" s="103"/>
      <c r="I787" s="103"/>
      <c r="J787" s="104">
        <f t="shared" si="429"/>
        <v>0</v>
      </c>
      <c r="K787" s="145"/>
      <c r="L787" s="33">
        <f t="shared" si="430"/>
        <v>0</v>
      </c>
      <c r="M787" s="32">
        <f t="shared" si="430"/>
        <v>0</v>
      </c>
      <c r="N787" s="32">
        <f t="shared" si="430"/>
        <v>0</v>
      </c>
      <c r="O787" s="32">
        <f t="shared" si="430"/>
        <v>0</v>
      </c>
      <c r="P787" s="267">
        <f t="shared" si="430"/>
        <v>0</v>
      </c>
      <c r="Q787" s="278">
        <f>SUM(L787:P787)</f>
        <v>0</v>
      </c>
      <c r="R787" s="40"/>
      <c r="S787" s="145"/>
      <c r="T787" s="49">
        <v>3</v>
      </c>
    </row>
    <row r="788" spans="1:21" x14ac:dyDescent="0.2">
      <c r="A788" s="17" t="s">
        <v>1193</v>
      </c>
      <c r="B788" s="45"/>
      <c r="C788" s="51"/>
      <c r="D788" s="18"/>
      <c r="E788" s="97"/>
      <c r="F788" s="98"/>
      <c r="G788" s="98"/>
      <c r="H788" s="98"/>
      <c r="I788" s="98"/>
      <c r="J788" s="99">
        <f t="shared" si="429"/>
        <v>0</v>
      </c>
      <c r="K788" s="116"/>
      <c r="L788" s="35">
        <f t="shared" si="430"/>
        <v>0</v>
      </c>
      <c r="M788" s="34">
        <f t="shared" si="430"/>
        <v>0</v>
      </c>
      <c r="N788" s="34">
        <f t="shared" si="430"/>
        <v>0</v>
      </c>
      <c r="O788" s="34">
        <f t="shared" si="430"/>
        <v>0</v>
      </c>
      <c r="P788" s="269">
        <f t="shared" si="430"/>
        <v>0</v>
      </c>
      <c r="Q788" s="279">
        <f>SUM(L788:P788)</f>
        <v>0</v>
      </c>
      <c r="R788" s="38"/>
      <c r="S788" s="116"/>
      <c r="T788" s="50"/>
    </row>
    <row r="789" spans="1:21" x14ac:dyDescent="0.2">
      <c r="A789" s="20" t="s">
        <v>1194</v>
      </c>
      <c r="B789" s="46"/>
      <c r="C789" s="51" t="s">
        <v>929</v>
      </c>
      <c r="D789" s="21"/>
      <c r="E789" s="96"/>
      <c r="F789" s="100"/>
      <c r="G789" s="100"/>
      <c r="H789" s="100"/>
      <c r="I789" s="100"/>
      <c r="J789" s="101">
        <f t="shared" si="429"/>
        <v>0</v>
      </c>
      <c r="K789" s="115"/>
      <c r="L789" s="161">
        <f t="shared" ref="L789:Q789" si="431">SUM(L790:L790)</f>
        <v>0</v>
      </c>
      <c r="M789" s="157">
        <f t="shared" si="431"/>
        <v>0</v>
      </c>
      <c r="N789" s="157">
        <f t="shared" si="431"/>
        <v>2445000</v>
      </c>
      <c r="O789" s="157">
        <f t="shared" si="431"/>
        <v>2445000</v>
      </c>
      <c r="P789" s="270">
        <f t="shared" si="431"/>
        <v>2445000</v>
      </c>
      <c r="Q789" s="284">
        <f t="shared" si="431"/>
        <v>7335000</v>
      </c>
      <c r="R789" s="39" t="s">
        <v>675</v>
      </c>
      <c r="S789" s="115"/>
      <c r="T789" s="51"/>
    </row>
    <row r="790" spans="1:21" x14ac:dyDescent="0.2">
      <c r="A790" s="95">
        <v>45</v>
      </c>
      <c r="B790" s="108" t="str">
        <f>IF(A790&lt;&gt;0,INDEX(Coûts,'PA-Détails'!A790, 2),)</f>
        <v>Équipement informatique (lot PC, logiciel,  imprimante, photocopieuse, scanner)</v>
      </c>
      <c r="C790" s="51"/>
      <c r="D790" s="94" t="str">
        <f>IF(A790&lt;&gt;0,INDEX(Coûts, 'PA-Détails'!A790, 5),)</f>
        <v>Forfait</v>
      </c>
      <c r="E790" s="96"/>
      <c r="F790" s="100">
        <f>F782</f>
        <v>0</v>
      </c>
      <c r="G790" s="100">
        <f>H!E80</f>
        <v>1630</v>
      </c>
      <c r="H790" s="100">
        <f>G790</f>
        <v>1630</v>
      </c>
      <c r="I790" s="100">
        <f>H790</f>
        <v>1630</v>
      </c>
      <c r="J790" s="101">
        <f t="shared" si="429"/>
        <v>4890</v>
      </c>
      <c r="K790" s="115">
        <f>IF(A790&lt;&gt;0,INDEX(Coûts, 'PA-Détails'!A790, 3),)</f>
        <v>1500</v>
      </c>
      <c r="L790" s="37">
        <f t="shared" ref="L790:P791" si="432">ROUND(+$K790*E790,0)</f>
        <v>0</v>
      </c>
      <c r="M790" s="36">
        <f t="shared" si="432"/>
        <v>0</v>
      </c>
      <c r="N790" s="36">
        <f t="shared" si="432"/>
        <v>2445000</v>
      </c>
      <c r="O790" s="36">
        <f t="shared" si="432"/>
        <v>2445000</v>
      </c>
      <c r="P790" s="268">
        <f t="shared" si="432"/>
        <v>2445000</v>
      </c>
      <c r="Q790" s="281">
        <f>SUM(L790:P790)</f>
        <v>7335000</v>
      </c>
      <c r="R790" s="39"/>
      <c r="S790" s="115"/>
      <c r="T790" s="51"/>
    </row>
    <row r="791" spans="1:21" x14ac:dyDescent="0.2">
      <c r="A791" s="17" t="s">
        <v>1195</v>
      </c>
      <c r="B791" s="45"/>
      <c r="C791" s="51"/>
      <c r="D791" s="18"/>
      <c r="E791" s="97"/>
      <c r="F791" s="98"/>
      <c r="G791" s="98"/>
      <c r="H791" s="98"/>
      <c r="I791" s="98"/>
      <c r="J791" s="99">
        <f t="shared" si="429"/>
        <v>0</v>
      </c>
      <c r="K791" s="116"/>
      <c r="L791" s="35">
        <f t="shared" si="432"/>
        <v>0</v>
      </c>
      <c r="M791" s="34">
        <f t="shared" si="432"/>
        <v>0</v>
      </c>
      <c r="N791" s="34">
        <f t="shared" si="432"/>
        <v>0</v>
      </c>
      <c r="O791" s="34">
        <f t="shared" si="432"/>
        <v>0</v>
      </c>
      <c r="P791" s="269">
        <f t="shared" si="432"/>
        <v>0</v>
      </c>
      <c r="Q791" s="279">
        <f>SUM(L791:P791)</f>
        <v>0</v>
      </c>
      <c r="R791" s="38"/>
      <c r="S791" s="116"/>
      <c r="T791" s="50"/>
    </row>
    <row r="792" spans="1:21" x14ac:dyDescent="0.2">
      <c r="A792" s="20" t="s">
        <v>1196</v>
      </c>
      <c r="B792" s="149"/>
      <c r="C792" s="51" t="s">
        <v>930</v>
      </c>
      <c r="D792" s="21"/>
      <c r="E792" s="96"/>
      <c r="F792" s="100"/>
      <c r="G792" s="100"/>
      <c r="H792" s="100"/>
      <c r="I792" s="100"/>
      <c r="J792" s="101">
        <f t="shared" si="429"/>
        <v>0</v>
      </c>
      <c r="K792" s="115"/>
      <c r="L792" s="161">
        <f t="shared" ref="L792:Q792" si="433">SUM(L793:L794)</f>
        <v>0</v>
      </c>
      <c r="M792" s="157">
        <f t="shared" si="433"/>
        <v>0</v>
      </c>
      <c r="N792" s="157">
        <f t="shared" si="433"/>
        <v>2938000</v>
      </c>
      <c r="O792" s="157">
        <f t="shared" si="433"/>
        <v>2282000</v>
      </c>
      <c r="P792" s="270">
        <f t="shared" si="433"/>
        <v>2282000</v>
      </c>
      <c r="Q792" s="284">
        <f t="shared" si="433"/>
        <v>7502000</v>
      </c>
      <c r="R792" s="39" t="s">
        <v>754</v>
      </c>
      <c r="S792" s="115" t="s">
        <v>700</v>
      </c>
      <c r="T792" s="51"/>
    </row>
    <row r="793" spans="1:21" x14ac:dyDescent="0.2">
      <c r="A793" s="95">
        <v>67</v>
      </c>
      <c r="B793" s="108" t="str">
        <f>IF(A793&lt;&gt;0,INDEX(Coûts,'PA-Détails'!A793, 2),)</f>
        <v>Connexions internet</v>
      </c>
      <c r="C793" s="51"/>
      <c r="D793" s="94" t="str">
        <f>IF(A793&lt;&gt;0,INDEX(Coûts, 'PA-Détails'!A793, 5),)</f>
        <v>Budget/an</v>
      </c>
      <c r="E793" s="96"/>
      <c r="F793" s="100"/>
      <c r="G793" s="100">
        <f>H!E80</f>
        <v>1630</v>
      </c>
      <c r="H793" s="100">
        <f>G793</f>
        <v>1630</v>
      </c>
      <c r="I793" s="100">
        <f>H793</f>
        <v>1630</v>
      </c>
      <c r="J793" s="101">
        <f t="shared" si="429"/>
        <v>4890</v>
      </c>
      <c r="K793" s="115">
        <f>IF(A793&lt;&gt;0,INDEX(Coûts, 'PA-Détails'!A793, 3),)</f>
        <v>1400</v>
      </c>
      <c r="L793" s="37">
        <f t="shared" ref="L793:P797" si="434">ROUND(+$K793*E793,0)</f>
        <v>0</v>
      </c>
      <c r="M793" s="36">
        <f t="shared" si="434"/>
        <v>0</v>
      </c>
      <c r="N793" s="36">
        <f t="shared" si="434"/>
        <v>2282000</v>
      </c>
      <c r="O793" s="36">
        <f t="shared" si="434"/>
        <v>2282000</v>
      </c>
      <c r="P793" s="268">
        <f t="shared" si="434"/>
        <v>2282000</v>
      </c>
      <c r="Q793" s="281">
        <f>SUM(L793:P793)</f>
        <v>6846000</v>
      </c>
      <c r="R793" s="39"/>
      <c r="S793" s="115"/>
      <c r="T793" s="51"/>
    </row>
    <row r="794" spans="1:21" x14ac:dyDescent="0.2">
      <c r="A794" s="95">
        <v>56</v>
      </c>
      <c r="B794" s="108" t="str">
        <f>IF(A794&lt;&gt;0,INDEX(Coûts,'PA-Détails'!A794, 2),)</f>
        <v>Energie Solaire (voltaique)</v>
      </c>
      <c r="C794" s="51"/>
      <c r="D794" s="94" t="str">
        <f>IF(A794&lt;&gt;0,INDEX(Coûts, 'PA-Détails'!A794, 5),)</f>
        <v>Forfait</v>
      </c>
      <c r="E794" s="96"/>
      <c r="F794" s="100"/>
      <c r="G794" s="100">
        <f>328</f>
        <v>328</v>
      </c>
      <c r="H794" s="100"/>
      <c r="I794" s="100"/>
      <c r="J794" s="101">
        <f t="shared" si="429"/>
        <v>328</v>
      </c>
      <c r="K794" s="115">
        <f>IF(A794&lt;&gt;0,INDEX(Coûts, 'PA-Détails'!A794, 3),)</f>
        <v>2000</v>
      </c>
      <c r="L794" s="37">
        <f t="shared" si="434"/>
        <v>0</v>
      </c>
      <c r="M794" s="36">
        <f t="shared" si="434"/>
        <v>0</v>
      </c>
      <c r="N794" s="36">
        <f t="shared" si="434"/>
        <v>656000</v>
      </c>
      <c r="O794" s="36">
        <f t="shared" si="434"/>
        <v>0</v>
      </c>
      <c r="P794" s="268">
        <f t="shared" si="434"/>
        <v>0</v>
      </c>
      <c r="Q794" s="281">
        <f>SUM(L794:P794)</f>
        <v>656000</v>
      </c>
      <c r="R794" s="39"/>
      <c r="S794" s="115"/>
      <c r="T794" s="51"/>
    </row>
    <row r="795" spans="1:21" x14ac:dyDescent="0.2">
      <c r="A795" s="11" t="s">
        <v>769</v>
      </c>
      <c r="B795" s="13"/>
      <c r="C795" s="113"/>
      <c r="D795" s="12"/>
      <c r="E795" s="105"/>
      <c r="F795" s="106"/>
      <c r="G795" s="106"/>
      <c r="H795" s="106"/>
      <c r="I795" s="106"/>
      <c r="J795" s="107">
        <f t="shared" si="429"/>
        <v>0</v>
      </c>
      <c r="K795" s="144"/>
      <c r="L795" s="30">
        <f t="shared" si="434"/>
        <v>0</v>
      </c>
      <c r="M795" s="29">
        <f t="shared" si="434"/>
        <v>0</v>
      </c>
      <c r="N795" s="29">
        <f t="shared" si="434"/>
        <v>0</v>
      </c>
      <c r="O795" s="29">
        <f t="shared" si="434"/>
        <v>0</v>
      </c>
      <c r="P795" s="266">
        <f t="shared" si="434"/>
        <v>0</v>
      </c>
      <c r="Q795" s="277">
        <f>SUM(L795:P795)</f>
        <v>0</v>
      </c>
      <c r="R795" s="176"/>
      <c r="S795" s="177"/>
      <c r="T795" s="48"/>
      <c r="U795" s="653">
        <f>+SUM(Q$6:Q794)/2</f>
        <v>5241308692.3515062</v>
      </c>
    </row>
    <row r="796" spans="1:21" x14ac:dyDescent="0.2">
      <c r="A796" s="14" t="s">
        <v>92</v>
      </c>
      <c r="B796" s="44"/>
      <c r="C796" s="330"/>
      <c r="D796" s="15"/>
      <c r="E796" s="102"/>
      <c r="F796" s="103"/>
      <c r="G796" s="103"/>
      <c r="H796" s="103"/>
      <c r="I796" s="103"/>
      <c r="J796" s="104">
        <f t="shared" si="429"/>
        <v>0</v>
      </c>
      <c r="K796" s="145"/>
      <c r="L796" s="33">
        <f t="shared" si="434"/>
        <v>0</v>
      </c>
      <c r="M796" s="32">
        <f t="shared" si="434"/>
        <v>0</v>
      </c>
      <c r="N796" s="32">
        <f t="shared" si="434"/>
        <v>0</v>
      </c>
      <c r="O796" s="32">
        <f t="shared" si="434"/>
        <v>0</v>
      </c>
      <c r="P796" s="267">
        <f t="shared" si="434"/>
        <v>0</v>
      </c>
      <c r="Q796" s="278">
        <f>SUM(L796:P796)</f>
        <v>0</v>
      </c>
      <c r="R796" s="178"/>
      <c r="S796" s="179"/>
      <c r="T796" s="49">
        <v>1</v>
      </c>
    </row>
    <row r="797" spans="1:21" x14ac:dyDescent="0.2">
      <c r="A797" s="17" t="s">
        <v>93</v>
      </c>
      <c r="B797" s="45"/>
      <c r="C797" s="329" t="s">
        <v>861</v>
      </c>
      <c r="D797" s="18"/>
      <c r="E797" s="97"/>
      <c r="F797" s="98"/>
      <c r="G797" s="98"/>
      <c r="H797" s="98"/>
      <c r="I797" s="98"/>
      <c r="J797" s="99">
        <f t="shared" si="429"/>
        <v>0</v>
      </c>
      <c r="K797" s="116"/>
      <c r="L797" s="35">
        <f t="shared" si="434"/>
        <v>0</v>
      </c>
      <c r="M797" s="34">
        <f t="shared" si="434"/>
        <v>0</v>
      </c>
      <c r="N797" s="34">
        <f t="shared" si="434"/>
        <v>0</v>
      </c>
      <c r="O797" s="34">
        <f t="shared" si="434"/>
        <v>0</v>
      </c>
      <c r="P797" s="269">
        <f t="shared" si="434"/>
        <v>0</v>
      </c>
      <c r="Q797" s="279">
        <f>SUM(L797:P797)</f>
        <v>0</v>
      </c>
      <c r="R797" s="180"/>
      <c r="S797" s="181"/>
      <c r="T797" s="50"/>
    </row>
    <row r="798" spans="1:21" x14ac:dyDescent="0.2">
      <c r="A798" s="20" t="s">
        <v>1094</v>
      </c>
      <c r="B798" s="46"/>
      <c r="C798" s="51"/>
      <c r="D798" s="21"/>
      <c r="E798" s="96"/>
      <c r="F798" s="100"/>
      <c r="G798" s="100"/>
      <c r="H798" s="100"/>
      <c r="I798" s="100"/>
      <c r="J798" s="101">
        <f t="shared" si="429"/>
        <v>0</v>
      </c>
      <c r="K798" s="115"/>
      <c r="L798" s="161">
        <f t="shared" ref="L798:Q798" si="435">SUM(L799:L801)</f>
        <v>37000</v>
      </c>
      <c r="M798" s="157">
        <f t="shared" si="435"/>
        <v>0</v>
      </c>
      <c r="N798" s="157">
        <f t="shared" si="435"/>
        <v>0</v>
      </c>
      <c r="O798" s="157">
        <f t="shared" si="435"/>
        <v>0</v>
      </c>
      <c r="P798" s="270">
        <f t="shared" si="435"/>
        <v>0</v>
      </c>
      <c r="Q798" s="284">
        <f t="shared" si="435"/>
        <v>37000</v>
      </c>
      <c r="R798" s="182" t="s">
        <v>869</v>
      </c>
      <c r="S798" s="183" t="s">
        <v>665</v>
      </c>
      <c r="T798" s="51"/>
    </row>
    <row r="799" spans="1:21" x14ac:dyDescent="0.2">
      <c r="A799" s="95">
        <v>1</v>
      </c>
      <c r="B799" s="108" t="str">
        <f>IF(A799&lt;&gt;0,INDEX(Coûts,'PA-Détails'!A799, 2),)</f>
        <v>Assistance technique internationale (consultants)</v>
      </c>
      <c r="C799" s="51"/>
      <c r="D799" s="94" t="str">
        <f>IF(A799&lt;&gt;0,INDEX(Coûts, 'PA-Détails'!A799, 5),)</f>
        <v>Pers / j</v>
      </c>
      <c r="E799" s="96">
        <v>20</v>
      </c>
      <c r="F799" s="100"/>
      <c r="G799" s="100"/>
      <c r="H799" s="100"/>
      <c r="I799" s="100">
        <f>H799</f>
        <v>0</v>
      </c>
      <c r="J799" s="101">
        <f t="shared" si="429"/>
        <v>20</v>
      </c>
      <c r="K799" s="115">
        <f>IF(A799&lt;&gt;0,INDEX(Coûts, 'PA-Détails'!A799, 3),)</f>
        <v>1150</v>
      </c>
      <c r="L799" s="37">
        <f t="shared" ref="L799:P802" si="436">ROUND(+$K799*E799,0)</f>
        <v>23000</v>
      </c>
      <c r="M799" s="36">
        <f t="shared" si="436"/>
        <v>0</v>
      </c>
      <c r="N799" s="36">
        <f t="shared" si="436"/>
        <v>0</v>
      </c>
      <c r="O799" s="36">
        <f t="shared" si="436"/>
        <v>0</v>
      </c>
      <c r="P799" s="268">
        <f t="shared" si="436"/>
        <v>0</v>
      </c>
      <c r="Q799" s="281">
        <f>SUM(L799:P799)</f>
        <v>23000</v>
      </c>
      <c r="R799" s="39"/>
      <c r="S799" s="115"/>
      <c r="T799" s="51"/>
    </row>
    <row r="800" spans="1:21" x14ac:dyDescent="0.2">
      <c r="A800" s="95">
        <v>2</v>
      </c>
      <c r="B800" s="108" t="str">
        <f>IF(A800&lt;&gt;0,INDEX(Coûts,'PA-Détails'!A800, 2),)</f>
        <v>Assistance technique nationale (consultants)</v>
      </c>
      <c r="C800" s="51"/>
      <c r="D800" s="94" t="str">
        <f>IF(A800&lt;&gt;0,INDEX(Coûts, 'PA-Détails'!A800, 5),)</f>
        <v>Pers / j</v>
      </c>
      <c r="E800" s="96">
        <v>30</v>
      </c>
      <c r="F800" s="100"/>
      <c r="G800" s="100"/>
      <c r="H800" s="100"/>
      <c r="I800" s="100"/>
      <c r="J800" s="101">
        <f t="shared" si="429"/>
        <v>30</v>
      </c>
      <c r="K800" s="115">
        <f>IF(A800&lt;&gt;0,INDEX(Coûts, 'PA-Détails'!A800, 3),)</f>
        <v>300</v>
      </c>
      <c r="L800" s="37">
        <f t="shared" si="436"/>
        <v>9000</v>
      </c>
      <c r="M800" s="36">
        <f t="shared" si="436"/>
        <v>0</v>
      </c>
      <c r="N800" s="36">
        <f t="shared" si="436"/>
        <v>0</v>
      </c>
      <c r="O800" s="36">
        <f t="shared" si="436"/>
        <v>0</v>
      </c>
      <c r="P800" s="268">
        <f t="shared" si="436"/>
        <v>0</v>
      </c>
      <c r="Q800" s="281">
        <f>SUM(L800:P800)</f>
        <v>9000</v>
      </c>
      <c r="R800" s="39"/>
      <c r="S800" s="115"/>
      <c r="T800" s="51"/>
    </row>
    <row r="801" spans="1:26" x14ac:dyDescent="0.2">
      <c r="A801" s="95">
        <v>5</v>
      </c>
      <c r="B801" s="108" t="str">
        <f>IF(A801&lt;&gt;0,INDEX(Coûts,'PA-Détails'!A801, 2),)</f>
        <v>Atelier de validation</v>
      </c>
      <c r="C801" s="51"/>
      <c r="D801" s="94" t="str">
        <f>IF(A801&lt;&gt;0,INDEX(Coûts, 'PA-Détails'!A801, 5),)</f>
        <v>Pers / j</v>
      </c>
      <c r="E801" s="96">
        <f>50*2</f>
        <v>100</v>
      </c>
      <c r="F801" s="100"/>
      <c r="G801" s="100"/>
      <c r="H801" s="100"/>
      <c r="I801" s="100"/>
      <c r="J801" s="101">
        <f t="shared" si="429"/>
        <v>100</v>
      </c>
      <c r="K801" s="115">
        <f>IF(A801&lt;&gt;0,INDEX(Coûts, 'PA-Détails'!A801, 3),)</f>
        <v>50</v>
      </c>
      <c r="L801" s="37">
        <f t="shared" si="436"/>
        <v>5000</v>
      </c>
      <c r="M801" s="36">
        <f t="shared" si="436"/>
        <v>0</v>
      </c>
      <c r="N801" s="36">
        <f t="shared" si="436"/>
        <v>0</v>
      </c>
      <c r="O801" s="36">
        <f t="shared" si="436"/>
        <v>0</v>
      </c>
      <c r="P801" s="268">
        <f t="shared" si="436"/>
        <v>0</v>
      </c>
      <c r="Q801" s="281">
        <f>SUM(L801:P801)</f>
        <v>5000</v>
      </c>
      <c r="R801" s="39"/>
      <c r="S801" s="115"/>
      <c r="T801" s="51"/>
    </row>
    <row r="802" spans="1:26" x14ac:dyDescent="0.2">
      <c r="A802" s="17" t="s">
        <v>94</v>
      </c>
      <c r="B802" s="45"/>
      <c r="C802" s="329" t="s">
        <v>269</v>
      </c>
      <c r="D802" s="18"/>
      <c r="E802" s="97"/>
      <c r="F802" s="98"/>
      <c r="G802" s="98"/>
      <c r="H802" s="98"/>
      <c r="I802" s="98"/>
      <c r="J802" s="99">
        <f t="shared" si="429"/>
        <v>0</v>
      </c>
      <c r="K802" s="116"/>
      <c r="L802" s="35">
        <f t="shared" si="436"/>
        <v>0</v>
      </c>
      <c r="M802" s="34">
        <f t="shared" si="436"/>
        <v>0</v>
      </c>
      <c r="N802" s="34">
        <f t="shared" si="436"/>
        <v>0</v>
      </c>
      <c r="O802" s="34">
        <f t="shared" si="436"/>
        <v>0</v>
      </c>
      <c r="P802" s="269">
        <f t="shared" si="436"/>
        <v>0</v>
      </c>
      <c r="Q802" s="279">
        <f>SUM(L802:P802)</f>
        <v>0</v>
      </c>
      <c r="R802" s="180"/>
      <c r="S802" s="181"/>
      <c r="T802" s="50"/>
    </row>
    <row r="803" spans="1:26" x14ac:dyDescent="0.2">
      <c r="A803" s="20" t="s">
        <v>1095</v>
      </c>
      <c r="B803" s="46"/>
      <c r="C803" s="51"/>
      <c r="D803" s="21"/>
      <c r="E803" s="96"/>
      <c r="F803" s="100"/>
      <c r="G803" s="100"/>
      <c r="H803" s="100"/>
      <c r="I803" s="100"/>
      <c r="J803" s="101">
        <f t="shared" si="429"/>
        <v>0</v>
      </c>
      <c r="K803" s="115"/>
      <c r="L803" s="161">
        <f t="shared" ref="L803:Q803" si="437">SUM(L804:L806)</f>
        <v>0</v>
      </c>
      <c r="M803" s="157">
        <f t="shared" si="437"/>
        <v>19500</v>
      </c>
      <c r="N803" s="157">
        <f t="shared" si="437"/>
        <v>0</v>
      </c>
      <c r="O803" s="157">
        <f t="shared" si="437"/>
        <v>19500</v>
      </c>
      <c r="P803" s="270">
        <f t="shared" si="437"/>
        <v>0</v>
      </c>
      <c r="Q803" s="284">
        <f t="shared" si="437"/>
        <v>39000</v>
      </c>
      <c r="R803" s="182" t="s">
        <v>862</v>
      </c>
      <c r="S803" s="183" t="s">
        <v>665</v>
      </c>
      <c r="T803" s="51"/>
    </row>
    <row r="804" spans="1:26" x14ac:dyDescent="0.2">
      <c r="A804" s="95">
        <v>1</v>
      </c>
      <c r="B804" s="108" t="str">
        <f>IF(A804&lt;&gt;0,INDEX(Coûts,'PA-Détails'!A804, 2),)</f>
        <v>Assistance technique internationale (consultants)</v>
      </c>
      <c r="C804" s="51"/>
      <c r="D804" s="94" t="str">
        <f>IF(A804&lt;&gt;0,INDEX(Coûts, 'PA-Détails'!A804, 5),)</f>
        <v>Pers / j</v>
      </c>
      <c r="E804" s="96"/>
      <c r="F804" s="100">
        <v>10</v>
      </c>
      <c r="G804" s="100"/>
      <c r="H804" s="100">
        <v>10</v>
      </c>
      <c r="I804" s="100"/>
      <c r="J804" s="101">
        <f t="shared" si="429"/>
        <v>20</v>
      </c>
      <c r="K804" s="115">
        <f>IF(A804&lt;&gt;0,INDEX(Coûts, 'PA-Détails'!A804, 3),)</f>
        <v>1150</v>
      </c>
      <c r="L804" s="37">
        <f t="shared" ref="L804:P807" si="438">ROUND(+$K804*E804,0)</f>
        <v>0</v>
      </c>
      <c r="M804" s="36">
        <f t="shared" si="438"/>
        <v>11500</v>
      </c>
      <c r="N804" s="36">
        <f t="shared" si="438"/>
        <v>0</v>
      </c>
      <c r="O804" s="36">
        <f t="shared" si="438"/>
        <v>11500</v>
      </c>
      <c r="P804" s="268">
        <f t="shared" si="438"/>
        <v>0</v>
      </c>
      <c r="Q804" s="281">
        <f>SUM(L804:P804)</f>
        <v>23000</v>
      </c>
      <c r="R804" s="182"/>
      <c r="S804" s="183"/>
      <c r="T804" s="51"/>
    </row>
    <row r="805" spans="1:26" x14ac:dyDescent="0.2">
      <c r="A805" s="95">
        <v>2</v>
      </c>
      <c r="B805" s="108" t="str">
        <f>IF(A805&lt;&gt;0,INDEX(Coûts,'PA-Détails'!A805, 2),)</f>
        <v>Assistance technique nationale (consultants)</v>
      </c>
      <c r="C805" s="51"/>
      <c r="D805" s="94" t="str">
        <f>IF(A805&lt;&gt;0,INDEX(Coûts, 'PA-Détails'!A805, 5),)</f>
        <v>Pers / j</v>
      </c>
      <c r="E805" s="96"/>
      <c r="F805" s="100">
        <v>20</v>
      </c>
      <c r="G805" s="100"/>
      <c r="H805" s="100">
        <v>20</v>
      </c>
      <c r="I805" s="100"/>
      <c r="J805" s="101">
        <f t="shared" si="429"/>
        <v>40</v>
      </c>
      <c r="K805" s="115">
        <f>IF(A805&lt;&gt;0,INDEX(Coûts, 'PA-Détails'!A805, 3),)</f>
        <v>300</v>
      </c>
      <c r="L805" s="37">
        <f t="shared" si="438"/>
        <v>0</v>
      </c>
      <c r="M805" s="36">
        <f t="shared" si="438"/>
        <v>6000</v>
      </c>
      <c r="N805" s="36">
        <f t="shared" si="438"/>
        <v>0</v>
      </c>
      <c r="O805" s="36">
        <f t="shared" si="438"/>
        <v>6000</v>
      </c>
      <c r="P805" s="268">
        <f t="shared" si="438"/>
        <v>0</v>
      </c>
      <c r="Q805" s="281">
        <f>SUM(L805:P805)</f>
        <v>12000</v>
      </c>
      <c r="R805" s="182"/>
      <c r="S805" s="183"/>
      <c r="T805" s="51"/>
    </row>
    <row r="806" spans="1:26" x14ac:dyDescent="0.2">
      <c r="A806" s="95">
        <v>5</v>
      </c>
      <c r="B806" s="108" t="str">
        <f>IF(A806&lt;&gt;0,INDEX(Coûts,'PA-Détails'!A806, 2),)</f>
        <v>Atelier de validation</v>
      </c>
      <c r="C806" s="51"/>
      <c r="D806" s="94" t="str">
        <f>IF(A806&lt;&gt;0,INDEX(Coûts, 'PA-Détails'!A806, 5),)</f>
        <v>Pers / j</v>
      </c>
      <c r="E806" s="96"/>
      <c r="F806" s="100">
        <v>40</v>
      </c>
      <c r="G806" s="100"/>
      <c r="H806" s="100">
        <v>40</v>
      </c>
      <c r="I806" s="100"/>
      <c r="J806" s="101">
        <f t="shared" si="429"/>
        <v>80</v>
      </c>
      <c r="K806" s="115">
        <f>IF(A806&lt;&gt;0,INDEX(Coûts, 'PA-Détails'!A806, 3),)</f>
        <v>50</v>
      </c>
      <c r="L806" s="37">
        <f t="shared" si="438"/>
        <v>0</v>
      </c>
      <c r="M806" s="36">
        <f t="shared" si="438"/>
        <v>2000</v>
      </c>
      <c r="N806" s="36">
        <f t="shared" si="438"/>
        <v>0</v>
      </c>
      <c r="O806" s="36">
        <f t="shared" si="438"/>
        <v>2000</v>
      </c>
      <c r="P806" s="268">
        <f t="shared" si="438"/>
        <v>0</v>
      </c>
      <c r="Q806" s="281">
        <f>SUM(L806:P806)</f>
        <v>4000</v>
      </c>
      <c r="R806" s="182"/>
      <c r="S806" s="183"/>
      <c r="T806" s="51"/>
    </row>
    <row r="807" spans="1:26" x14ac:dyDescent="0.2">
      <c r="A807" s="17" t="s">
        <v>870</v>
      </c>
      <c r="B807" s="45"/>
      <c r="C807" s="329" t="s">
        <v>270</v>
      </c>
      <c r="D807" s="18"/>
      <c r="E807" s="97"/>
      <c r="F807" s="98"/>
      <c r="G807" s="98"/>
      <c r="H807" s="98"/>
      <c r="I807" s="98"/>
      <c r="J807" s="99">
        <f t="shared" si="429"/>
        <v>0</v>
      </c>
      <c r="K807" s="116"/>
      <c r="L807" s="35">
        <f t="shared" si="438"/>
        <v>0</v>
      </c>
      <c r="M807" s="34">
        <f t="shared" si="438"/>
        <v>0</v>
      </c>
      <c r="N807" s="34">
        <f t="shared" si="438"/>
        <v>0</v>
      </c>
      <c r="O807" s="34">
        <f t="shared" si="438"/>
        <v>0</v>
      </c>
      <c r="P807" s="269">
        <f t="shared" si="438"/>
        <v>0</v>
      </c>
      <c r="Q807" s="279">
        <f>SUM(L807:P807)</f>
        <v>0</v>
      </c>
      <c r="R807" s="180"/>
      <c r="S807" s="181"/>
      <c r="T807" s="50"/>
    </row>
    <row r="808" spans="1:26" x14ac:dyDescent="0.2">
      <c r="A808" s="123" t="s">
        <v>1096</v>
      </c>
      <c r="B808" s="46"/>
      <c r="C808" s="51"/>
      <c r="D808" s="21"/>
      <c r="E808" s="96"/>
      <c r="F808" s="100"/>
      <c r="G808" s="100"/>
      <c r="H808" s="100"/>
      <c r="I808" s="100"/>
      <c r="J808" s="101">
        <f t="shared" si="429"/>
        <v>0</v>
      </c>
      <c r="K808" s="115"/>
      <c r="L808" s="161">
        <f t="shared" ref="L808:Q808" si="439">SUM(L809:L811)</f>
        <v>0</v>
      </c>
      <c r="M808" s="157">
        <f t="shared" si="439"/>
        <v>19500</v>
      </c>
      <c r="N808" s="157">
        <f t="shared" si="439"/>
        <v>0</v>
      </c>
      <c r="O808" s="157">
        <f t="shared" si="439"/>
        <v>19500</v>
      </c>
      <c r="P808" s="270">
        <f t="shared" si="439"/>
        <v>0</v>
      </c>
      <c r="Q808" s="284">
        <f t="shared" si="439"/>
        <v>39000</v>
      </c>
      <c r="R808" s="182" t="s">
        <v>869</v>
      </c>
      <c r="S808" s="183" t="s">
        <v>665</v>
      </c>
      <c r="T808" s="51"/>
    </row>
    <row r="809" spans="1:26" x14ac:dyDescent="0.2">
      <c r="A809" s="95">
        <v>1</v>
      </c>
      <c r="B809" s="108" t="str">
        <f>IF(A809&lt;&gt;0,INDEX(Coûts,'PA-Détails'!A809, 2),)</f>
        <v>Assistance technique internationale (consultants)</v>
      </c>
      <c r="C809" s="51"/>
      <c r="D809" s="94" t="str">
        <f>IF(A809&lt;&gt;0,INDEX(Coûts, 'PA-Détails'!A809, 5),)</f>
        <v>Pers / j</v>
      </c>
      <c r="E809" s="96"/>
      <c r="F809" s="100">
        <v>10</v>
      </c>
      <c r="G809" s="100"/>
      <c r="H809" s="100">
        <v>10</v>
      </c>
      <c r="I809" s="100"/>
      <c r="J809" s="101">
        <f t="shared" si="429"/>
        <v>20</v>
      </c>
      <c r="K809" s="115">
        <f>IF(A809&lt;&gt;0,INDEX(Coûts, 'PA-Détails'!A809, 3),)</f>
        <v>1150</v>
      </c>
      <c r="L809" s="37">
        <f t="shared" ref="L809:P812" si="440">ROUND(+$K809*E809,0)</f>
        <v>0</v>
      </c>
      <c r="M809" s="36">
        <f t="shared" si="440"/>
        <v>11500</v>
      </c>
      <c r="N809" s="36">
        <f t="shared" si="440"/>
        <v>0</v>
      </c>
      <c r="O809" s="36">
        <f t="shared" si="440"/>
        <v>11500</v>
      </c>
      <c r="P809" s="268">
        <f t="shared" si="440"/>
        <v>0</v>
      </c>
      <c r="Q809" s="281">
        <f>SUM(L809:P809)</f>
        <v>23000</v>
      </c>
      <c r="R809" s="182"/>
      <c r="S809" s="183"/>
      <c r="T809" s="51"/>
    </row>
    <row r="810" spans="1:26" x14ac:dyDescent="0.2">
      <c r="A810" s="95">
        <v>2</v>
      </c>
      <c r="B810" s="108" t="str">
        <f>IF(A810&lt;&gt;0,INDEX(Coûts,'PA-Détails'!A810, 2),)</f>
        <v>Assistance technique nationale (consultants)</v>
      </c>
      <c r="C810" s="51"/>
      <c r="D810" s="94" t="str">
        <f>IF(A810&lt;&gt;0,INDEX(Coûts, 'PA-Détails'!A810, 5),)</f>
        <v>Pers / j</v>
      </c>
      <c r="E810" s="96"/>
      <c r="F810" s="100">
        <v>20</v>
      </c>
      <c r="G810" s="100"/>
      <c r="H810" s="100">
        <v>20</v>
      </c>
      <c r="I810" s="100"/>
      <c r="J810" s="101">
        <f t="shared" si="429"/>
        <v>40</v>
      </c>
      <c r="K810" s="115">
        <f>IF(A810&lt;&gt;0,INDEX(Coûts, 'PA-Détails'!A810, 3),)</f>
        <v>300</v>
      </c>
      <c r="L810" s="37">
        <f t="shared" si="440"/>
        <v>0</v>
      </c>
      <c r="M810" s="36">
        <f t="shared" si="440"/>
        <v>6000</v>
      </c>
      <c r="N810" s="36">
        <f t="shared" si="440"/>
        <v>0</v>
      </c>
      <c r="O810" s="36">
        <f t="shared" si="440"/>
        <v>6000</v>
      </c>
      <c r="P810" s="268">
        <f t="shared" si="440"/>
        <v>0</v>
      </c>
      <c r="Q810" s="281">
        <f>SUM(L810:P810)</f>
        <v>12000</v>
      </c>
      <c r="R810" s="182"/>
      <c r="S810" s="183"/>
      <c r="T810" s="51"/>
    </row>
    <row r="811" spans="1:26" x14ac:dyDescent="0.2">
      <c r="A811" s="95">
        <v>5</v>
      </c>
      <c r="B811" s="108" t="str">
        <f>IF(A811&lt;&gt;0,INDEX(Coûts,'PA-Détails'!A811, 2),)</f>
        <v>Atelier de validation</v>
      </c>
      <c r="C811" s="51"/>
      <c r="D811" s="94" t="str">
        <f>IF(A811&lt;&gt;0,INDEX(Coûts, 'PA-Détails'!A811, 5),)</f>
        <v>Pers / j</v>
      </c>
      <c r="E811" s="96"/>
      <c r="F811" s="100">
        <v>40</v>
      </c>
      <c r="G811" s="100"/>
      <c r="H811" s="100">
        <v>40</v>
      </c>
      <c r="I811" s="100"/>
      <c r="J811" s="101">
        <f t="shared" si="429"/>
        <v>80</v>
      </c>
      <c r="K811" s="115">
        <f>IF(A811&lt;&gt;0,INDEX(Coûts, 'PA-Détails'!A811, 3),)</f>
        <v>50</v>
      </c>
      <c r="L811" s="37">
        <f t="shared" si="440"/>
        <v>0</v>
      </c>
      <c r="M811" s="36">
        <f t="shared" si="440"/>
        <v>2000</v>
      </c>
      <c r="N811" s="36">
        <f t="shared" si="440"/>
        <v>0</v>
      </c>
      <c r="O811" s="36">
        <f t="shared" si="440"/>
        <v>2000</v>
      </c>
      <c r="P811" s="268">
        <f t="shared" si="440"/>
        <v>0</v>
      </c>
      <c r="Q811" s="281">
        <f>SUM(L811:P811)</f>
        <v>4000</v>
      </c>
      <c r="R811" s="182"/>
      <c r="S811" s="183"/>
      <c r="T811" s="51"/>
    </row>
    <row r="812" spans="1:26" s="162" customFormat="1" x14ac:dyDescent="0.2">
      <c r="A812" s="122" t="s">
        <v>871</v>
      </c>
      <c r="B812" s="152"/>
      <c r="C812" s="162" t="s">
        <v>271</v>
      </c>
      <c r="D812" s="155"/>
      <c r="E812" s="97"/>
      <c r="F812" s="98"/>
      <c r="G812" s="98"/>
      <c r="H812" s="98"/>
      <c r="I812" s="98"/>
      <c r="J812" s="99">
        <f t="shared" si="429"/>
        <v>0</v>
      </c>
      <c r="K812" s="208"/>
      <c r="L812" s="161">
        <f t="shared" si="440"/>
        <v>0</v>
      </c>
      <c r="M812" s="157">
        <f t="shared" si="440"/>
        <v>0</v>
      </c>
      <c r="N812" s="157">
        <f t="shared" si="440"/>
        <v>0</v>
      </c>
      <c r="O812" s="157">
        <f t="shared" si="440"/>
        <v>0</v>
      </c>
      <c r="P812" s="270">
        <f t="shared" si="440"/>
        <v>0</v>
      </c>
      <c r="Q812" s="284">
        <f>SUM(L812:P812)</f>
        <v>0</v>
      </c>
      <c r="R812" s="200"/>
      <c r="S812" s="201"/>
      <c r="T812" s="154"/>
      <c r="U812" s="653"/>
      <c r="V812" s="572"/>
      <c r="W812" s="572"/>
      <c r="X812" s="572"/>
      <c r="Y812" s="572"/>
      <c r="Z812" s="572"/>
    </row>
    <row r="813" spans="1:26" x14ac:dyDescent="0.2">
      <c r="A813" s="20" t="s">
        <v>1097</v>
      </c>
      <c r="B813" s="46"/>
      <c r="C813" s="51"/>
      <c r="D813" s="21"/>
      <c r="E813" s="96"/>
      <c r="F813" s="100"/>
      <c r="G813" s="100"/>
      <c r="H813" s="100"/>
      <c r="I813" s="100"/>
      <c r="J813" s="101">
        <f t="shared" si="429"/>
        <v>0</v>
      </c>
      <c r="K813" s="115"/>
      <c r="L813" s="161">
        <f t="shared" ref="L813:Q813" si="441">SUM(L814:L816)</f>
        <v>19500</v>
      </c>
      <c r="M813" s="157">
        <f t="shared" si="441"/>
        <v>19500</v>
      </c>
      <c r="N813" s="157">
        <f t="shared" si="441"/>
        <v>19500</v>
      </c>
      <c r="O813" s="157">
        <f t="shared" si="441"/>
        <v>19500</v>
      </c>
      <c r="P813" s="270">
        <f t="shared" si="441"/>
        <v>19500</v>
      </c>
      <c r="Q813" s="284">
        <f t="shared" si="441"/>
        <v>97500</v>
      </c>
      <c r="R813" s="182" t="s">
        <v>838</v>
      </c>
      <c r="S813" s="183" t="s">
        <v>665</v>
      </c>
      <c r="T813" s="51"/>
    </row>
    <row r="814" spans="1:26" x14ac:dyDescent="0.2">
      <c r="A814" s="95">
        <v>1</v>
      </c>
      <c r="B814" s="108" t="str">
        <f>IF(A814&lt;&gt;0,INDEX(Coûts,'PA-Détails'!A814, 2),)</f>
        <v>Assistance technique internationale (consultants)</v>
      </c>
      <c r="C814" s="51"/>
      <c r="D814" s="94" t="str">
        <f>IF(A814&lt;&gt;0,INDEX(Coûts, 'PA-Détails'!A814, 5),)</f>
        <v>Pers / j</v>
      </c>
      <c r="E814" s="100">
        <v>10</v>
      </c>
      <c r="F814" s="100">
        <v>10</v>
      </c>
      <c r="G814" s="100">
        <v>10</v>
      </c>
      <c r="H814" s="100">
        <v>10</v>
      </c>
      <c r="I814" s="100">
        <v>10</v>
      </c>
      <c r="J814" s="101">
        <f t="shared" si="429"/>
        <v>50</v>
      </c>
      <c r="K814" s="115">
        <f>IF(A814&lt;&gt;0,INDEX(Coûts, 'PA-Détails'!A814, 3),)</f>
        <v>1150</v>
      </c>
      <c r="L814" s="37">
        <f t="shared" ref="L814:P817" si="442">ROUND(+$K814*E814,0)</f>
        <v>11500</v>
      </c>
      <c r="M814" s="36">
        <f t="shared" si="442"/>
        <v>11500</v>
      </c>
      <c r="N814" s="36">
        <f t="shared" si="442"/>
        <v>11500</v>
      </c>
      <c r="O814" s="36">
        <f t="shared" si="442"/>
        <v>11500</v>
      </c>
      <c r="P814" s="268">
        <f t="shared" si="442"/>
        <v>11500</v>
      </c>
      <c r="Q814" s="281">
        <f>SUM(L814:P814)</f>
        <v>57500</v>
      </c>
      <c r="R814" s="182"/>
      <c r="S814" s="183"/>
      <c r="T814" s="51"/>
    </row>
    <row r="815" spans="1:26" x14ac:dyDescent="0.2">
      <c r="A815" s="95">
        <v>2</v>
      </c>
      <c r="B815" s="108" t="str">
        <f>IF(A815&lt;&gt;0,INDEX(Coûts,'PA-Détails'!A815, 2),)</f>
        <v>Assistance technique nationale (consultants)</v>
      </c>
      <c r="C815" s="51"/>
      <c r="D815" s="94" t="str">
        <f>IF(A815&lt;&gt;0,INDEX(Coûts, 'PA-Détails'!A815, 5),)</f>
        <v>Pers / j</v>
      </c>
      <c r="E815" s="100">
        <v>20</v>
      </c>
      <c r="F815" s="100">
        <v>20</v>
      </c>
      <c r="G815" s="100">
        <v>20</v>
      </c>
      <c r="H815" s="100">
        <v>20</v>
      </c>
      <c r="I815" s="100">
        <v>20</v>
      </c>
      <c r="J815" s="101">
        <f t="shared" si="429"/>
        <v>100</v>
      </c>
      <c r="K815" s="115">
        <f>IF(A815&lt;&gt;0,INDEX(Coûts, 'PA-Détails'!A815, 3),)</f>
        <v>300</v>
      </c>
      <c r="L815" s="37">
        <f t="shared" si="442"/>
        <v>6000</v>
      </c>
      <c r="M815" s="36">
        <f t="shared" si="442"/>
        <v>6000</v>
      </c>
      <c r="N815" s="36">
        <f t="shared" si="442"/>
        <v>6000</v>
      </c>
      <c r="O815" s="36">
        <f t="shared" si="442"/>
        <v>6000</v>
      </c>
      <c r="P815" s="268">
        <f t="shared" si="442"/>
        <v>6000</v>
      </c>
      <c r="Q815" s="281">
        <f>SUM(L815:P815)</f>
        <v>30000</v>
      </c>
      <c r="R815" s="182"/>
      <c r="S815" s="183"/>
      <c r="T815" s="51"/>
    </row>
    <row r="816" spans="1:26" x14ac:dyDescent="0.2">
      <c r="A816" s="95">
        <v>5</v>
      </c>
      <c r="B816" s="108" t="str">
        <f>IF(A816&lt;&gt;0,INDEX(Coûts,'PA-Détails'!A816, 2),)</f>
        <v>Atelier de validation</v>
      </c>
      <c r="C816" s="51"/>
      <c r="D816" s="94" t="str">
        <f>IF(A816&lt;&gt;0,INDEX(Coûts, 'PA-Détails'!A816, 5),)</f>
        <v>Pers / j</v>
      </c>
      <c r="E816" s="100">
        <v>40</v>
      </c>
      <c r="F816" s="100">
        <v>40</v>
      </c>
      <c r="G816" s="100">
        <v>40</v>
      </c>
      <c r="H816" s="100">
        <v>40</v>
      </c>
      <c r="I816" s="100">
        <v>40</v>
      </c>
      <c r="J816" s="101">
        <f t="shared" si="429"/>
        <v>200</v>
      </c>
      <c r="K816" s="115">
        <f>IF(A816&lt;&gt;0,INDEX(Coûts, 'PA-Détails'!A816, 3),)</f>
        <v>50</v>
      </c>
      <c r="L816" s="37">
        <f t="shared" si="442"/>
        <v>2000</v>
      </c>
      <c r="M816" s="36">
        <f t="shared" si="442"/>
        <v>2000</v>
      </c>
      <c r="N816" s="36">
        <f t="shared" si="442"/>
        <v>2000</v>
      </c>
      <c r="O816" s="36">
        <f t="shared" si="442"/>
        <v>2000</v>
      </c>
      <c r="P816" s="268">
        <f t="shared" si="442"/>
        <v>2000</v>
      </c>
      <c r="Q816" s="281">
        <f>SUM(L816:P816)</f>
        <v>10000</v>
      </c>
      <c r="R816" s="182"/>
      <c r="S816" s="183"/>
      <c r="T816" s="51"/>
    </row>
    <row r="817" spans="1:20" x14ac:dyDescent="0.2">
      <c r="A817" s="17" t="s">
        <v>95</v>
      </c>
      <c r="B817" s="45"/>
      <c r="C817" s="329" t="s">
        <v>272</v>
      </c>
      <c r="D817" s="18"/>
      <c r="E817" s="97"/>
      <c r="F817" s="98"/>
      <c r="G817" s="98"/>
      <c r="H817" s="98"/>
      <c r="I817" s="98"/>
      <c r="J817" s="99">
        <f t="shared" si="429"/>
        <v>0</v>
      </c>
      <c r="K817" s="116"/>
      <c r="L817" s="35">
        <f t="shared" si="442"/>
        <v>0</v>
      </c>
      <c r="M817" s="34">
        <f t="shared" si="442"/>
        <v>0</v>
      </c>
      <c r="N817" s="34">
        <f t="shared" si="442"/>
        <v>0</v>
      </c>
      <c r="O817" s="34">
        <f t="shared" si="442"/>
        <v>0</v>
      </c>
      <c r="P817" s="269">
        <f t="shared" si="442"/>
        <v>0</v>
      </c>
      <c r="Q817" s="279">
        <f>SUM(L817:P817)</f>
        <v>0</v>
      </c>
      <c r="R817" s="180"/>
      <c r="S817" s="181"/>
      <c r="T817" s="50"/>
    </row>
    <row r="818" spans="1:20" x14ac:dyDescent="0.2">
      <c r="A818" s="20" t="s">
        <v>244</v>
      </c>
      <c r="B818" s="46"/>
      <c r="C818" s="51"/>
      <c r="D818" s="21"/>
      <c r="E818" s="96"/>
      <c r="F818" s="100"/>
      <c r="G818" s="100"/>
      <c r="H818" s="100"/>
      <c r="I818" s="100"/>
      <c r="J818" s="101">
        <f t="shared" si="429"/>
        <v>0</v>
      </c>
      <c r="K818" s="115"/>
      <c r="L818" s="161">
        <f t="shared" ref="L818:Q818" si="443">SUM(L819:L819)</f>
        <v>1200000</v>
      </c>
      <c r="M818" s="157">
        <f t="shared" si="443"/>
        <v>1200000</v>
      </c>
      <c r="N818" s="157">
        <f t="shared" si="443"/>
        <v>1200000</v>
      </c>
      <c r="O818" s="157">
        <f t="shared" si="443"/>
        <v>1200000</v>
      </c>
      <c r="P818" s="270">
        <f t="shared" si="443"/>
        <v>1200000</v>
      </c>
      <c r="Q818" s="284">
        <f t="shared" si="443"/>
        <v>6000000</v>
      </c>
      <c r="R818" s="182" t="s">
        <v>866</v>
      </c>
      <c r="S818" s="183" t="s">
        <v>872</v>
      </c>
      <c r="T818" s="51"/>
    </row>
    <row r="819" spans="1:20" x14ac:dyDescent="0.2">
      <c r="A819" s="95">
        <v>34</v>
      </c>
      <c r="B819" s="108" t="str">
        <f>IF(A819&lt;&gt;0,INDEX(Coûts,'PA-Détails'!A819, 2),)</f>
        <v>Construction d'un centre de ressource ETFP équipé</v>
      </c>
      <c r="C819" s="51"/>
      <c r="D819" s="94" t="str">
        <f>IF(A819&lt;&gt;0,INDEX(Coûts, 'PA-Détails'!A819, 5),)</f>
        <v>Forfait</v>
      </c>
      <c r="E819" s="96">
        <v>3</v>
      </c>
      <c r="F819" s="100">
        <v>3</v>
      </c>
      <c r="G819" s="100">
        <v>3</v>
      </c>
      <c r="H819" s="100">
        <v>3</v>
      </c>
      <c r="I819" s="100">
        <v>3</v>
      </c>
      <c r="J819" s="101">
        <f t="shared" si="429"/>
        <v>15</v>
      </c>
      <c r="K819" s="115">
        <f>IF(A819&lt;&gt;0,INDEX(Coûts, 'PA-Détails'!A819, 3),)</f>
        <v>400000</v>
      </c>
      <c r="L819" s="37">
        <f t="shared" ref="L819:P820" si="444">ROUND(+$K819*E819,0)</f>
        <v>1200000</v>
      </c>
      <c r="M819" s="36">
        <f t="shared" si="444"/>
        <v>1200000</v>
      </c>
      <c r="N819" s="36">
        <f t="shared" si="444"/>
        <v>1200000</v>
      </c>
      <c r="O819" s="36">
        <f t="shared" si="444"/>
        <v>1200000</v>
      </c>
      <c r="P819" s="268">
        <f t="shared" si="444"/>
        <v>1200000</v>
      </c>
      <c r="Q819" s="281">
        <f>SUM(L819:P819)</f>
        <v>6000000</v>
      </c>
      <c r="R819" s="182"/>
      <c r="S819" s="183"/>
      <c r="T819" s="51"/>
    </row>
    <row r="820" spans="1:20" x14ac:dyDescent="0.2">
      <c r="A820" s="17" t="s">
        <v>96</v>
      </c>
      <c r="B820" s="45"/>
      <c r="C820" s="329" t="s">
        <v>273</v>
      </c>
      <c r="D820" s="18"/>
      <c r="E820" s="97"/>
      <c r="F820" s="98"/>
      <c r="G820" s="98"/>
      <c r="H820" s="98"/>
      <c r="I820" s="98"/>
      <c r="J820" s="99">
        <f t="shared" si="429"/>
        <v>0</v>
      </c>
      <c r="K820" s="116"/>
      <c r="L820" s="35">
        <f t="shared" si="444"/>
        <v>0</v>
      </c>
      <c r="M820" s="34">
        <f t="shared" si="444"/>
        <v>0</v>
      </c>
      <c r="N820" s="34">
        <f t="shared" si="444"/>
        <v>0</v>
      </c>
      <c r="O820" s="34">
        <f t="shared" si="444"/>
        <v>0</v>
      </c>
      <c r="P820" s="269">
        <f t="shared" si="444"/>
        <v>0</v>
      </c>
      <c r="Q820" s="279">
        <f>SUM(L820:P820)</f>
        <v>0</v>
      </c>
      <c r="R820" s="180"/>
      <c r="S820" s="181"/>
      <c r="T820" s="50"/>
    </row>
    <row r="821" spans="1:20" x14ac:dyDescent="0.2">
      <c r="A821" s="20" t="s">
        <v>873</v>
      </c>
      <c r="B821" s="46"/>
      <c r="C821" s="51"/>
      <c r="D821" s="21"/>
      <c r="E821" s="96"/>
      <c r="F821" s="100"/>
      <c r="G821" s="100"/>
      <c r="H821" s="100"/>
      <c r="I821" s="100"/>
      <c r="J821" s="101">
        <f t="shared" si="429"/>
        <v>0</v>
      </c>
      <c r="K821" s="115"/>
      <c r="L821" s="161">
        <f t="shared" ref="L821:Q821" si="445">SUM(L822:L822)</f>
        <v>1200000</v>
      </c>
      <c r="M821" s="157">
        <f t="shared" si="445"/>
        <v>1200000</v>
      </c>
      <c r="N821" s="157">
        <f t="shared" si="445"/>
        <v>1200000</v>
      </c>
      <c r="O821" s="157">
        <f t="shared" si="445"/>
        <v>1200000</v>
      </c>
      <c r="P821" s="270">
        <f t="shared" si="445"/>
        <v>1200000</v>
      </c>
      <c r="Q821" s="284">
        <f t="shared" si="445"/>
        <v>6000000</v>
      </c>
      <c r="R821" s="182" t="s">
        <v>866</v>
      </c>
      <c r="S821" s="183"/>
      <c r="T821" s="51"/>
    </row>
    <row r="822" spans="1:20" x14ac:dyDescent="0.2">
      <c r="A822" s="95">
        <v>35</v>
      </c>
      <c r="B822" s="108" t="str">
        <f>IF(A822&lt;&gt;0,INDEX(Coûts,'PA-Détails'!A822, 2),)</f>
        <v>Construction centre d'application ETFP équipé</v>
      </c>
      <c r="C822" s="51"/>
      <c r="D822" s="94" t="str">
        <f>IF(A822&lt;&gt;0,INDEX(Coûts, 'PA-Détails'!A822, 5),)</f>
        <v>Forfait</v>
      </c>
      <c r="E822" s="96">
        <v>3</v>
      </c>
      <c r="F822" s="100">
        <v>3</v>
      </c>
      <c r="G822" s="100">
        <v>3</v>
      </c>
      <c r="H822" s="100">
        <v>3</v>
      </c>
      <c r="I822" s="100">
        <v>3</v>
      </c>
      <c r="J822" s="101">
        <f t="shared" si="429"/>
        <v>15</v>
      </c>
      <c r="K822" s="115">
        <f>IF(A822&lt;&gt;0,INDEX(Coûts, 'PA-Détails'!A822, 3),)</f>
        <v>400000</v>
      </c>
      <c r="L822" s="37">
        <f t="shared" ref="L822:P823" si="446">ROUND(+$K822*E822,0)</f>
        <v>1200000</v>
      </c>
      <c r="M822" s="36">
        <f t="shared" si="446"/>
        <v>1200000</v>
      </c>
      <c r="N822" s="36">
        <f t="shared" si="446"/>
        <v>1200000</v>
      </c>
      <c r="O822" s="36">
        <f t="shared" si="446"/>
        <v>1200000</v>
      </c>
      <c r="P822" s="268">
        <f t="shared" si="446"/>
        <v>1200000</v>
      </c>
      <c r="Q822" s="281">
        <f>SUM(L822:P822)</f>
        <v>6000000</v>
      </c>
      <c r="R822" s="182"/>
      <c r="S822" s="183" t="s">
        <v>665</v>
      </c>
      <c r="T822" s="51"/>
    </row>
    <row r="823" spans="1:20" x14ac:dyDescent="0.2">
      <c r="A823" s="122" t="s">
        <v>1098</v>
      </c>
      <c r="B823" s="45"/>
      <c r="C823" s="329" t="s">
        <v>274</v>
      </c>
      <c r="D823" s="18"/>
      <c r="E823" s="97"/>
      <c r="F823" s="98"/>
      <c r="G823" s="98"/>
      <c r="H823" s="98"/>
      <c r="I823" s="98"/>
      <c r="J823" s="99">
        <f t="shared" si="429"/>
        <v>0</v>
      </c>
      <c r="K823" s="116"/>
      <c r="L823" s="35">
        <f t="shared" si="446"/>
        <v>0</v>
      </c>
      <c r="M823" s="34">
        <f t="shared" si="446"/>
        <v>0</v>
      </c>
      <c r="N823" s="34">
        <f t="shared" si="446"/>
        <v>0</v>
      </c>
      <c r="O823" s="34">
        <f t="shared" si="446"/>
        <v>0</v>
      </c>
      <c r="P823" s="269">
        <f t="shared" si="446"/>
        <v>0</v>
      </c>
      <c r="Q823" s="279">
        <f>SUM(L823:P823)</f>
        <v>0</v>
      </c>
      <c r="R823" s="180"/>
      <c r="S823" s="181"/>
      <c r="T823" s="50"/>
    </row>
    <row r="824" spans="1:20" x14ac:dyDescent="0.2">
      <c r="A824" s="20" t="s">
        <v>1099</v>
      </c>
      <c r="B824" s="46"/>
      <c r="C824" s="51"/>
      <c r="D824" s="21"/>
      <c r="E824" s="96"/>
      <c r="F824" s="100"/>
      <c r="G824" s="100"/>
      <c r="H824" s="100"/>
      <c r="I824" s="100"/>
      <c r="J824" s="101">
        <f t="shared" si="429"/>
        <v>0</v>
      </c>
      <c r="K824" s="115"/>
      <c r="L824" s="161">
        <f t="shared" ref="L824:Q824" si="447">SUM(L825:L826)</f>
        <v>14000</v>
      </c>
      <c r="M824" s="157">
        <f t="shared" si="447"/>
        <v>0</v>
      </c>
      <c r="N824" s="157">
        <f t="shared" si="447"/>
        <v>0</v>
      </c>
      <c r="O824" s="157">
        <f t="shared" si="447"/>
        <v>0</v>
      </c>
      <c r="P824" s="270">
        <f t="shared" si="447"/>
        <v>0</v>
      </c>
      <c r="Q824" s="284">
        <f t="shared" si="447"/>
        <v>14000</v>
      </c>
      <c r="R824" s="182" t="s">
        <v>866</v>
      </c>
      <c r="S824" s="183" t="s">
        <v>665</v>
      </c>
      <c r="T824" s="51"/>
    </row>
    <row r="825" spans="1:20" x14ac:dyDescent="0.2">
      <c r="A825" s="95">
        <v>2</v>
      </c>
      <c r="B825" s="108" t="str">
        <f>IF(A825&lt;&gt;0,INDEX(Coûts,'PA-Détails'!A825, 2),)</f>
        <v>Assistance technique nationale (consultants)</v>
      </c>
      <c r="C825" s="51"/>
      <c r="D825" s="94" t="str">
        <f>IF(A825&lt;&gt;0,INDEX(Coûts, 'PA-Détails'!A825, 5),)</f>
        <v>Pers / j</v>
      </c>
      <c r="E825" s="96">
        <v>30</v>
      </c>
      <c r="F825" s="100"/>
      <c r="G825" s="100"/>
      <c r="H825" s="100"/>
      <c r="I825" s="100"/>
      <c r="J825" s="101">
        <f t="shared" si="429"/>
        <v>30</v>
      </c>
      <c r="K825" s="115">
        <f>IF(A825&lt;&gt;0,INDEX(Coûts, 'PA-Détails'!A825, 3),)</f>
        <v>300</v>
      </c>
      <c r="L825" s="37">
        <f t="shared" ref="L825:P826" si="448">ROUND(+$K825*E825,0)</f>
        <v>9000</v>
      </c>
      <c r="M825" s="36">
        <f t="shared" si="448"/>
        <v>0</v>
      </c>
      <c r="N825" s="36">
        <f t="shared" si="448"/>
        <v>0</v>
      </c>
      <c r="O825" s="36">
        <f t="shared" si="448"/>
        <v>0</v>
      </c>
      <c r="P825" s="268">
        <f t="shared" si="448"/>
        <v>0</v>
      </c>
      <c r="Q825" s="281">
        <f>SUM(L825:P825)</f>
        <v>9000</v>
      </c>
      <c r="R825" s="182"/>
      <c r="S825" s="183"/>
      <c r="T825" s="51"/>
    </row>
    <row r="826" spans="1:20" x14ac:dyDescent="0.2">
      <c r="A826" s="95">
        <v>5</v>
      </c>
      <c r="B826" s="108" t="str">
        <f>IF(A826&lt;&gt;0,INDEX(Coûts,'PA-Détails'!A826, 2),)</f>
        <v>Atelier de validation</v>
      </c>
      <c r="C826" s="51"/>
      <c r="D826" s="94" t="str">
        <f>IF(A826&lt;&gt;0,INDEX(Coûts, 'PA-Détails'!A826, 5),)</f>
        <v>Pers / j</v>
      </c>
      <c r="E826" s="96">
        <v>100</v>
      </c>
      <c r="F826" s="100"/>
      <c r="G826" s="100"/>
      <c r="H826" s="100"/>
      <c r="I826" s="100"/>
      <c r="J826" s="101">
        <f t="shared" si="429"/>
        <v>100</v>
      </c>
      <c r="K826" s="115">
        <f>IF(A826&lt;&gt;0,INDEX(Coûts, 'PA-Détails'!A826, 3),)</f>
        <v>50</v>
      </c>
      <c r="L826" s="37">
        <f t="shared" si="448"/>
        <v>5000</v>
      </c>
      <c r="M826" s="36">
        <f t="shared" si="448"/>
        <v>0</v>
      </c>
      <c r="N826" s="36">
        <f t="shared" si="448"/>
        <v>0</v>
      </c>
      <c r="O826" s="36">
        <f t="shared" si="448"/>
        <v>0</v>
      </c>
      <c r="P826" s="268">
        <f t="shared" si="448"/>
        <v>0</v>
      </c>
      <c r="Q826" s="281">
        <f>SUM(L826:P826)</f>
        <v>5000</v>
      </c>
      <c r="R826" s="182"/>
      <c r="S826" s="183"/>
      <c r="T826" s="51"/>
    </row>
    <row r="827" spans="1:20" x14ac:dyDescent="0.2">
      <c r="A827" s="20" t="s">
        <v>874</v>
      </c>
      <c r="B827" s="46"/>
      <c r="C827" s="51"/>
      <c r="D827" s="21"/>
      <c r="E827" s="96"/>
      <c r="F827" s="100"/>
      <c r="G827" s="100"/>
      <c r="H827" s="100"/>
      <c r="I827" s="100"/>
      <c r="J827" s="101">
        <f t="shared" si="429"/>
        <v>0</v>
      </c>
      <c r="K827" s="115"/>
      <c r="L827" s="161">
        <f t="shared" ref="L827:Q827" si="449">SUM(L828:L828)</f>
        <v>10000000</v>
      </c>
      <c r="M827" s="157">
        <f t="shared" si="449"/>
        <v>10000000</v>
      </c>
      <c r="N827" s="157">
        <f t="shared" si="449"/>
        <v>10000000</v>
      </c>
      <c r="O827" s="157">
        <f t="shared" si="449"/>
        <v>3000000</v>
      </c>
      <c r="P827" s="270">
        <f t="shared" si="449"/>
        <v>3000000</v>
      </c>
      <c r="Q827" s="284">
        <f t="shared" si="449"/>
        <v>36000000</v>
      </c>
      <c r="R827" s="182" t="s">
        <v>866</v>
      </c>
      <c r="S827" s="183" t="s">
        <v>665</v>
      </c>
      <c r="T827" s="51"/>
    </row>
    <row r="828" spans="1:20" x14ac:dyDescent="0.2">
      <c r="A828" s="95">
        <v>66</v>
      </c>
      <c r="B828" s="108" t="str">
        <f>IF(A828&lt;&gt;0,INDEX(Coûts,'PA-Détails'!A828, 2),)</f>
        <v>Equipement établissement transformé pour l'ETFP</v>
      </c>
      <c r="C828" s="51"/>
      <c r="D828" s="94" t="str">
        <f>IF(A828&lt;&gt;0,INDEX(Coûts, 'PA-Détails'!A828, 5),)</f>
        <v>Forfait</v>
      </c>
      <c r="E828" s="96">
        <v>100</v>
      </c>
      <c r="F828" s="100">
        <v>100</v>
      </c>
      <c r="G828" s="100">
        <v>100</v>
      </c>
      <c r="H828" s="100">
        <v>30</v>
      </c>
      <c r="I828" s="100">
        <v>30</v>
      </c>
      <c r="J828" s="101">
        <f t="shared" si="429"/>
        <v>360</v>
      </c>
      <c r="K828" s="115">
        <f>IF(A828&lt;&gt;0,INDEX(Coûts, 'PA-Détails'!A828, 3),)</f>
        <v>100000</v>
      </c>
      <c r="L828" s="37">
        <f t="shared" ref="L828:P830" si="450">ROUND(+$K828*E828,0)</f>
        <v>10000000</v>
      </c>
      <c r="M828" s="36">
        <f t="shared" si="450"/>
        <v>10000000</v>
      </c>
      <c r="N828" s="36">
        <f t="shared" si="450"/>
        <v>10000000</v>
      </c>
      <c r="O828" s="36">
        <f t="shared" si="450"/>
        <v>3000000</v>
      </c>
      <c r="P828" s="268">
        <f t="shared" si="450"/>
        <v>3000000</v>
      </c>
      <c r="Q828" s="281">
        <f>SUM(L828:P828)</f>
        <v>36000000</v>
      </c>
      <c r="R828" s="182"/>
      <c r="S828" s="183"/>
      <c r="T828" s="51"/>
    </row>
    <row r="829" spans="1:20" x14ac:dyDescent="0.2">
      <c r="A829" s="14" t="s">
        <v>97</v>
      </c>
      <c r="B829" s="44"/>
      <c r="C829" s="112"/>
      <c r="D829" s="15"/>
      <c r="E829" s="102"/>
      <c r="F829" s="103"/>
      <c r="G829" s="103"/>
      <c r="H829" s="103"/>
      <c r="I829" s="103"/>
      <c r="J829" s="104">
        <f t="shared" si="429"/>
        <v>0</v>
      </c>
      <c r="K829" s="145"/>
      <c r="L829" s="33">
        <f t="shared" si="450"/>
        <v>0</v>
      </c>
      <c r="M829" s="32">
        <f t="shared" si="450"/>
        <v>0</v>
      </c>
      <c r="N829" s="32">
        <f t="shared" si="450"/>
        <v>0</v>
      </c>
      <c r="O829" s="32">
        <f t="shared" si="450"/>
        <v>0</v>
      </c>
      <c r="P829" s="267">
        <f t="shared" si="450"/>
        <v>0</v>
      </c>
      <c r="Q829" s="278">
        <f>SUM(L829:P829)</f>
        <v>0</v>
      </c>
      <c r="R829" s="40"/>
      <c r="S829" s="145"/>
      <c r="T829" s="49">
        <v>1</v>
      </c>
    </row>
    <row r="830" spans="1:20" x14ac:dyDescent="0.2">
      <c r="A830" s="17" t="s">
        <v>98</v>
      </c>
      <c r="B830" s="45"/>
      <c r="C830" s="51" t="s">
        <v>575</v>
      </c>
      <c r="D830" s="18"/>
      <c r="E830" s="97"/>
      <c r="F830" s="98"/>
      <c r="G830" s="98"/>
      <c r="H830" s="98"/>
      <c r="I830" s="98"/>
      <c r="J830" s="99">
        <f t="shared" si="429"/>
        <v>0</v>
      </c>
      <c r="K830" s="116"/>
      <c r="L830" s="35">
        <f t="shared" si="450"/>
        <v>0</v>
      </c>
      <c r="M830" s="34">
        <f t="shared" si="450"/>
        <v>0</v>
      </c>
      <c r="N830" s="34">
        <f t="shared" si="450"/>
        <v>0</v>
      </c>
      <c r="O830" s="34">
        <f t="shared" si="450"/>
        <v>0</v>
      </c>
      <c r="P830" s="269">
        <f t="shared" si="450"/>
        <v>0</v>
      </c>
      <c r="Q830" s="279">
        <f>SUM(L830:P830)</f>
        <v>0</v>
      </c>
      <c r="R830" s="38"/>
      <c r="S830" s="116"/>
      <c r="T830" s="50"/>
    </row>
    <row r="831" spans="1:20" x14ac:dyDescent="0.2">
      <c r="A831" s="20" t="s">
        <v>576</v>
      </c>
      <c r="B831" s="46"/>
      <c r="C831" s="51"/>
      <c r="D831" s="21"/>
      <c r="E831" s="96"/>
      <c r="F831" s="100"/>
      <c r="G831" s="100"/>
      <c r="H831" s="100"/>
      <c r="I831" s="100"/>
      <c r="J831" s="101">
        <f t="shared" si="429"/>
        <v>0</v>
      </c>
      <c r="K831" s="115"/>
      <c r="L831" s="161">
        <f t="shared" ref="L831:Q831" si="451">SUM(L832:L834)</f>
        <v>18200</v>
      </c>
      <c r="M831" s="157">
        <f t="shared" si="451"/>
        <v>0</v>
      </c>
      <c r="N831" s="157">
        <f t="shared" si="451"/>
        <v>0</v>
      </c>
      <c r="O831" s="157">
        <f t="shared" si="451"/>
        <v>0</v>
      </c>
      <c r="P831" s="270">
        <f t="shared" si="451"/>
        <v>0</v>
      </c>
      <c r="Q831" s="284">
        <f t="shared" si="451"/>
        <v>18200</v>
      </c>
      <c r="R831" s="39" t="s">
        <v>862</v>
      </c>
      <c r="S831" s="115" t="s">
        <v>670</v>
      </c>
      <c r="T831" s="51"/>
    </row>
    <row r="832" spans="1:20" x14ac:dyDescent="0.2">
      <c r="A832" s="95">
        <v>1</v>
      </c>
      <c r="B832" s="108" t="str">
        <f>IF(A832&lt;&gt;0,INDEX(Coûts,'PA-Détails'!A832, 2),)</f>
        <v>Assistance technique internationale (consultants)</v>
      </c>
      <c r="C832" s="51"/>
      <c r="D832" s="94" t="str">
        <f>IF(A832&lt;&gt;0,INDEX(Coûts, 'PA-Détails'!A832, 5),)</f>
        <v>Pers / j</v>
      </c>
      <c r="E832" s="96">
        <v>10</v>
      </c>
      <c r="F832" s="100"/>
      <c r="G832" s="100"/>
      <c r="H832" s="100"/>
      <c r="I832" s="100"/>
      <c r="J832" s="101">
        <f t="shared" si="429"/>
        <v>10</v>
      </c>
      <c r="K832" s="115">
        <f>IF(A832&lt;&gt;0,INDEX(Coûts, 'PA-Détails'!A832, 3),)</f>
        <v>1150</v>
      </c>
      <c r="L832" s="37">
        <f t="shared" ref="L832:P834" si="452">ROUND(+$K832*E832,0)</f>
        <v>11500</v>
      </c>
      <c r="M832" s="36">
        <f t="shared" si="452"/>
        <v>0</v>
      </c>
      <c r="N832" s="36">
        <f t="shared" si="452"/>
        <v>0</v>
      </c>
      <c r="O832" s="36">
        <f t="shared" si="452"/>
        <v>0</v>
      </c>
      <c r="P832" s="268">
        <f t="shared" si="452"/>
        <v>0</v>
      </c>
      <c r="Q832" s="281">
        <f>SUM(L832:P832)</f>
        <v>11500</v>
      </c>
      <c r="R832" s="39"/>
      <c r="S832" s="115"/>
      <c r="T832" s="51"/>
    </row>
    <row r="833" spans="1:20" x14ac:dyDescent="0.2">
      <c r="A833" s="95">
        <v>11</v>
      </c>
      <c r="B833" s="108" t="str">
        <f>IF(A833&lt;&gt;0,INDEX(Coûts,'PA-Détails'!A833, 2),)</f>
        <v>Atelier technique</v>
      </c>
      <c r="C833" s="51"/>
      <c r="D833" s="94" t="str">
        <f>IF(A833&lt;&gt;0,INDEX(Coûts, 'PA-Détails'!A833, 5),)</f>
        <v>Pers / j</v>
      </c>
      <c r="E833" s="96">
        <f>3*20</f>
        <v>60</v>
      </c>
      <c r="F833" s="100"/>
      <c r="G833" s="100"/>
      <c r="H833" s="100"/>
      <c r="I833" s="100"/>
      <c r="J833" s="101">
        <f t="shared" si="429"/>
        <v>60</v>
      </c>
      <c r="K833" s="115">
        <f>IF(A833&lt;&gt;0,INDEX(Coûts, 'PA-Détails'!A833, 3),)</f>
        <v>70</v>
      </c>
      <c r="L833" s="37">
        <f t="shared" si="452"/>
        <v>4200</v>
      </c>
      <c r="M833" s="36">
        <f t="shared" si="452"/>
        <v>0</v>
      </c>
      <c r="N833" s="36">
        <f t="shared" si="452"/>
        <v>0</v>
      </c>
      <c r="O833" s="36">
        <f t="shared" si="452"/>
        <v>0</v>
      </c>
      <c r="P833" s="268">
        <f t="shared" si="452"/>
        <v>0</v>
      </c>
      <c r="Q833" s="281">
        <f>SUM(L833:P833)</f>
        <v>4200</v>
      </c>
      <c r="R833" s="39"/>
      <c r="S833" s="115"/>
      <c r="T833" s="51"/>
    </row>
    <row r="834" spans="1:20" x14ac:dyDescent="0.2">
      <c r="A834" s="95">
        <v>5</v>
      </c>
      <c r="B834" s="108" t="str">
        <f>IF(A834&lt;&gt;0,INDEX(Coûts,'PA-Détails'!A834, 2),)</f>
        <v>Atelier de validation</v>
      </c>
      <c r="C834" s="51"/>
      <c r="D834" s="94" t="str">
        <f>IF(A834&lt;&gt;0,INDEX(Coûts, 'PA-Détails'!A834, 5),)</f>
        <v>Pers / j</v>
      </c>
      <c r="E834" s="96">
        <f>1*50</f>
        <v>50</v>
      </c>
      <c r="F834" s="100"/>
      <c r="G834" s="100"/>
      <c r="H834" s="100"/>
      <c r="I834" s="100"/>
      <c r="J834" s="101">
        <f t="shared" si="429"/>
        <v>50</v>
      </c>
      <c r="K834" s="115">
        <f>IF(A834&lt;&gt;0,INDEX(Coûts, 'PA-Détails'!A834, 3),)</f>
        <v>50</v>
      </c>
      <c r="L834" s="37">
        <f t="shared" si="452"/>
        <v>2500</v>
      </c>
      <c r="M834" s="36">
        <f t="shared" si="452"/>
        <v>0</v>
      </c>
      <c r="N834" s="36">
        <f t="shared" si="452"/>
        <v>0</v>
      </c>
      <c r="O834" s="36">
        <f t="shared" si="452"/>
        <v>0</v>
      </c>
      <c r="P834" s="268">
        <f t="shared" si="452"/>
        <v>0</v>
      </c>
      <c r="Q834" s="281">
        <f>SUM(L834:P834)</f>
        <v>2500</v>
      </c>
      <c r="R834" s="39"/>
      <c r="S834" s="115"/>
      <c r="T834" s="51"/>
    </row>
    <row r="835" spans="1:20" x14ac:dyDescent="0.2">
      <c r="A835" s="20" t="s">
        <v>577</v>
      </c>
      <c r="B835" s="46"/>
      <c r="C835" s="51"/>
      <c r="D835" s="21"/>
      <c r="E835" s="96"/>
      <c r="F835" s="100"/>
      <c r="G835" s="100"/>
      <c r="H835" s="100"/>
      <c r="I835" s="100"/>
      <c r="J835" s="101">
        <f t="shared" si="429"/>
        <v>0</v>
      </c>
      <c r="K835" s="115"/>
      <c r="L835" s="161">
        <f t="shared" ref="L835:Q835" si="453">SUM(L836:L839)</f>
        <v>29100</v>
      </c>
      <c r="M835" s="34">
        <f t="shared" si="453"/>
        <v>20300</v>
      </c>
      <c r="N835" s="34">
        <f t="shared" si="453"/>
        <v>20300</v>
      </c>
      <c r="O835" s="34">
        <f t="shared" si="453"/>
        <v>0</v>
      </c>
      <c r="P835" s="269">
        <f t="shared" si="453"/>
        <v>0</v>
      </c>
      <c r="Q835" s="279">
        <f t="shared" si="453"/>
        <v>69700</v>
      </c>
      <c r="R835" s="39" t="s">
        <v>862</v>
      </c>
      <c r="S835" s="115" t="s">
        <v>665</v>
      </c>
      <c r="T835" s="51"/>
    </row>
    <row r="836" spans="1:20" x14ac:dyDescent="0.2">
      <c r="A836" s="95">
        <v>85</v>
      </c>
      <c r="B836" s="108" t="str">
        <f>IF(A836&lt;&gt;0,INDEX(Coûts,'PA-Détails'!A836, 2),)</f>
        <v>Production d'un spot et d'un sketch vidéo</v>
      </c>
      <c r="C836" s="51"/>
      <c r="D836" s="94" t="str">
        <f>IF(A836&lt;&gt;0,INDEX(Coûts, 'PA-Détails'!A836, 5),)</f>
        <v>Unité</v>
      </c>
      <c r="E836" s="96">
        <v>1</v>
      </c>
      <c r="F836" s="100"/>
      <c r="G836" s="100"/>
      <c r="H836" s="100"/>
      <c r="I836" s="100"/>
      <c r="J836" s="101">
        <f t="shared" si="429"/>
        <v>1</v>
      </c>
      <c r="K836" s="115">
        <f>IF(A836&lt;&gt;0,INDEX(Coûts, 'PA-Détails'!A836, 3),)</f>
        <v>8800</v>
      </c>
      <c r="L836" s="37">
        <f t="shared" ref="L836:P839" si="454">ROUND(+$K836*E836,0)</f>
        <v>8800</v>
      </c>
      <c r="M836" s="36">
        <f t="shared" si="454"/>
        <v>0</v>
      </c>
      <c r="N836" s="36">
        <f t="shared" si="454"/>
        <v>0</v>
      </c>
      <c r="O836" s="36">
        <f t="shared" si="454"/>
        <v>0</v>
      </c>
      <c r="P836" s="268">
        <f t="shared" si="454"/>
        <v>0</v>
      </c>
      <c r="Q836" s="281">
        <f>SUM(L836:P836)</f>
        <v>8800</v>
      </c>
      <c r="R836" s="39"/>
      <c r="S836" s="115"/>
      <c r="T836" s="51"/>
    </row>
    <row r="837" spans="1:20" x14ac:dyDescent="0.2">
      <c r="A837" s="95">
        <v>81</v>
      </c>
      <c r="B837" s="108" t="str">
        <f>IF(A837&lt;&gt;0,INDEX(Coûts,'PA-Détails'!A837, 2),)</f>
        <v>Production et diffusion de spots / sketchs audios</v>
      </c>
      <c r="C837" s="51"/>
      <c r="D837" s="94" t="str">
        <f>IF(A837&lt;&gt;0,INDEX(Coûts, 'PA-Détails'!A837, 5),)</f>
        <v>Unité</v>
      </c>
      <c r="E837" s="96">
        <f>30</f>
        <v>30</v>
      </c>
      <c r="F837" s="100">
        <f>E837</f>
        <v>30</v>
      </c>
      <c r="G837" s="100">
        <f>F837</f>
        <v>30</v>
      </c>
      <c r="H837" s="100"/>
      <c r="I837" s="100"/>
      <c r="J837" s="101">
        <f t="shared" si="429"/>
        <v>90</v>
      </c>
      <c r="K837" s="115">
        <f>IF(A837&lt;&gt;0,INDEX(Coûts, 'PA-Détails'!A837, 3),)</f>
        <v>350</v>
      </c>
      <c r="L837" s="37">
        <f t="shared" si="454"/>
        <v>10500</v>
      </c>
      <c r="M837" s="36">
        <f t="shared" si="454"/>
        <v>10500</v>
      </c>
      <c r="N837" s="36">
        <f t="shared" si="454"/>
        <v>10500</v>
      </c>
      <c r="O837" s="36">
        <f t="shared" si="454"/>
        <v>0</v>
      </c>
      <c r="P837" s="268">
        <f t="shared" si="454"/>
        <v>0</v>
      </c>
      <c r="Q837" s="281">
        <f>SUM(L837:P837)</f>
        <v>31500</v>
      </c>
      <c r="R837" s="39"/>
      <c r="S837" s="115"/>
      <c r="T837" s="51"/>
    </row>
    <row r="838" spans="1:20" x14ac:dyDescent="0.2">
      <c r="A838" s="95">
        <v>82</v>
      </c>
      <c r="B838" s="108" t="str">
        <f>IF(A838&lt;&gt;0,INDEX(Coûts,'PA-Détails'!A838, 2),)</f>
        <v>Support publicitaire : panneaux</v>
      </c>
      <c r="C838" s="51"/>
      <c r="D838" s="94" t="str">
        <f>IF(A838&lt;&gt;0,INDEX(Coûts, 'PA-Détails'!A838, 5),)</f>
        <v>Unité/mois</v>
      </c>
      <c r="E838" s="96">
        <v>2</v>
      </c>
      <c r="F838" s="100">
        <v>2</v>
      </c>
      <c r="G838" s="100">
        <v>2</v>
      </c>
      <c r="H838" s="100"/>
      <c r="I838" s="100"/>
      <c r="J838" s="101">
        <f t="shared" si="429"/>
        <v>6</v>
      </c>
      <c r="K838" s="115">
        <f>IF(A838&lt;&gt;0,INDEX(Coûts, 'PA-Détails'!A838, 3),)</f>
        <v>2400</v>
      </c>
      <c r="L838" s="37">
        <f t="shared" si="454"/>
        <v>4800</v>
      </c>
      <c r="M838" s="36">
        <f t="shared" si="454"/>
        <v>4800</v>
      </c>
      <c r="N838" s="36">
        <f t="shared" si="454"/>
        <v>4800</v>
      </c>
      <c r="O838" s="36">
        <f t="shared" si="454"/>
        <v>0</v>
      </c>
      <c r="P838" s="268">
        <f t="shared" si="454"/>
        <v>0</v>
      </c>
      <c r="Q838" s="281">
        <f>SUM(L838:P838)</f>
        <v>14400</v>
      </c>
      <c r="R838" s="39"/>
      <c r="S838" s="115"/>
      <c r="T838" s="51"/>
    </row>
    <row r="839" spans="1:20" x14ac:dyDescent="0.2">
      <c r="A839" s="95">
        <v>83</v>
      </c>
      <c r="B839" s="108" t="str">
        <f>IF(A839&lt;&gt;0,INDEX(Coûts,'PA-Détails'!A839, 2),)</f>
        <v>Support publicitaire : affiches</v>
      </c>
      <c r="C839" s="51"/>
      <c r="D839" s="94" t="str">
        <f>IF(A839&lt;&gt;0,INDEX(Coûts, 'PA-Détails'!A839, 5),)</f>
        <v>Unité</v>
      </c>
      <c r="E839" s="96">
        <v>200</v>
      </c>
      <c r="F839" s="100">
        <f>E839</f>
        <v>200</v>
      </c>
      <c r="G839" s="100">
        <f>F839</f>
        <v>200</v>
      </c>
      <c r="H839" s="100"/>
      <c r="I839" s="100"/>
      <c r="J839" s="101">
        <f t="shared" si="429"/>
        <v>600</v>
      </c>
      <c r="K839" s="115">
        <f>IF(A839&lt;&gt;0,INDEX(Coûts, 'PA-Détails'!A839, 3),)</f>
        <v>25</v>
      </c>
      <c r="L839" s="37">
        <f t="shared" si="454"/>
        <v>5000</v>
      </c>
      <c r="M839" s="36">
        <f t="shared" si="454"/>
        <v>5000</v>
      </c>
      <c r="N839" s="36">
        <f t="shared" si="454"/>
        <v>5000</v>
      </c>
      <c r="O839" s="36">
        <f t="shared" si="454"/>
        <v>0</v>
      </c>
      <c r="P839" s="268">
        <f t="shared" si="454"/>
        <v>0</v>
      </c>
      <c r="Q839" s="281">
        <f>SUM(L839:P839)</f>
        <v>15000</v>
      </c>
      <c r="R839" s="39"/>
      <c r="S839" s="115"/>
      <c r="T839" s="51"/>
    </row>
    <row r="840" spans="1:20" x14ac:dyDescent="0.2">
      <c r="A840" s="20" t="s">
        <v>578</v>
      </c>
      <c r="B840" s="46"/>
      <c r="C840" s="51"/>
      <c r="D840" s="21"/>
      <c r="E840" s="96"/>
      <c r="F840" s="100"/>
      <c r="G840" s="100"/>
      <c r="H840" s="100"/>
      <c r="I840" s="100"/>
      <c r="J840" s="101">
        <f t="shared" si="429"/>
        <v>0</v>
      </c>
      <c r="K840" s="115"/>
      <c r="L840" s="161">
        <f t="shared" ref="L840:Q840" si="455">SUM(L841:L842)</f>
        <v>75000</v>
      </c>
      <c r="M840" s="157">
        <f t="shared" si="455"/>
        <v>52500</v>
      </c>
      <c r="N840" s="157">
        <f t="shared" si="455"/>
        <v>52500</v>
      </c>
      <c r="O840" s="157">
        <f t="shared" si="455"/>
        <v>0</v>
      </c>
      <c r="P840" s="270">
        <f t="shared" si="455"/>
        <v>0</v>
      </c>
      <c r="Q840" s="284">
        <f t="shared" si="455"/>
        <v>180000</v>
      </c>
      <c r="R840" s="39" t="s">
        <v>862</v>
      </c>
      <c r="S840" s="115" t="s">
        <v>665</v>
      </c>
      <c r="T840" s="51"/>
    </row>
    <row r="841" spans="1:20" x14ac:dyDescent="0.2">
      <c r="A841" s="95">
        <v>12</v>
      </c>
      <c r="B841" s="108" t="str">
        <f>IF(A841&lt;&gt;0,INDEX(Coûts,'PA-Détails'!A841, 2),)</f>
        <v>Formation - Action et Formation de formateurs</v>
      </c>
      <c r="C841" s="51"/>
      <c r="D841" s="94" t="str">
        <f>IF(A841&lt;&gt;0,INDEX(Coûts, 'PA-Détails'!A841, 5),)</f>
        <v>Pers / j</v>
      </c>
      <c r="E841" s="96">
        <f>50*3</f>
        <v>150</v>
      </c>
      <c r="F841" s="100"/>
      <c r="G841" s="100"/>
      <c r="H841" s="100"/>
      <c r="I841" s="100"/>
      <c r="J841" s="101">
        <f t="shared" si="429"/>
        <v>150</v>
      </c>
      <c r="K841" s="115">
        <f>IF(A841&lt;&gt;0,INDEX(Coûts, 'PA-Détails'!A841, 3),)</f>
        <v>150</v>
      </c>
      <c r="L841" s="37">
        <f t="shared" ref="L841:P843" si="456">ROUND(+$K841*E841,0)</f>
        <v>22500</v>
      </c>
      <c r="M841" s="36">
        <f t="shared" si="456"/>
        <v>0</v>
      </c>
      <c r="N841" s="36">
        <f t="shared" si="456"/>
        <v>0</v>
      </c>
      <c r="O841" s="36">
        <f t="shared" si="456"/>
        <v>0</v>
      </c>
      <c r="P841" s="268">
        <f t="shared" si="456"/>
        <v>0</v>
      </c>
      <c r="Q841" s="281">
        <f>SUM(L841:P841)</f>
        <v>22500</v>
      </c>
      <c r="R841" s="39"/>
      <c r="S841" s="115"/>
      <c r="T841" s="51"/>
    </row>
    <row r="842" spans="1:20" x14ac:dyDescent="0.2">
      <c r="A842" s="95">
        <v>84</v>
      </c>
      <c r="B842" s="108" t="str">
        <f>IF(A842&lt;&gt;0,INDEX(Coûts,'PA-Détails'!A842, 2),)</f>
        <v>Campagne de sensibilisation</v>
      </c>
      <c r="C842" s="51"/>
      <c r="D842" s="94" t="str">
        <f>IF(A842&lt;&gt;0,INDEX(Coûts, 'PA-Détails'!A842, 5),)</f>
        <v>Unité</v>
      </c>
      <c r="E842" s="96">
        <v>30</v>
      </c>
      <c r="F842" s="100">
        <v>30</v>
      </c>
      <c r="G842" s="100">
        <v>30</v>
      </c>
      <c r="H842" s="100"/>
      <c r="I842" s="100"/>
      <c r="J842" s="101">
        <f t="shared" si="429"/>
        <v>90</v>
      </c>
      <c r="K842" s="115">
        <f>IF(A842&lt;&gt;0,INDEX(Coûts, 'PA-Détails'!A842, 3),)</f>
        <v>1750</v>
      </c>
      <c r="L842" s="37">
        <f t="shared" si="456"/>
        <v>52500</v>
      </c>
      <c r="M842" s="36">
        <f t="shared" si="456"/>
        <v>52500</v>
      </c>
      <c r="N842" s="36">
        <f t="shared" si="456"/>
        <v>52500</v>
      </c>
      <c r="O842" s="36">
        <f t="shared" si="456"/>
        <v>0</v>
      </c>
      <c r="P842" s="268">
        <f t="shared" si="456"/>
        <v>0</v>
      </c>
      <c r="Q842" s="281">
        <f>SUM(L842:P842)</f>
        <v>157500</v>
      </c>
      <c r="R842" s="39"/>
      <c r="S842" s="115"/>
      <c r="T842" s="51"/>
    </row>
    <row r="843" spans="1:20" x14ac:dyDescent="0.2">
      <c r="A843" s="17" t="s">
        <v>99</v>
      </c>
      <c r="B843" s="45"/>
      <c r="C843" s="51" t="s">
        <v>579</v>
      </c>
      <c r="D843" s="18"/>
      <c r="E843" s="97"/>
      <c r="F843" s="98"/>
      <c r="G843" s="98"/>
      <c r="H843" s="98"/>
      <c r="I843" s="98"/>
      <c r="J843" s="99">
        <f t="shared" si="429"/>
        <v>0</v>
      </c>
      <c r="K843" s="116"/>
      <c r="L843" s="35">
        <f t="shared" si="456"/>
        <v>0</v>
      </c>
      <c r="M843" s="34">
        <f t="shared" si="456"/>
        <v>0</v>
      </c>
      <c r="N843" s="34">
        <f t="shared" si="456"/>
        <v>0</v>
      </c>
      <c r="O843" s="34">
        <f t="shared" si="456"/>
        <v>0</v>
      </c>
      <c r="P843" s="269">
        <f t="shared" si="456"/>
        <v>0</v>
      </c>
      <c r="Q843" s="279">
        <f>SUM(L843:P843)</f>
        <v>0</v>
      </c>
      <c r="R843" s="38"/>
      <c r="S843" s="116"/>
      <c r="T843" s="50"/>
    </row>
    <row r="844" spans="1:20" x14ac:dyDescent="0.2">
      <c r="A844" s="20" t="s">
        <v>1100</v>
      </c>
      <c r="B844" s="46"/>
      <c r="C844" s="51"/>
      <c r="D844" s="21"/>
      <c r="E844" s="96"/>
      <c r="F844" s="100"/>
      <c r="G844" s="100"/>
      <c r="H844" s="100"/>
      <c r="I844" s="100"/>
      <c r="J844" s="101">
        <f t="shared" si="429"/>
        <v>0</v>
      </c>
      <c r="K844" s="115"/>
      <c r="L844" s="161">
        <f t="shared" ref="L844:Q844" si="457">SUM(L845:L845)</f>
        <v>360000</v>
      </c>
      <c r="M844" s="157">
        <f t="shared" si="457"/>
        <v>360000</v>
      </c>
      <c r="N844" s="157">
        <f t="shared" si="457"/>
        <v>360000</v>
      </c>
      <c r="O844" s="157">
        <f t="shared" si="457"/>
        <v>360000</v>
      </c>
      <c r="P844" s="270">
        <f t="shared" si="457"/>
        <v>360000</v>
      </c>
      <c r="Q844" s="284">
        <f t="shared" si="457"/>
        <v>1800000</v>
      </c>
      <c r="R844" s="39" t="s">
        <v>1410</v>
      </c>
      <c r="S844" s="115" t="s">
        <v>665</v>
      </c>
      <c r="T844" s="51"/>
    </row>
    <row r="845" spans="1:20" x14ac:dyDescent="0.2">
      <c r="A845" s="95">
        <v>95</v>
      </c>
      <c r="B845" s="108" t="str">
        <f>IF(A845&lt;&gt;0,INDEX(Coûts,'PA-Détails'!A845, 2),)</f>
        <v>Bourse d'études pour les filles à l'ETFP</v>
      </c>
      <c r="C845" s="51"/>
      <c r="D845" s="94" t="str">
        <f>IF(A845&lt;&gt;0,INDEX(Coûts, 'PA-Détails'!A845, 5),)</f>
        <v>Forfait annuel</v>
      </c>
      <c r="E845" s="96">
        <v>1000</v>
      </c>
      <c r="F845" s="100">
        <f>E845</f>
        <v>1000</v>
      </c>
      <c r="G845" s="100">
        <f>F845</f>
        <v>1000</v>
      </c>
      <c r="H845" s="100">
        <f>G845</f>
        <v>1000</v>
      </c>
      <c r="I845" s="100">
        <f>H845</f>
        <v>1000</v>
      </c>
      <c r="J845" s="101">
        <f t="shared" si="429"/>
        <v>5000</v>
      </c>
      <c r="K845" s="115">
        <f>IF(A845&lt;&gt;0,INDEX(Coûts, 'PA-Détails'!A845, 3),)</f>
        <v>360</v>
      </c>
      <c r="L845" s="37">
        <f t="shared" ref="L845:P847" si="458">ROUND(+$K845*E845,0)</f>
        <v>360000</v>
      </c>
      <c r="M845" s="36">
        <f t="shared" si="458"/>
        <v>360000</v>
      </c>
      <c r="N845" s="36">
        <f t="shared" si="458"/>
        <v>360000</v>
      </c>
      <c r="O845" s="36">
        <f t="shared" si="458"/>
        <v>360000</v>
      </c>
      <c r="P845" s="268">
        <f t="shared" si="458"/>
        <v>360000</v>
      </c>
      <c r="Q845" s="281">
        <f>SUM(L845:P845)</f>
        <v>1800000</v>
      </c>
      <c r="R845" s="39"/>
      <c r="S845" s="115"/>
      <c r="T845" s="51"/>
    </row>
    <row r="846" spans="1:20" x14ac:dyDescent="0.2">
      <c r="A846" s="14" t="s">
        <v>100</v>
      </c>
      <c r="B846" s="44"/>
      <c r="C846" s="112"/>
      <c r="D846" s="15"/>
      <c r="E846" s="102"/>
      <c r="F846" s="103"/>
      <c r="G846" s="103"/>
      <c r="H846" s="103"/>
      <c r="I846" s="103"/>
      <c r="J846" s="104">
        <f t="shared" si="429"/>
        <v>0</v>
      </c>
      <c r="K846" s="145"/>
      <c r="L846" s="33">
        <f t="shared" si="458"/>
        <v>0</v>
      </c>
      <c r="M846" s="32">
        <f t="shared" si="458"/>
        <v>0</v>
      </c>
      <c r="N846" s="32">
        <f t="shared" si="458"/>
        <v>0</v>
      </c>
      <c r="O846" s="32">
        <f t="shared" si="458"/>
        <v>0</v>
      </c>
      <c r="P846" s="267">
        <f t="shared" si="458"/>
        <v>0</v>
      </c>
      <c r="Q846" s="278">
        <f>SUM(L846:P846)</f>
        <v>0</v>
      </c>
      <c r="R846" s="16"/>
      <c r="S846" s="15"/>
      <c r="T846" s="112">
        <v>2</v>
      </c>
    </row>
    <row r="847" spans="1:20" x14ac:dyDescent="0.2">
      <c r="A847" s="17" t="s">
        <v>1101</v>
      </c>
      <c r="B847" s="45"/>
      <c r="C847" s="51" t="s">
        <v>498</v>
      </c>
      <c r="D847" s="18"/>
      <c r="E847" s="97"/>
      <c r="F847" s="98"/>
      <c r="G847" s="98"/>
      <c r="H847" s="98"/>
      <c r="I847" s="98"/>
      <c r="J847" s="99">
        <f t="shared" si="429"/>
        <v>0</v>
      </c>
      <c r="K847" s="116"/>
      <c r="L847" s="35">
        <f t="shared" si="458"/>
        <v>0</v>
      </c>
      <c r="M847" s="34">
        <f t="shared" si="458"/>
        <v>0</v>
      </c>
      <c r="N847" s="34">
        <f t="shared" si="458"/>
        <v>0</v>
      </c>
      <c r="O847" s="34">
        <f t="shared" si="458"/>
        <v>0</v>
      </c>
      <c r="P847" s="269">
        <f t="shared" si="458"/>
        <v>0</v>
      </c>
      <c r="Q847" s="279">
        <f>SUM(L847:P847)</f>
        <v>0</v>
      </c>
      <c r="R847" s="19"/>
      <c r="S847" s="18"/>
      <c r="T847" s="51"/>
    </row>
    <row r="848" spans="1:20" x14ac:dyDescent="0.2">
      <c r="A848" s="20" t="s">
        <v>499</v>
      </c>
      <c r="B848" s="46"/>
      <c r="C848" s="51"/>
      <c r="D848" s="21"/>
      <c r="E848" s="96"/>
      <c r="F848" s="100"/>
      <c r="G848" s="100"/>
      <c r="H848" s="100"/>
      <c r="I848" s="100"/>
      <c r="J848" s="101">
        <f t="shared" si="429"/>
        <v>0</v>
      </c>
      <c r="K848" s="115"/>
      <c r="L848" s="161">
        <f t="shared" ref="L848:Q848" si="459">SUM(L849:L849)</f>
        <v>13000000</v>
      </c>
      <c r="M848" s="157">
        <f t="shared" si="459"/>
        <v>13000000</v>
      </c>
      <c r="N848" s="157">
        <f t="shared" si="459"/>
        <v>13000000</v>
      </c>
      <c r="O848" s="157">
        <f t="shared" si="459"/>
        <v>13000000</v>
      </c>
      <c r="P848" s="270">
        <f t="shared" si="459"/>
        <v>13000000</v>
      </c>
      <c r="Q848" s="284">
        <f t="shared" si="459"/>
        <v>65000000</v>
      </c>
      <c r="R848" s="39" t="s">
        <v>862</v>
      </c>
      <c r="S848" s="115" t="s">
        <v>863</v>
      </c>
      <c r="T848" s="51"/>
    </row>
    <row r="849" spans="1:20" x14ac:dyDescent="0.2">
      <c r="A849" s="95">
        <v>38</v>
      </c>
      <c r="B849" s="108" t="str">
        <f>IF(A849&lt;&gt;0,INDEX(Coûts,'PA-Détails'!A849, 2),)</f>
        <v>Équipement de filière technique</v>
      </c>
      <c r="C849" s="51"/>
      <c r="D849" s="94" t="str">
        <f>IF(A849&lt;&gt;0,INDEX(Coûts, 'PA-Détails'!A849, 5),)</f>
        <v>Forfait/Ecole</v>
      </c>
      <c r="E849" s="96">
        <f>H!E91</f>
        <v>1300</v>
      </c>
      <c r="F849" s="100">
        <f>E849</f>
        <v>1300</v>
      </c>
      <c r="G849" s="100">
        <f>F849</f>
        <v>1300</v>
      </c>
      <c r="H849" s="100">
        <f>G849</f>
        <v>1300</v>
      </c>
      <c r="I849" s="100">
        <f>H849</f>
        <v>1300</v>
      </c>
      <c r="J849" s="101">
        <f t="shared" si="429"/>
        <v>6500</v>
      </c>
      <c r="K849" s="115">
        <f>IF(A849&lt;&gt;0,INDEX(Coûts, 'PA-Détails'!A849, 3),)</f>
        <v>10000</v>
      </c>
      <c r="L849" s="37">
        <f t="shared" ref="L849:P850" si="460">ROUND(+$K849*E849,0)</f>
        <v>13000000</v>
      </c>
      <c r="M849" s="36">
        <f t="shared" si="460"/>
        <v>13000000</v>
      </c>
      <c r="N849" s="36">
        <f t="shared" si="460"/>
        <v>13000000</v>
      </c>
      <c r="O849" s="36">
        <f t="shared" si="460"/>
        <v>13000000</v>
      </c>
      <c r="P849" s="268">
        <f t="shared" si="460"/>
        <v>13000000</v>
      </c>
      <c r="Q849" s="281">
        <f>SUM(L849:P849)</f>
        <v>65000000</v>
      </c>
      <c r="R849" s="22"/>
      <c r="S849" s="21"/>
      <c r="T849" s="51"/>
    </row>
    <row r="850" spans="1:20" x14ac:dyDescent="0.2">
      <c r="A850" s="17" t="s">
        <v>101</v>
      </c>
      <c r="B850" s="45"/>
      <c r="C850" s="51" t="s">
        <v>500</v>
      </c>
      <c r="D850" s="18"/>
      <c r="E850" s="97"/>
      <c r="F850" s="98"/>
      <c r="G850" s="98"/>
      <c r="H850" s="98"/>
      <c r="I850" s="98"/>
      <c r="J850" s="99">
        <f t="shared" ref="J850:J874" si="461">SUM(E850:I850)</f>
        <v>0</v>
      </c>
      <c r="K850" s="116"/>
      <c r="L850" s="35">
        <f t="shared" si="460"/>
        <v>0</v>
      </c>
      <c r="M850" s="34">
        <f t="shared" si="460"/>
        <v>0</v>
      </c>
      <c r="N850" s="34">
        <f t="shared" si="460"/>
        <v>0</v>
      </c>
      <c r="O850" s="34">
        <f t="shared" si="460"/>
        <v>0</v>
      </c>
      <c r="P850" s="269">
        <f t="shared" si="460"/>
        <v>0</v>
      </c>
      <c r="Q850" s="279">
        <f>SUM(L850:P850)</f>
        <v>0</v>
      </c>
      <c r="R850" s="19"/>
      <c r="S850" s="18"/>
      <c r="T850" s="51"/>
    </row>
    <row r="851" spans="1:20" x14ac:dyDescent="0.2">
      <c r="A851" s="20" t="s">
        <v>501</v>
      </c>
      <c r="B851" s="46"/>
      <c r="C851" s="51"/>
      <c r="D851" s="21"/>
      <c r="E851" s="96"/>
      <c r="F851" s="100"/>
      <c r="G851" s="100"/>
      <c r="H851" s="100"/>
      <c r="I851" s="100"/>
      <c r="J851" s="101">
        <f t="shared" si="461"/>
        <v>0</v>
      </c>
      <c r="K851" s="115"/>
      <c r="L851" s="161">
        <f t="shared" ref="L851:Q851" si="462">SUM(L852:L853)</f>
        <v>37500</v>
      </c>
      <c r="M851" s="157">
        <f t="shared" si="462"/>
        <v>0</v>
      </c>
      <c r="N851" s="157">
        <f t="shared" si="462"/>
        <v>0</v>
      </c>
      <c r="O851" s="157">
        <f t="shared" si="462"/>
        <v>0</v>
      </c>
      <c r="P851" s="270">
        <f t="shared" si="462"/>
        <v>0</v>
      </c>
      <c r="Q851" s="284">
        <f t="shared" si="462"/>
        <v>37500</v>
      </c>
      <c r="R851" s="39" t="s">
        <v>864</v>
      </c>
      <c r="S851" s="115" t="s">
        <v>665</v>
      </c>
      <c r="T851" s="51"/>
    </row>
    <row r="852" spans="1:20" x14ac:dyDescent="0.2">
      <c r="A852" s="95">
        <v>1</v>
      </c>
      <c r="B852" s="108" t="str">
        <f>IF(A852&lt;&gt;0,INDEX(Coûts,'PA-Détails'!A852, 2),)</f>
        <v>Assistance technique internationale (consultants)</v>
      </c>
      <c r="C852" s="51"/>
      <c r="D852" s="94" t="str">
        <f>IF(A852&lt;&gt;0,INDEX(Coûts, 'PA-Détails'!A852, 5),)</f>
        <v>Pers / j</v>
      </c>
      <c r="E852" s="96">
        <v>30</v>
      </c>
      <c r="F852" s="100"/>
      <c r="G852" s="100"/>
      <c r="H852" s="100"/>
      <c r="I852" s="100"/>
      <c r="J852" s="101">
        <f t="shared" si="461"/>
        <v>30</v>
      </c>
      <c r="K852" s="115">
        <f>IF(A852&lt;&gt;0,INDEX(Coûts, 'PA-Détails'!A852, 3),)</f>
        <v>1150</v>
      </c>
      <c r="L852" s="37">
        <f t="shared" ref="L852:P853" si="463">ROUND(+$K852*E852,0)</f>
        <v>34500</v>
      </c>
      <c r="M852" s="36">
        <f t="shared" si="463"/>
        <v>0</v>
      </c>
      <c r="N852" s="36">
        <f t="shared" si="463"/>
        <v>0</v>
      </c>
      <c r="O852" s="36">
        <f t="shared" si="463"/>
        <v>0</v>
      </c>
      <c r="P852" s="268">
        <f t="shared" si="463"/>
        <v>0</v>
      </c>
      <c r="Q852" s="281">
        <f>SUM(L852:P852)</f>
        <v>34500</v>
      </c>
      <c r="R852" s="22"/>
      <c r="S852" s="21"/>
      <c r="T852" s="51"/>
    </row>
    <row r="853" spans="1:20" x14ac:dyDescent="0.2">
      <c r="A853" s="95">
        <v>5</v>
      </c>
      <c r="B853" s="108" t="str">
        <f>IF(A853&lt;&gt;0,INDEX(Coûts,'PA-Détails'!A853, 2),)</f>
        <v>Atelier de validation</v>
      </c>
      <c r="C853" s="51"/>
      <c r="D853" s="94" t="str">
        <f>IF(A853&lt;&gt;0,INDEX(Coûts, 'PA-Détails'!A853, 5),)</f>
        <v>Pers / j</v>
      </c>
      <c r="E853" s="96">
        <v>60</v>
      </c>
      <c r="F853" s="100"/>
      <c r="G853" s="100"/>
      <c r="H853" s="100"/>
      <c r="I853" s="100"/>
      <c r="J853" s="101">
        <f t="shared" si="461"/>
        <v>60</v>
      </c>
      <c r="K853" s="115">
        <f>IF(A853&lt;&gt;0,INDEX(Coûts, 'PA-Détails'!A853, 3),)</f>
        <v>50</v>
      </c>
      <c r="L853" s="37">
        <f t="shared" si="463"/>
        <v>3000</v>
      </c>
      <c r="M853" s="36">
        <f t="shared" si="463"/>
        <v>0</v>
      </c>
      <c r="N853" s="36">
        <f t="shared" si="463"/>
        <v>0</v>
      </c>
      <c r="O853" s="36">
        <f t="shared" si="463"/>
        <v>0</v>
      </c>
      <c r="P853" s="268">
        <f t="shared" si="463"/>
        <v>0</v>
      </c>
      <c r="Q853" s="281">
        <f>SUM(L853:P853)</f>
        <v>3000</v>
      </c>
      <c r="R853" s="22"/>
      <c r="S853" s="21"/>
      <c r="T853" s="51"/>
    </row>
    <row r="854" spans="1:20" x14ac:dyDescent="0.2">
      <c r="A854" s="20" t="s">
        <v>502</v>
      </c>
      <c r="B854" s="46"/>
      <c r="C854" s="51"/>
      <c r="D854" s="21"/>
      <c r="E854" s="96"/>
      <c r="F854" s="100"/>
      <c r="G854" s="100"/>
      <c r="H854" s="100"/>
      <c r="I854" s="100"/>
      <c r="J854" s="101">
        <f t="shared" si="461"/>
        <v>0</v>
      </c>
      <c r="K854" s="115"/>
      <c r="L854" s="161">
        <f t="shared" ref="L854:Q854" si="464">SUM(L855:L855)</f>
        <v>1412100</v>
      </c>
      <c r="M854" s="157">
        <f t="shared" si="464"/>
        <v>1412100</v>
      </c>
      <c r="N854" s="157">
        <f t="shared" si="464"/>
        <v>1412100</v>
      </c>
      <c r="O854" s="157">
        <f t="shared" si="464"/>
        <v>1412100</v>
      </c>
      <c r="P854" s="270">
        <f t="shared" si="464"/>
        <v>1412100</v>
      </c>
      <c r="Q854" s="284">
        <f t="shared" si="464"/>
        <v>7060500</v>
      </c>
      <c r="R854" s="39" t="s">
        <v>864</v>
      </c>
      <c r="S854" s="115" t="s">
        <v>665</v>
      </c>
      <c r="T854" s="51"/>
    </row>
    <row r="855" spans="1:20" x14ac:dyDescent="0.2">
      <c r="A855" s="95">
        <v>58</v>
      </c>
      <c r="B855" s="108" t="str">
        <f>IF(A855&lt;&gt;0,INDEX(Coûts,'PA-Détails'!A855, 2),)</f>
        <v>Acquisition et distribution des manuels scolaires</v>
      </c>
      <c r="C855" s="51"/>
      <c r="D855" s="94" t="str">
        <f>IF(A855&lt;&gt;0,INDEX(Coûts, 'PA-Détails'!A855, 5),)</f>
        <v>Unité</v>
      </c>
      <c r="E855" s="96">
        <f>H!E94</f>
        <v>470700</v>
      </c>
      <c r="F855" s="100">
        <f>E855</f>
        <v>470700</v>
      </c>
      <c r="G855" s="100">
        <f>F855</f>
        <v>470700</v>
      </c>
      <c r="H855" s="100">
        <f>G855</f>
        <v>470700</v>
      </c>
      <c r="I855" s="100">
        <f>H855</f>
        <v>470700</v>
      </c>
      <c r="J855" s="101">
        <f t="shared" si="461"/>
        <v>2353500</v>
      </c>
      <c r="K855" s="115">
        <f>IF(A855&lt;&gt;0,INDEX(Coûts, 'PA-Détails'!A855, 3),)</f>
        <v>3</v>
      </c>
      <c r="L855" s="37">
        <f t="shared" ref="L855:P857" si="465">ROUND(+$K855*E855,0)</f>
        <v>1412100</v>
      </c>
      <c r="M855" s="36">
        <f t="shared" si="465"/>
        <v>1412100</v>
      </c>
      <c r="N855" s="36">
        <f t="shared" si="465"/>
        <v>1412100</v>
      </c>
      <c r="O855" s="36">
        <f t="shared" si="465"/>
        <v>1412100</v>
      </c>
      <c r="P855" s="268">
        <f t="shared" si="465"/>
        <v>1412100</v>
      </c>
      <c r="Q855" s="281">
        <f>SUM(L855:P855)</f>
        <v>7060500</v>
      </c>
      <c r="R855" s="22"/>
      <c r="S855" s="21"/>
      <c r="T855" s="51"/>
    </row>
    <row r="856" spans="1:20" x14ac:dyDescent="0.2">
      <c r="A856" s="14" t="s">
        <v>503</v>
      </c>
      <c r="B856" s="44"/>
      <c r="C856" s="112"/>
      <c r="D856" s="15"/>
      <c r="E856" s="102"/>
      <c r="F856" s="103"/>
      <c r="G856" s="103"/>
      <c r="H856" s="103"/>
      <c r="I856" s="103"/>
      <c r="J856" s="104">
        <f t="shared" si="461"/>
        <v>0</v>
      </c>
      <c r="K856" s="145"/>
      <c r="L856" s="33">
        <f t="shared" si="465"/>
        <v>0</v>
      </c>
      <c r="M856" s="32">
        <f t="shared" si="465"/>
        <v>0</v>
      </c>
      <c r="N856" s="32">
        <f t="shared" si="465"/>
        <v>0</v>
      </c>
      <c r="O856" s="32">
        <f t="shared" si="465"/>
        <v>0</v>
      </c>
      <c r="P856" s="267">
        <f t="shared" si="465"/>
        <v>0</v>
      </c>
      <c r="Q856" s="278">
        <f>SUM(L856:P856)</f>
        <v>0</v>
      </c>
      <c r="R856" s="16"/>
      <c r="S856" s="15"/>
      <c r="T856" s="112">
        <v>2</v>
      </c>
    </row>
    <row r="857" spans="1:20" x14ac:dyDescent="0.2">
      <c r="A857" s="17" t="s">
        <v>504</v>
      </c>
      <c r="B857" s="45"/>
      <c r="C857" s="51" t="s">
        <v>505</v>
      </c>
      <c r="D857" s="18"/>
      <c r="E857" s="97"/>
      <c r="F857" s="98"/>
      <c r="G857" s="98"/>
      <c r="H857" s="98"/>
      <c r="I857" s="98"/>
      <c r="J857" s="99">
        <f t="shared" si="461"/>
        <v>0</v>
      </c>
      <c r="K857" s="116"/>
      <c r="L857" s="35">
        <f t="shared" si="465"/>
        <v>0</v>
      </c>
      <c r="M857" s="34">
        <f t="shared" si="465"/>
        <v>0</v>
      </c>
      <c r="N857" s="34">
        <f t="shared" si="465"/>
        <v>0</v>
      </c>
      <c r="O857" s="34">
        <f t="shared" si="465"/>
        <v>0</v>
      </c>
      <c r="P857" s="269">
        <f t="shared" si="465"/>
        <v>0</v>
      </c>
      <c r="Q857" s="279">
        <f>SUM(L857:P857)</f>
        <v>0</v>
      </c>
      <c r="R857" s="19"/>
      <c r="S857" s="18"/>
      <c r="T857" s="51"/>
    </row>
    <row r="858" spans="1:20" x14ac:dyDescent="0.2">
      <c r="A858" s="20" t="s">
        <v>506</v>
      </c>
      <c r="B858" s="46"/>
      <c r="C858" s="51"/>
      <c r="D858" s="21"/>
      <c r="E858" s="96"/>
      <c r="F858" s="100"/>
      <c r="G858" s="100"/>
      <c r="H858" s="100"/>
      <c r="I858" s="100"/>
      <c r="J858" s="101">
        <f t="shared" si="461"/>
        <v>0</v>
      </c>
      <c r="K858" s="115"/>
      <c r="L858" s="161">
        <f t="shared" ref="L858:Q858" si="466">SUM(L859:L861)</f>
        <v>47950</v>
      </c>
      <c r="M858" s="34">
        <f t="shared" si="466"/>
        <v>0</v>
      </c>
      <c r="N858" s="34">
        <f t="shared" si="466"/>
        <v>0</v>
      </c>
      <c r="O858" s="34">
        <f t="shared" si="466"/>
        <v>0</v>
      </c>
      <c r="P858" s="269">
        <f t="shared" si="466"/>
        <v>0</v>
      </c>
      <c r="Q858" s="279">
        <f t="shared" si="466"/>
        <v>47950</v>
      </c>
      <c r="R858" s="39" t="s">
        <v>838</v>
      </c>
      <c r="S858" s="115" t="s">
        <v>665</v>
      </c>
      <c r="T858" s="51"/>
    </row>
    <row r="859" spans="1:20" x14ac:dyDescent="0.2">
      <c r="A859" s="95">
        <v>1</v>
      </c>
      <c r="B859" s="108" t="str">
        <f>IF(A859&lt;&gt;0,INDEX(Coûts,'PA-Détails'!A859, 2),)</f>
        <v>Assistance technique internationale (consultants)</v>
      </c>
      <c r="C859" s="51"/>
      <c r="D859" s="94" t="str">
        <f>IF(A859&lt;&gt;0,INDEX(Coûts, 'PA-Détails'!A859, 5),)</f>
        <v>Pers / j</v>
      </c>
      <c r="E859" s="96">
        <v>5</v>
      </c>
      <c r="F859" s="100"/>
      <c r="G859" s="100"/>
      <c r="H859" s="100"/>
      <c r="I859" s="100"/>
      <c r="J859" s="101">
        <f t="shared" si="461"/>
        <v>5</v>
      </c>
      <c r="K859" s="115">
        <f>IF(A859&lt;&gt;0,INDEX(Coûts, 'PA-Détails'!A859, 3),)</f>
        <v>1150</v>
      </c>
      <c r="L859" s="37">
        <f t="shared" ref="L859:P861" si="467">ROUND(+$K859*E859,0)</f>
        <v>5750</v>
      </c>
      <c r="M859" s="36">
        <f t="shared" si="467"/>
        <v>0</v>
      </c>
      <c r="N859" s="36">
        <f t="shared" si="467"/>
        <v>0</v>
      </c>
      <c r="O859" s="36">
        <f t="shared" si="467"/>
        <v>0</v>
      </c>
      <c r="P859" s="268">
        <f t="shared" si="467"/>
        <v>0</v>
      </c>
      <c r="Q859" s="281">
        <f>SUM(L859:P859)</f>
        <v>5750</v>
      </c>
      <c r="R859" s="22"/>
      <c r="S859" s="21"/>
      <c r="T859" s="51"/>
    </row>
    <row r="860" spans="1:20" x14ac:dyDescent="0.2">
      <c r="A860" s="95">
        <v>11</v>
      </c>
      <c r="B860" s="108" t="str">
        <f>IF(A860&lt;&gt;0,INDEX(Coûts,'PA-Détails'!A860, 2),)</f>
        <v>Atelier technique</v>
      </c>
      <c r="C860" s="51"/>
      <c r="D860" s="94" t="str">
        <f>IF(A860&lt;&gt;0,INDEX(Coûts, 'PA-Détails'!A860, 5),)</f>
        <v>Pers / j</v>
      </c>
      <c r="E860" s="96">
        <f>3*20</f>
        <v>60</v>
      </c>
      <c r="F860" s="100"/>
      <c r="G860" s="100"/>
      <c r="H860" s="100"/>
      <c r="I860" s="100"/>
      <c r="J860" s="101">
        <f t="shared" si="461"/>
        <v>60</v>
      </c>
      <c r="K860" s="115">
        <f>IF(A860&lt;&gt;0,INDEX(Coûts, 'PA-Détails'!A860, 3),)</f>
        <v>70</v>
      </c>
      <c r="L860" s="37">
        <f t="shared" si="467"/>
        <v>4200</v>
      </c>
      <c r="M860" s="36">
        <f t="shared" si="467"/>
        <v>0</v>
      </c>
      <c r="N860" s="36">
        <f t="shared" si="467"/>
        <v>0</v>
      </c>
      <c r="O860" s="36">
        <f t="shared" si="467"/>
        <v>0</v>
      </c>
      <c r="P860" s="268">
        <f t="shared" si="467"/>
        <v>0</v>
      </c>
      <c r="Q860" s="281">
        <f>SUM(L860:P860)</f>
        <v>4200</v>
      </c>
      <c r="R860" s="22"/>
      <c r="S860" s="21"/>
      <c r="T860" s="51"/>
    </row>
    <row r="861" spans="1:20" x14ac:dyDescent="0.2">
      <c r="A861" s="95">
        <v>7</v>
      </c>
      <c r="B861" s="108" t="str">
        <f>IF(A861&lt;&gt;0,INDEX(Coûts,'PA-Détails'!A861, 2),)</f>
        <v>Séminaire</v>
      </c>
      <c r="C861" s="51"/>
      <c r="D861" s="94" t="str">
        <f>IF(A861&lt;&gt;0,INDEX(Coûts, 'PA-Détails'!A861, 5),)</f>
        <v>Pers / j</v>
      </c>
      <c r="E861" s="96">
        <v>200</v>
      </c>
      <c r="F861" s="100"/>
      <c r="G861" s="100"/>
      <c r="H861" s="100"/>
      <c r="I861" s="100"/>
      <c r="J861" s="101">
        <f t="shared" si="461"/>
        <v>200</v>
      </c>
      <c r="K861" s="115">
        <f>IF(A861&lt;&gt;0,INDEX(Coûts, 'PA-Détails'!A861, 3),)</f>
        <v>190</v>
      </c>
      <c r="L861" s="37">
        <f t="shared" si="467"/>
        <v>38000</v>
      </c>
      <c r="M861" s="36">
        <f t="shared" si="467"/>
        <v>0</v>
      </c>
      <c r="N861" s="36">
        <f t="shared" si="467"/>
        <v>0</v>
      </c>
      <c r="O861" s="36">
        <f t="shared" si="467"/>
        <v>0</v>
      </c>
      <c r="P861" s="268">
        <f t="shared" si="467"/>
        <v>0</v>
      </c>
      <c r="Q861" s="281">
        <f>SUM(L861:P861)</f>
        <v>38000</v>
      </c>
      <c r="R861" s="22"/>
      <c r="S861" s="21"/>
      <c r="T861" s="51"/>
    </row>
    <row r="862" spans="1:20" x14ac:dyDescent="0.2">
      <c r="A862" s="20" t="s">
        <v>507</v>
      </c>
      <c r="B862" s="46"/>
      <c r="C862" s="51"/>
      <c r="D862" s="21"/>
      <c r="E862" s="96"/>
      <c r="F862" s="100"/>
      <c r="G862" s="100"/>
      <c r="H862" s="100"/>
      <c r="I862" s="100"/>
      <c r="J862" s="101">
        <f t="shared" si="461"/>
        <v>0</v>
      </c>
      <c r="K862" s="115"/>
      <c r="L862" s="161">
        <f t="shared" ref="L862:Q862" si="468">SUM(L863:L863)</f>
        <v>10000</v>
      </c>
      <c r="M862" s="157">
        <f t="shared" si="468"/>
        <v>10000</v>
      </c>
      <c r="N862" s="157">
        <f t="shared" si="468"/>
        <v>10000</v>
      </c>
      <c r="O862" s="157">
        <f t="shared" si="468"/>
        <v>10000</v>
      </c>
      <c r="P862" s="270">
        <f t="shared" si="468"/>
        <v>10000</v>
      </c>
      <c r="Q862" s="284">
        <f t="shared" si="468"/>
        <v>50000</v>
      </c>
      <c r="R862" s="39" t="s">
        <v>838</v>
      </c>
      <c r="S862" s="115" t="s">
        <v>665</v>
      </c>
      <c r="T862" s="51"/>
    </row>
    <row r="863" spans="1:20" x14ac:dyDescent="0.2">
      <c r="A863" s="95">
        <v>251</v>
      </c>
      <c r="B863" s="108" t="str">
        <f>IF(A863&lt;&gt;0,INDEX(Coûts,'PA-Détails'!A863, 2),)</f>
        <v xml:space="preserve">Frais de fonctionnement d'un comité scientifique/cadre de coordination </v>
      </c>
      <c r="C863" s="51"/>
      <c r="D863" s="94" t="str">
        <f>IF(A863&lt;&gt;0,INDEX(Coûts, 'PA-Détails'!A863, 5),)</f>
        <v>Forfait</v>
      </c>
      <c r="E863" s="96">
        <v>1</v>
      </c>
      <c r="F863" s="100">
        <v>1</v>
      </c>
      <c r="G863" s="100">
        <v>1</v>
      </c>
      <c r="H863" s="100">
        <v>1</v>
      </c>
      <c r="I863" s="100">
        <v>1</v>
      </c>
      <c r="J863" s="101">
        <f t="shared" si="461"/>
        <v>5</v>
      </c>
      <c r="K863" s="115">
        <f>IF(A863&lt;&gt;0,INDEX(Coûts, 'PA-Détails'!A863, 3),)</f>
        <v>10000</v>
      </c>
      <c r="L863" s="37">
        <f t="shared" ref="L863:P864" si="469">ROUND(+$K863*E863,0)</f>
        <v>10000</v>
      </c>
      <c r="M863" s="36">
        <f t="shared" si="469"/>
        <v>10000</v>
      </c>
      <c r="N863" s="36">
        <f t="shared" si="469"/>
        <v>10000</v>
      </c>
      <c r="O863" s="36">
        <f t="shared" si="469"/>
        <v>10000</v>
      </c>
      <c r="P863" s="268">
        <f t="shared" si="469"/>
        <v>10000</v>
      </c>
      <c r="Q863" s="281">
        <f>SUM(L863:P863)</f>
        <v>50000</v>
      </c>
      <c r="R863" s="22"/>
      <c r="S863" s="21"/>
      <c r="T863" s="51"/>
    </row>
    <row r="864" spans="1:20" x14ac:dyDescent="0.2">
      <c r="A864" s="17" t="s">
        <v>102</v>
      </c>
      <c r="B864" s="45"/>
      <c r="C864" s="51" t="s">
        <v>508</v>
      </c>
      <c r="D864" s="18"/>
      <c r="E864" s="97"/>
      <c r="F864" s="98"/>
      <c r="G864" s="98"/>
      <c r="H864" s="98"/>
      <c r="I864" s="98"/>
      <c r="J864" s="99">
        <f t="shared" si="461"/>
        <v>0</v>
      </c>
      <c r="K864" s="116"/>
      <c r="L864" s="35">
        <f t="shared" si="469"/>
        <v>0</v>
      </c>
      <c r="M864" s="34">
        <f t="shared" si="469"/>
        <v>0</v>
      </c>
      <c r="N864" s="34">
        <f t="shared" si="469"/>
        <v>0</v>
      </c>
      <c r="O864" s="34">
        <f t="shared" si="469"/>
        <v>0</v>
      </c>
      <c r="P864" s="269">
        <f t="shared" si="469"/>
        <v>0</v>
      </c>
      <c r="Q864" s="279">
        <f>SUM(L864:P864)</f>
        <v>0</v>
      </c>
      <c r="R864" s="38"/>
      <c r="S864" s="116"/>
      <c r="T864" s="51"/>
    </row>
    <row r="865" spans="1:20" x14ac:dyDescent="0.2">
      <c r="A865" s="20" t="s">
        <v>509</v>
      </c>
      <c r="B865" s="46"/>
      <c r="C865" s="51"/>
      <c r="D865" s="21"/>
      <c r="E865" s="96"/>
      <c r="F865" s="100"/>
      <c r="G865" s="100"/>
      <c r="H865" s="100"/>
      <c r="I865" s="100"/>
      <c r="J865" s="101">
        <f t="shared" si="461"/>
        <v>0</v>
      </c>
      <c r="K865" s="115"/>
      <c r="L865" s="161">
        <f t="shared" ref="L865:Q865" si="470">SUM(L866:L867)</f>
        <v>9950</v>
      </c>
      <c r="M865" s="157">
        <f t="shared" si="470"/>
        <v>0</v>
      </c>
      <c r="N865" s="157">
        <f t="shared" si="470"/>
        <v>0</v>
      </c>
      <c r="O865" s="157">
        <f t="shared" si="470"/>
        <v>0</v>
      </c>
      <c r="P865" s="270">
        <f t="shared" si="470"/>
        <v>0</v>
      </c>
      <c r="Q865" s="284">
        <f t="shared" si="470"/>
        <v>9950</v>
      </c>
      <c r="R865" s="39" t="s">
        <v>838</v>
      </c>
      <c r="S865" s="115" t="s">
        <v>665</v>
      </c>
      <c r="T865" s="51"/>
    </row>
    <row r="866" spans="1:20" x14ac:dyDescent="0.2">
      <c r="A866" s="95">
        <v>1</v>
      </c>
      <c r="B866" s="108" t="str">
        <f>IF(A866&lt;&gt;0,INDEX(Coûts,'PA-Détails'!A866, 2),)</f>
        <v>Assistance technique internationale (consultants)</v>
      </c>
      <c r="C866" s="51"/>
      <c r="D866" s="94" t="str">
        <f>IF(A866&lt;&gt;0,INDEX(Coûts, 'PA-Détails'!A866, 5),)</f>
        <v>Pers / j</v>
      </c>
      <c r="E866" s="96">
        <v>5</v>
      </c>
      <c r="F866" s="100"/>
      <c r="G866" s="100"/>
      <c r="H866" s="100"/>
      <c r="I866" s="100"/>
      <c r="J866" s="101">
        <f t="shared" si="461"/>
        <v>5</v>
      </c>
      <c r="K866" s="115">
        <f>IF(A866&lt;&gt;0,INDEX(Coûts, 'PA-Détails'!A866, 3),)</f>
        <v>1150</v>
      </c>
      <c r="L866" s="37">
        <f t="shared" ref="L866:P867" si="471">ROUND(+$K866*E866,0)</f>
        <v>5750</v>
      </c>
      <c r="M866" s="36">
        <f t="shared" si="471"/>
        <v>0</v>
      </c>
      <c r="N866" s="36">
        <f t="shared" si="471"/>
        <v>0</v>
      </c>
      <c r="O866" s="36">
        <f t="shared" si="471"/>
        <v>0</v>
      </c>
      <c r="P866" s="268">
        <f t="shared" si="471"/>
        <v>0</v>
      </c>
      <c r="Q866" s="281">
        <f>SUM(L866:P866)</f>
        <v>5750</v>
      </c>
      <c r="R866" s="39"/>
      <c r="S866" s="115"/>
      <c r="T866" s="51"/>
    </row>
    <row r="867" spans="1:20" x14ac:dyDescent="0.2">
      <c r="A867" s="95">
        <v>11</v>
      </c>
      <c r="B867" s="108" t="str">
        <f>IF(A867&lt;&gt;0,INDEX(Coûts,'PA-Détails'!A867, 2),)</f>
        <v>Atelier technique</v>
      </c>
      <c r="C867" s="51"/>
      <c r="D867" s="94" t="str">
        <f>IF(A867&lt;&gt;0,INDEX(Coûts, 'PA-Détails'!A867, 5),)</f>
        <v>Pers / j</v>
      </c>
      <c r="E867" s="96">
        <f>3*20</f>
        <v>60</v>
      </c>
      <c r="F867" s="100"/>
      <c r="G867" s="100"/>
      <c r="H867" s="100"/>
      <c r="I867" s="100"/>
      <c r="J867" s="101">
        <f t="shared" si="461"/>
        <v>60</v>
      </c>
      <c r="K867" s="115">
        <f>IF(A867&lt;&gt;0,INDEX(Coûts, 'PA-Détails'!A867, 3),)</f>
        <v>70</v>
      </c>
      <c r="L867" s="37">
        <f t="shared" si="471"/>
        <v>4200</v>
      </c>
      <c r="M867" s="36">
        <f t="shared" si="471"/>
        <v>0</v>
      </c>
      <c r="N867" s="36">
        <f t="shared" si="471"/>
        <v>0</v>
      </c>
      <c r="O867" s="36">
        <f t="shared" si="471"/>
        <v>0</v>
      </c>
      <c r="P867" s="268">
        <f t="shared" si="471"/>
        <v>0</v>
      </c>
      <c r="Q867" s="281">
        <f>SUM(L867:P867)</f>
        <v>4200</v>
      </c>
      <c r="R867" s="39"/>
      <c r="S867" s="115"/>
      <c r="T867" s="51"/>
    </row>
    <row r="868" spans="1:20" x14ac:dyDescent="0.2">
      <c r="A868" s="20" t="s">
        <v>510</v>
      </c>
      <c r="B868" s="46"/>
      <c r="C868" s="51"/>
      <c r="D868" s="21"/>
      <c r="E868" s="96"/>
      <c r="F868" s="100"/>
      <c r="G868" s="100"/>
      <c r="H868" s="100"/>
      <c r="I868" s="100"/>
      <c r="J868" s="101">
        <f t="shared" si="461"/>
        <v>0</v>
      </c>
      <c r="K868" s="115"/>
      <c r="L868" s="161">
        <f t="shared" ref="L868:Q868" si="472">SUM(L869:L869)</f>
        <v>342000</v>
      </c>
      <c r="M868" s="157">
        <f t="shared" si="472"/>
        <v>342000</v>
      </c>
      <c r="N868" s="157">
        <f t="shared" si="472"/>
        <v>342000</v>
      </c>
      <c r="O868" s="157">
        <f t="shared" si="472"/>
        <v>0</v>
      </c>
      <c r="P868" s="270">
        <f t="shared" si="472"/>
        <v>0</v>
      </c>
      <c r="Q868" s="284">
        <f t="shared" si="472"/>
        <v>1026000</v>
      </c>
      <c r="R868" s="39" t="s">
        <v>838</v>
      </c>
      <c r="S868" s="115" t="s">
        <v>665</v>
      </c>
      <c r="T868" s="51"/>
    </row>
    <row r="869" spans="1:20" x14ac:dyDescent="0.2">
      <c r="A869" s="95">
        <v>7</v>
      </c>
      <c r="B869" s="108" t="str">
        <f>IF(A869&lt;&gt;0,INDEX(Coûts,'PA-Détails'!A869, 2),)</f>
        <v>Séminaire</v>
      </c>
      <c r="C869" s="51"/>
      <c r="D869" s="94" t="str">
        <f>IF(A869&lt;&gt;0,INDEX(Coûts, 'PA-Détails'!A869, 5),)</f>
        <v>Pers / j</v>
      </c>
      <c r="E869" s="96">
        <f>30*60</f>
        <v>1800</v>
      </c>
      <c r="F869" s="100">
        <f>E869</f>
        <v>1800</v>
      </c>
      <c r="G869" s="100">
        <f>F869</f>
        <v>1800</v>
      </c>
      <c r="H869" s="100"/>
      <c r="I869" s="100"/>
      <c r="J869" s="101">
        <f t="shared" si="461"/>
        <v>5400</v>
      </c>
      <c r="K869" s="115">
        <f>IF(A869&lt;&gt;0,INDEX(Coûts, 'PA-Détails'!A869, 3),)</f>
        <v>190</v>
      </c>
      <c r="L869" s="37">
        <f t="shared" ref="L869:P870" si="473">ROUND(+$K869*E869,0)</f>
        <v>342000</v>
      </c>
      <c r="M869" s="36">
        <f t="shared" si="473"/>
        <v>342000</v>
      </c>
      <c r="N869" s="36">
        <f t="shared" si="473"/>
        <v>342000</v>
      </c>
      <c r="O869" s="36">
        <f t="shared" si="473"/>
        <v>0</v>
      </c>
      <c r="P869" s="268">
        <f t="shared" si="473"/>
        <v>0</v>
      </c>
      <c r="Q869" s="281">
        <f>SUM(L869:P869)</f>
        <v>1026000</v>
      </c>
      <c r="R869" s="22"/>
      <c r="S869" s="115"/>
      <c r="T869" s="51"/>
    </row>
    <row r="870" spans="1:20" x14ac:dyDescent="0.2">
      <c r="A870" s="17" t="s">
        <v>511</v>
      </c>
      <c r="B870" s="45"/>
      <c r="C870" s="51" t="s">
        <v>512</v>
      </c>
      <c r="D870" s="18"/>
      <c r="E870" s="97"/>
      <c r="F870" s="98"/>
      <c r="G870" s="98"/>
      <c r="H870" s="98"/>
      <c r="I870" s="98"/>
      <c r="J870" s="99">
        <f t="shared" si="461"/>
        <v>0</v>
      </c>
      <c r="K870" s="116"/>
      <c r="L870" s="35">
        <f t="shared" si="473"/>
        <v>0</v>
      </c>
      <c r="M870" s="34">
        <f t="shared" si="473"/>
        <v>0</v>
      </c>
      <c r="N870" s="34">
        <f t="shared" si="473"/>
        <v>0</v>
      </c>
      <c r="O870" s="34">
        <f t="shared" si="473"/>
        <v>0</v>
      </c>
      <c r="P870" s="269">
        <f t="shared" si="473"/>
        <v>0</v>
      </c>
      <c r="Q870" s="279">
        <f>SUM(L870:P870)</f>
        <v>0</v>
      </c>
      <c r="R870" s="19"/>
      <c r="S870" s="116"/>
      <c r="T870" s="51"/>
    </row>
    <row r="871" spans="1:20" x14ac:dyDescent="0.2">
      <c r="A871" s="20" t="s">
        <v>513</v>
      </c>
      <c r="B871" s="46"/>
      <c r="C871" s="51"/>
      <c r="D871" s="21"/>
      <c r="E871" s="96"/>
      <c r="F871" s="100"/>
      <c r="G871" s="100"/>
      <c r="H871" s="100"/>
      <c r="I871" s="100"/>
      <c r="J871" s="101">
        <f t="shared" si="461"/>
        <v>0</v>
      </c>
      <c r="K871" s="115"/>
      <c r="L871" s="161">
        <f t="shared" ref="L871:Q871" si="474">SUM(L872:L873)</f>
        <v>14500</v>
      </c>
      <c r="M871" s="157">
        <f t="shared" si="474"/>
        <v>0</v>
      </c>
      <c r="N871" s="157">
        <f t="shared" si="474"/>
        <v>0</v>
      </c>
      <c r="O871" s="157">
        <f t="shared" si="474"/>
        <v>0</v>
      </c>
      <c r="P871" s="270">
        <f t="shared" si="474"/>
        <v>0</v>
      </c>
      <c r="Q871" s="284">
        <f t="shared" si="474"/>
        <v>14500</v>
      </c>
      <c r="R871" s="39" t="s">
        <v>865</v>
      </c>
      <c r="S871" s="115" t="s">
        <v>665</v>
      </c>
      <c r="T871" s="51"/>
    </row>
    <row r="872" spans="1:20" x14ac:dyDescent="0.2">
      <c r="A872" s="95">
        <v>1</v>
      </c>
      <c r="B872" s="108" t="str">
        <f>IF(A872&lt;&gt;0,INDEX(Coûts,'PA-Détails'!A872, 2),)</f>
        <v>Assistance technique internationale (consultants)</v>
      </c>
      <c r="C872" s="51"/>
      <c r="D872" s="94" t="str">
        <f>IF(A872&lt;&gt;0,INDEX(Coûts, 'PA-Détails'!A872, 5),)</f>
        <v>Pers / j</v>
      </c>
      <c r="E872" s="96">
        <v>10</v>
      </c>
      <c r="F872" s="100"/>
      <c r="G872" s="100"/>
      <c r="H872" s="100"/>
      <c r="I872" s="100"/>
      <c r="J872" s="101">
        <f t="shared" si="461"/>
        <v>10</v>
      </c>
      <c r="K872" s="115">
        <f>IF(A872&lt;&gt;0,INDEX(Coûts, 'PA-Détails'!A872, 3),)</f>
        <v>1150</v>
      </c>
      <c r="L872" s="37">
        <f t="shared" ref="L872:P875" si="475">ROUND(+$K872*E872,0)</f>
        <v>11500</v>
      </c>
      <c r="M872" s="36">
        <f t="shared" si="475"/>
        <v>0</v>
      </c>
      <c r="N872" s="36">
        <f t="shared" si="475"/>
        <v>0</v>
      </c>
      <c r="O872" s="36">
        <f t="shared" si="475"/>
        <v>0</v>
      </c>
      <c r="P872" s="268">
        <f t="shared" si="475"/>
        <v>0</v>
      </c>
      <c r="Q872" s="281">
        <f>SUM(L872:P872)</f>
        <v>11500</v>
      </c>
      <c r="R872" s="22"/>
      <c r="S872" s="115"/>
      <c r="T872" s="51"/>
    </row>
    <row r="873" spans="1:20" x14ac:dyDescent="0.2">
      <c r="A873" s="95">
        <v>5</v>
      </c>
      <c r="B873" s="108" t="str">
        <f>IF(A873&lt;&gt;0,INDEX(Coûts,'PA-Détails'!A873, 2),)</f>
        <v>Atelier de validation</v>
      </c>
      <c r="C873" s="51"/>
      <c r="D873" s="94" t="str">
        <f>IF(A873&lt;&gt;0,INDEX(Coûts, 'PA-Détails'!A873, 5),)</f>
        <v>Pers / j</v>
      </c>
      <c r="E873" s="96">
        <f>3*20</f>
        <v>60</v>
      </c>
      <c r="F873" s="100"/>
      <c r="G873" s="100"/>
      <c r="H873" s="100"/>
      <c r="I873" s="100"/>
      <c r="J873" s="101">
        <f t="shared" si="461"/>
        <v>60</v>
      </c>
      <c r="K873" s="115">
        <f>IF(A873&lt;&gt;0,INDEX(Coûts, 'PA-Détails'!A873, 3),)</f>
        <v>50</v>
      </c>
      <c r="L873" s="37">
        <f t="shared" si="475"/>
        <v>3000</v>
      </c>
      <c r="M873" s="36">
        <f t="shared" si="475"/>
        <v>0</v>
      </c>
      <c r="N873" s="36">
        <f t="shared" si="475"/>
        <v>0</v>
      </c>
      <c r="O873" s="36">
        <f t="shared" si="475"/>
        <v>0</v>
      </c>
      <c r="P873" s="268">
        <f t="shared" si="475"/>
        <v>0</v>
      </c>
      <c r="Q873" s="281">
        <f>SUM(L873:P873)</f>
        <v>3000</v>
      </c>
      <c r="R873" s="22"/>
      <c r="S873" s="115"/>
      <c r="T873" s="51"/>
    </row>
    <row r="874" spans="1:20" x14ac:dyDescent="0.2">
      <c r="A874" s="20" t="s">
        <v>514</v>
      </c>
      <c r="B874" s="46"/>
      <c r="C874" s="51"/>
      <c r="D874" s="21"/>
      <c r="E874" s="96"/>
      <c r="F874" s="100"/>
      <c r="G874" s="100"/>
      <c r="H874" s="100"/>
      <c r="I874" s="100"/>
      <c r="J874" s="101">
        <f t="shared" si="461"/>
        <v>0</v>
      </c>
      <c r="K874" s="115"/>
      <c r="L874" s="37">
        <f t="shared" si="475"/>
        <v>0</v>
      </c>
      <c r="M874" s="36">
        <f t="shared" si="475"/>
        <v>0</v>
      </c>
      <c r="N874" s="36">
        <f t="shared" si="475"/>
        <v>0</v>
      </c>
      <c r="O874" s="36">
        <f t="shared" si="475"/>
        <v>0</v>
      </c>
      <c r="P874" s="268">
        <f t="shared" si="475"/>
        <v>0</v>
      </c>
      <c r="Q874" s="281">
        <f>SUM(L874:P874)</f>
        <v>0</v>
      </c>
      <c r="R874" s="198" t="s">
        <v>865</v>
      </c>
      <c r="S874" s="115" t="s">
        <v>665</v>
      </c>
      <c r="T874" s="51"/>
    </row>
    <row r="875" spans="1:20" x14ac:dyDescent="0.2">
      <c r="A875" s="17" t="s">
        <v>877</v>
      </c>
      <c r="B875" s="46"/>
      <c r="C875" s="51"/>
      <c r="D875" s="21"/>
      <c r="E875" s="96"/>
      <c r="F875" s="100"/>
      <c r="G875" s="100"/>
      <c r="H875" s="100"/>
      <c r="I875" s="100"/>
      <c r="J875" s="101"/>
      <c r="K875" s="115"/>
      <c r="L875" s="37">
        <f t="shared" si="475"/>
        <v>0</v>
      </c>
      <c r="M875" s="36">
        <f t="shared" si="475"/>
        <v>0</v>
      </c>
      <c r="N875" s="36">
        <f t="shared" si="475"/>
        <v>0</v>
      </c>
      <c r="O875" s="36">
        <f t="shared" si="475"/>
        <v>0</v>
      </c>
      <c r="P875" s="268">
        <f t="shared" si="475"/>
        <v>0</v>
      </c>
      <c r="Q875" s="281"/>
      <c r="R875" s="198"/>
      <c r="S875" s="115"/>
      <c r="T875" s="51"/>
    </row>
    <row r="876" spans="1:20" x14ac:dyDescent="0.2">
      <c r="A876" s="20" t="s">
        <v>1102</v>
      </c>
      <c r="B876" s="46"/>
      <c r="C876" s="51"/>
      <c r="D876" s="21"/>
      <c r="E876" s="96"/>
      <c r="F876" s="100"/>
      <c r="G876" s="100"/>
      <c r="H876" s="100"/>
      <c r="I876" s="100"/>
      <c r="J876" s="101"/>
      <c r="K876" s="115"/>
      <c r="L876" s="161">
        <f t="shared" ref="L876:Q876" si="476">SUM(L877:L879)</f>
        <v>26750</v>
      </c>
      <c r="M876" s="157">
        <f t="shared" si="476"/>
        <v>0</v>
      </c>
      <c r="N876" s="157">
        <f t="shared" si="476"/>
        <v>0</v>
      </c>
      <c r="O876" s="157">
        <f t="shared" si="476"/>
        <v>0</v>
      </c>
      <c r="P876" s="270">
        <f t="shared" si="476"/>
        <v>0</v>
      </c>
      <c r="Q876" s="284">
        <f t="shared" si="476"/>
        <v>26750</v>
      </c>
      <c r="R876" s="198" t="s">
        <v>838</v>
      </c>
      <c r="S876" s="115" t="s">
        <v>878</v>
      </c>
      <c r="T876" s="51"/>
    </row>
    <row r="877" spans="1:20" x14ac:dyDescent="0.2">
      <c r="A877" s="95">
        <v>1</v>
      </c>
      <c r="B877" s="108" t="str">
        <f>IF(A877&lt;&gt;0,INDEX(Coûts,'PA-Détails'!A877, 2),)</f>
        <v>Assistance technique internationale (consultants)</v>
      </c>
      <c r="C877" s="51"/>
      <c r="D877" s="94" t="str">
        <f>IF(A877&lt;&gt;0,INDEX(Coûts, 'PA-Détails'!A877, 5),)</f>
        <v>Pers / j</v>
      </c>
      <c r="E877" s="96">
        <v>15</v>
      </c>
      <c r="F877" s="100"/>
      <c r="G877" s="100"/>
      <c r="H877" s="100"/>
      <c r="I877" s="100"/>
      <c r="J877" s="101">
        <f t="shared" ref="J877:J908" si="477">SUM(E877:I877)</f>
        <v>15</v>
      </c>
      <c r="K877" s="115">
        <f>IF(A877&lt;&gt;0,INDEX(Coûts, 'PA-Détails'!A877, 3),)</f>
        <v>1150</v>
      </c>
      <c r="L877" s="37">
        <f t="shared" ref="L877:P881" si="478">ROUND(+$K877*E877,0)</f>
        <v>17250</v>
      </c>
      <c r="M877" s="36">
        <f t="shared" si="478"/>
        <v>0</v>
      </c>
      <c r="N877" s="36">
        <f t="shared" si="478"/>
        <v>0</v>
      </c>
      <c r="O877" s="36">
        <f t="shared" si="478"/>
        <v>0</v>
      </c>
      <c r="P877" s="268">
        <f t="shared" si="478"/>
        <v>0</v>
      </c>
      <c r="Q877" s="281">
        <f>SUM(L877:P877)</f>
        <v>17250</v>
      </c>
      <c r="R877" s="22"/>
      <c r="S877" s="115"/>
      <c r="T877" s="51"/>
    </row>
    <row r="878" spans="1:20" x14ac:dyDescent="0.2">
      <c r="A878" s="95">
        <v>2</v>
      </c>
      <c r="B878" s="108" t="str">
        <f>IF(A878&lt;&gt;0,INDEX(Coûts,'PA-Détails'!A878, 2),)</f>
        <v>Assistance technique nationale (consultants)</v>
      </c>
      <c r="C878" s="51"/>
      <c r="D878" s="94" t="str">
        <f>IF(A878&lt;&gt;0,INDEX(Coûts, 'PA-Détails'!A878, 5),)</f>
        <v>Pers / j</v>
      </c>
      <c r="E878" s="96">
        <v>15</v>
      </c>
      <c r="F878" s="100"/>
      <c r="G878" s="100"/>
      <c r="H878" s="100"/>
      <c r="I878" s="100"/>
      <c r="J878" s="101">
        <f t="shared" si="477"/>
        <v>15</v>
      </c>
      <c r="K878" s="115">
        <f>IF(A878&lt;&gt;0,INDEX(Coûts, 'PA-Détails'!A878, 3),)</f>
        <v>300</v>
      </c>
      <c r="L878" s="37">
        <f t="shared" si="478"/>
        <v>4500</v>
      </c>
      <c r="M878" s="36">
        <f t="shared" si="478"/>
        <v>0</v>
      </c>
      <c r="N878" s="36">
        <f t="shared" si="478"/>
        <v>0</v>
      </c>
      <c r="O878" s="36">
        <f t="shared" si="478"/>
        <v>0</v>
      </c>
      <c r="P878" s="268">
        <f t="shared" si="478"/>
        <v>0</v>
      </c>
      <c r="Q878" s="281">
        <f>SUM(L878:P878)</f>
        <v>4500</v>
      </c>
      <c r="R878" s="22"/>
      <c r="S878" s="115"/>
      <c r="T878" s="51"/>
    </row>
    <row r="879" spans="1:20" x14ac:dyDescent="0.2">
      <c r="A879" s="95">
        <v>5</v>
      </c>
      <c r="B879" s="108" t="str">
        <f>IF(A879&lt;&gt;0,INDEX(Coûts,'PA-Détails'!A879, 2),)</f>
        <v>Atelier de validation</v>
      </c>
      <c r="C879" s="51"/>
      <c r="D879" s="94" t="str">
        <f>IF(A879&lt;&gt;0,INDEX(Coûts, 'PA-Détails'!A879, 5),)</f>
        <v>Pers / j</v>
      </c>
      <c r="E879" s="96">
        <v>100</v>
      </c>
      <c r="F879" s="100"/>
      <c r="G879" s="100"/>
      <c r="H879" s="100"/>
      <c r="I879" s="100"/>
      <c r="J879" s="101">
        <f t="shared" si="477"/>
        <v>100</v>
      </c>
      <c r="K879" s="115">
        <f>IF(A879&lt;&gt;0,INDEX(Coûts, 'PA-Détails'!A879, 3),)</f>
        <v>50</v>
      </c>
      <c r="L879" s="37">
        <f t="shared" si="478"/>
        <v>5000</v>
      </c>
      <c r="M879" s="36">
        <f t="shared" si="478"/>
        <v>0</v>
      </c>
      <c r="N879" s="36">
        <f t="shared" si="478"/>
        <v>0</v>
      </c>
      <c r="O879" s="36">
        <f t="shared" si="478"/>
        <v>0</v>
      </c>
      <c r="P879" s="268">
        <f t="shared" si="478"/>
        <v>0</v>
      </c>
      <c r="Q879" s="281">
        <f>SUM(L879:P879)</f>
        <v>5000</v>
      </c>
      <c r="R879" s="22"/>
      <c r="S879" s="115"/>
      <c r="T879" s="51"/>
    </row>
    <row r="880" spans="1:20" x14ac:dyDescent="0.2">
      <c r="A880" s="14" t="s">
        <v>103</v>
      </c>
      <c r="B880" s="44"/>
      <c r="C880" s="112"/>
      <c r="D880" s="15"/>
      <c r="E880" s="102"/>
      <c r="F880" s="103"/>
      <c r="G880" s="103"/>
      <c r="H880" s="103"/>
      <c r="I880" s="103"/>
      <c r="J880" s="104">
        <f t="shared" si="477"/>
        <v>0</v>
      </c>
      <c r="K880" s="145"/>
      <c r="L880" s="33">
        <f t="shared" si="478"/>
        <v>0</v>
      </c>
      <c r="M880" s="32">
        <f t="shared" si="478"/>
        <v>0</v>
      </c>
      <c r="N880" s="32">
        <f t="shared" si="478"/>
        <v>0</v>
      </c>
      <c r="O880" s="32">
        <f t="shared" si="478"/>
        <v>0</v>
      </c>
      <c r="P880" s="267">
        <f t="shared" si="478"/>
        <v>0</v>
      </c>
      <c r="Q880" s="278">
        <f>SUM(L880:P880)</f>
        <v>0</v>
      </c>
      <c r="R880" s="16"/>
      <c r="S880" s="15"/>
      <c r="T880" s="112">
        <v>2</v>
      </c>
    </row>
    <row r="881" spans="1:20" x14ac:dyDescent="0.2">
      <c r="A881" s="17" t="s">
        <v>1103</v>
      </c>
      <c r="B881" s="45"/>
      <c r="C881" s="51" t="s">
        <v>1104</v>
      </c>
      <c r="D881" s="18"/>
      <c r="E881" s="97"/>
      <c r="F881" s="98"/>
      <c r="G881" s="98"/>
      <c r="H881" s="98"/>
      <c r="I881" s="98"/>
      <c r="J881" s="99">
        <f t="shared" si="477"/>
        <v>0</v>
      </c>
      <c r="K881" s="116"/>
      <c r="L881" s="35">
        <f t="shared" si="478"/>
        <v>0</v>
      </c>
      <c r="M881" s="34">
        <f t="shared" si="478"/>
        <v>0</v>
      </c>
      <c r="N881" s="34">
        <f t="shared" si="478"/>
        <v>0</v>
      </c>
      <c r="O881" s="34">
        <f t="shared" si="478"/>
        <v>0</v>
      </c>
      <c r="P881" s="269">
        <f t="shared" si="478"/>
        <v>0</v>
      </c>
      <c r="Q881" s="279">
        <f>SUM(L881:P881)</f>
        <v>0</v>
      </c>
      <c r="R881" s="19"/>
      <c r="S881" s="18"/>
      <c r="T881" s="51"/>
    </row>
    <row r="882" spans="1:20" x14ac:dyDescent="0.2">
      <c r="A882" s="20" t="s">
        <v>1105</v>
      </c>
      <c r="B882" s="46"/>
      <c r="C882" s="51"/>
      <c r="D882" s="21"/>
      <c r="E882" s="96"/>
      <c r="F882" s="100"/>
      <c r="G882" s="100"/>
      <c r="H882" s="100"/>
      <c r="I882" s="100"/>
      <c r="J882" s="101">
        <f t="shared" si="477"/>
        <v>0</v>
      </c>
      <c r="K882" s="115"/>
      <c r="L882" s="161">
        <f t="shared" ref="L882:Q882" si="479">SUM(L883:L883)</f>
        <v>7380000</v>
      </c>
      <c r="M882" s="157">
        <f t="shared" si="479"/>
        <v>7380000</v>
      </c>
      <c r="N882" s="157">
        <f t="shared" si="479"/>
        <v>7380000</v>
      </c>
      <c r="O882" s="157">
        <f t="shared" si="479"/>
        <v>7380000</v>
      </c>
      <c r="P882" s="270">
        <f t="shared" si="479"/>
        <v>7380000</v>
      </c>
      <c r="Q882" s="284">
        <f t="shared" si="479"/>
        <v>36900000</v>
      </c>
      <c r="R882" s="39" t="s">
        <v>862</v>
      </c>
      <c r="S882" s="115" t="s">
        <v>670</v>
      </c>
      <c r="T882" s="51"/>
    </row>
    <row r="883" spans="1:20" x14ac:dyDescent="0.2">
      <c r="A883" s="95">
        <v>50</v>
      </c>
      <c r="B883" s="108" t="str">
        <f>IF(A883&lt;&gt;0,INDEX(Coûts,'PA-Détails'!A883, 2),)</f>
        <v>Table banc/Table (ETFP)</v>
      </c>
      <c r="C883" s="51"/>
      <c r="D883" s="94" t="str">
        <f>IF(A883&lt;&gt;0,INDEX(Coûts, 'PA-Détails'!A883, 5),)</f>
        <v>Unité</v>
      </c>
      <c r="E883" s="96">
        <f>H!E99</f>
        <v>73800</v>
      </c>
      <c r="F883" s="100">
        <f>E883</f>
        <v>73800</v>
      </c>
      <c r="G883" s="100">
        <f>F883</f>
        <v>73800</v>
      </c>
      <c r="H883" s="100">
        <f>G883</f>
        <v>73800</v>
      </c>
      <c r="I883" s="100">
        <f>H883</f>
        <v>73800</v>
      </c>
      <c r="J883" s="101">
        <f t="shared" si="477"/>
        <v>369000</v>
      </c>
      <c r="K883" s="115">
        <f>IF(A883&lt;&gt;0,INDEX(Coûts, 'PA-Détails'!A883, 3),)</f>
        <v>100</v>
      </c>
      <c r="L883" s="37">
        <f t="shared" ref="L883:P884" si="480">ROUND(+$K883*E883,0)</f>
        <v>7380000</v>
      </c>
      <c r="M883" s="36">
        <f t="shared" si="480"/>
        <v>7380000</v>
      </c>
      <c r="N883" s="36">
        <f t="shared" si="480"/>
        <v>7380000</v>
      </c>
      <c r="O883" s="36">
        <f t="shared" si="480"/>
        <v>7380000</v>
      </c>
      <c r="P883" s="268">
        <f t="shared" si="480"/>
        <v>7380000</v>
      </c>
      <c r="Q883" s="281">
        <f>SUM(L883:P883)</f>
        <v>36900000</v>
      </c>
      <c r="R883" s="22"/>
      <c r="S883" s="21"/>
      <c r="T883" s="51"/>
    </row>
    <row r="884" spans="1:20" x14ac:dyDescent="0.2">
      <c r="A884" s="17" t="s">
        <v>1106</v>
      </c>
      <c r="B884" s="45"/>
      <c r="C884" s="51" t="s">
        <v>515</v>
      </c>
      <c r="D884" s="18"/>
      <c r="E884" s="97"/>
      <c r="F884" s="98"/>
      <c r="G884" s="98"/>
      <c r="H884" s="98"/>
      <c r="I884" s="98"/>
      <c r="J884" s="99">
        <f t="shared" si="477"/>
        <v>0</v>
      </c>
      <c r="K884" s="116"/>
      <c r="L884" s="35">
        <f t="shared" si="480"/>
        <v>0</v>
      </c>
      <c r="M884" s="34">
        <f t="shared" si="480"/>
        <v>0</v>
      </c>
      <c r="N884" s="34">
        <f t="shared" si="480"/>
        <v>0</v>
      </c>
      <c r="O884" s="34">
        <f t="shared" si="480"/>
        <v>0</v>
      </c>
      <c r="P884" s="269">
        <f t="shared" si="480"/>
        <v>0</v>
      </c>
      <c r="Q884" s="279">
        <f>SUM(L884:P884)</f>
        <v>0</v>
      </c>
      <c r="R884" s="19"/>
      <c r="S884" s="18"/>
      <c r="T884" s="51"/>
    </row>
    <row r="885" spans="1:20" x14ac:dyDescent="0.2">
      <c r="A885" s="20" t="s">
        <v>516</v>
      </c>
      <c r="B885" s="46"/>
      <c r="C885" s="51"/>
      <c r="D885" s="21"/>
      <c r="E885" s="96"/>
      <c r="F885" s="100"/>
      <c r="G885" s="100"/>
      <c r="H885" s="100"/>
      <c r="I885" s="100"/>
      <c r="J885" s="101">
        <f t="shared" si="477"/>
        <v>0</v>
      </c>
      <c r="K885" s="115"/>
      <c r="L885" s="161">
        <f t="shared" ref="L885:Q885" si="481">SUM(L886:L886)</f>
        <v>200000</v>
      </c>
      <c r="M885" s="157">
        <f t="shared" si="481"/>
        <v>200000</v>
      </c>
      <c r="N885" s="157">
        <f t="shared" si="481"/>
        <v>200000</v>
      </c>
      <c r="O885" s="157">
        <f t="shared" si="481"/>
        <v>200000</v>
      </c>
      <c r="P885" s="270">
        <f t="shared" si="481"/>
        <v>200000</v>
      </c>
      <c r="Q885" s="284">
        <f t="shared" si="481"/>
        <v>1000000</v>
      </c>
      <c r="R885" s="39" t="s">
        <v>862</v>
      </c>
      <c r="S885" s="115" t="s">
        <v>665</v>
      </c>
      <c r="T885" s="51"/>
    </row>
    <row r="886" spans="1:20" x14ac:dyDescent="0.2">
      <c r="A886" s="95">
        <v>51</v>
      </c>
      <c r="B886" s="108" t="str">
        <f>IF(A886&lt;&gt;0,INDEX(Coûts,'PA-Détails'!A886, 2),)</f>
        <v>Kit d'équipements sportifs</v>
      </c>
      <c r="C886" s="51"/>
      <c r="D886" s="94" t="str">
        <f>IF(A886&lt;&gt;0,INDEX(Coûts, 'PA-Détails'!A886, 5),)</f>
        <v>Forfait</v>
      </c>
      <c r="E886" s="96">
        <f>H!E100</f>
        <v>2000</v>
      </c>
      <c r="F886" s="100">
        <f>E886</f>
        <v>2000</v>
      </c>
      <c r="G886" s="100">
        <f>F886</f>
        <v>2000</v>
      </c>
      <c r="H886" s="100">
        <f>G886</f>
        <v>2000</v>
      </c>
      <c r="I886" s="100">
        <f>H886</f>
        <v>2000</v>
      </c>
      <c r="J886" s="101">
        <f t="shared" si="477"/>
        <v>10000</v>
      </c>
      <c r="K886" s="115">
        <f>IF(A886&lt;&gt;0,INDEX(Coûts, 'PA-Détails'!A886, 3),)</f>
        <v>100</v>
      </c>
      <c r="L886" s="37">
        <f t="shared" ref="L886:P887" si="482">ROUND(+$K886*E886,0)</f>
        <v>200000</v>
      </c>
      <c r="M886" s="36">
        <f t="shared" si="482"/>
        <v>200000</v>
      </c>
      <c r="N886" s="36">
        <f t="shared" si="482"/>
        <v>200000</v>
      </c>
      <c r="O886" s="36">
        <f t="shared" si="482"/>
        <v>200000</v>
      </c>
      <c r="P886" s="268">
        <f t="shared" si="482"/>
        <v>200000</v>
      </c>
      <c r="Q886" s="281">
        <f>SUM(L886:P886)</f>
        <v>1000000</v>
      </c>
      <c r="R886" s="22"/>
      <c r="S886" s="21"/>
      <c r="T886" s="51"/>
    </row>
    <row r="887" spans="1:20" x14ac:dyDescent="0.2">
      <c r="A887" s="17" t="s">
        <v>1107</v>
      </c>
      <c r="B887" s="45"/>
      <c r="C887" s="51" t="s">
        <v>517</v>
      </c>
      <c r="D887" s="18"/>
      <c r="E887" s="97"/>
      <c r="F887" s="98"/>
      <c r="G887" s="98"/>
      <c r="H887" s="98"/>
      <c r="I887" s="98"/>
      <c r="J887" s="99">
        <f t="shared" si="477"/>
        <v>0</v>
      </c>
      <c r="K887" s="116"/>
      <c r="L887" s="35">
        <f t="shared" si="482"/>
        <v>0</v>
      </c>
      <c r="M887" s="34">
        <f t="shared" si="482"/>
        <v>0</v>
      </c>
      <c r="N887" s="34">
        <f t="shared" si="482"/>
        <v>0</v>
      </c>
      <c r="O887" s="34">
        <f t="shared" si="482"/>
        <v>0</v>
      </c>
      <c r="P887" s="269">
        <f t="shared" si="482"/>
        <v>0</v>
      </c>
      <c r="Q887" s="279">
        <f>SUM(L887:P887)</f>
        <v>0</v>
      </c>
      <c r="R887" s="19"/>
      <c r="S887" s="18"/>
      <c r="T887" s="51"/>
    </row>
    <row r="888" spans="1:20" x14ac:dyDescent="0.2">
      <c r="A888" s="20" t="s">
        <v>518</v>
      </c>
      <c r="B888" s="46"/>
      <c r="C888" s="51"/>
      <c r="D888" s="21"/>
      <c r="E888" s="96"/>
      <c r="F888" s="100"/>
      <c r="G888" s="100"/>
      <c r="H888" s="100"/>
      <c r="I888" s="100"/>
      <c r="J888" s="101">
        <f t="shared" si="477"/>
        <v>0</v>
      </c>
      <c r="K888" s="115"/>
      <c r="L888" s="161">
        <f t="shared" ref="L888:Q888" si="483">SUM(L889:L889)</f>
        <v>7500</v>
      </c>
      <c r="M888" s="157">
        <f t="shared" si="483"/>
        <v>0</v>
      </c>
      <c r="N888" s="157">
        <f t="shared" si="483"/>
        <v>0</v>
      </c>
      <c r="O888" s="157">
        <f t="shared" si="483"/>
        <v>0</v>
      </c>
      <c r="P888" s="270">
        <f t="shared" si="483"/>
        <v>0</v>
      </c>
      <c r="Q888" s="284">
        <f t="shared" si="483"/>
        <v>7500</v>
      </c>
      <c r="R888" s="39" t="s">
        <v>862</v>
      </c>
      <c r="S888" s="115" t="s">
        <v>665</v>
      </c>
      <c r="T888" s="51"/>
    </row>
    <row r="889" spans="1:20" x14ac:dyDescent="0.2">
      <c r="A889" s="95">
        <v>2</v>
      </c>
      <c r="B889" s="108" t="str">
        <f>IF(A889&lt;&gt;0,INDEX(Coûts,'PA-Détails'!A889, 2),)</f>
        <v>Assistance technique nationale (consultants)</v>
      </c>
      <c r="C889" s="51"/>
      <c r="D889" s="94" t="str">
        <f>IF(A889&lt;&gt;0,INDEX(Coûts, 'PA-Détails'!A889, 5),)</f>
        <v>Pers / j</v>
      </c>
      <c r="E889" s="96">
        <v>25</v>
      </c>
      <c r="F889" s="100"/>
      <c r="G889" s="100"/>
      <c r="H889" s="100"/>
      <c r="I889" s="100"/>
      <c r="J889" s="101">
        <f t="shared" si="477"/>
        <v>25</v>
      </c>
      <c r="K889" s="115">
        <f>IF(A889&lt;&gt;0,INDEX(Coûts, 'PA-Détails'!A889, 3),)</f>
        <v>300</v>
      </c>
      <c r="L889" s="37">
        <f>ROUND(+$K889*E889,0)</f>
        <v>7500</v>
      </c>
      <c r="M889" s="36">
        <f>ROUND(+$K889*F889,0)</f>
        <v>0</v>
      </c>
      <c r="N889" s="36">
        <f>ROUND(+$K889*G889,0)</f>
        <v>0</v>
      </c>
      <c r="O889" s="36">
        <f>ROUND(+$K889*H889,0)</f>
        <v>0</v>
      </c>
      <c r="P889" s="268">
        <f>ROUND(+$K889*I889,0)</f>
        <v>0</v>
      </c>
      <c r="Q889" s="281">
        <f>SUM(L889:P889)</f>
        <v>7500</v>
      </c>
      <c r="R889" s="22"/>
      <c r="S889" s="21"/>
      <c r="T889" s="51"/>
    </row>
    <row r="890" spans="1:20" x14ac:dyDescent="0.2">
      <c r="A890" s="20" t="s">
        <v>519</v>
      </c>
      <c r="B890" s="46"/>
      <c r="C890" s="51"/>
      <c r="D890" s="21"/>
      <c r="E890" s="96"/>
      <c r="F890" s="100"/>
      <c r="G890" s="100"/>
      <c r="H890" s="100"/>
      <c r="I890" s="100"/>
      <c r="J890" s="101">
        <f t="shared" si="477"/>
        <v>0</v>
      </c>
      <c r="K890" s="115"/>
      <c r="L890" s="161">
        <f t="shared" ref="L890:Q890" si="484">SUM(L891:L893)</f>
        <v>68500</v>
      </c>
      <c r="M890" s="157">
        <f t="shared" si="484"/>
        <v>0</v>
      </c>
      <c r="N890" s="157">
        <f t="shared" si="484"/>
        <v>0</v>
      </c>
      <c r="O890" s="157">
        <f t="shared" si="484"/>
        <v>0</v>
      </c>
      <c r="P890" s="270">
        <f t="shared" si="484"/>
        <v>0</v>
      </c>
      <c r="Q890" s="284">
        <f t="shared" si="484"/>
        <v>68500</v>
      </c>
      <c r="R890" s="39" t="s">
        <v>862</v>
      </c>
      <c r="S890" s="115" t="s">
        <v>665</v>
      </c>
      <c r="T890" s="51"/>
    </row>
    <row r="891" spans="1:20" x14ac:dyDescent="0.2">
      <c r="A891" s="95">
        <v>2</v>
      </c>
      <c r="B891" s="108" t="str">
        <f>IF(A891&lt;&gt;0,INDEX(Coûts,'PA-Détails'!A891, 2),)</f>
        <v>Assistance technique nationale (consultants)</v>
      </c>
      <c r="C891" s="51"/>
      <c r="D891" s="94" t="str">
        <f>IF(A891&lt;&gt;0,INDEX(Coûts, 'PA-Détails'!A891, 5),)</f>
        <v>Pers / j</v>
      </c>
      <c r="E891" s="96">
        <v>20</v>
      </c>
      <c r="F891" s="100"/>
      <c r="G891" s="100"/>
      <c r="H891" s="100"/>
      <c r="I891" s="100"/>
      <c r="J891" s="101">
        <f t="shared" si="477"/>
        <v>20</v>
      </c>
      <c r="K891" s="115">
        <f>IF(A891&lt;&gt;0,INDEX(Coûts, 'PA-Détails'!A891, 3),)</f>
        <v>300</v>
      </c>
      <c r="L891" s="37">
        <f t="shared" ref="L891:P893" si="485">ROUND(+$K891*E891,0)</f>
        <v>6000</v>
      </c>
      <c r="M891" s="36">
        <f t="shared" si="485"/>
        <v>0</v>
      </c>
      <c r="N891" s="36">
        <f t="shared" si="485"/>
        <v>0</v>
      </c>
      <c r="O891" s="36">
        <f t="shared" si="485"/>
        <v>0</v>
      </c>
      <c r="P891" s="268">
        <f t="shared" si="485"/>
        <v>0</v>
      </c>
      <c r="Q891" s="281">
        <f>SUM(L891:P891)</f>
        <v>6000</v>
      </c>
      <c r="R891" s="22"/>
      <c r="S891" s="21"/>
      <c r="T891" s="51"/>
    </row>
    <row r="892" spans="1:20" x14ac:dyDescent="0.2">
      <c r="A892" s="95">
        <v>5</v>
      </c>
      <c r="B892" s="108" t="str">
        <f>IF(A892&lt;&gt;0,INDEX(Coûts,'PA-Détails'!A892, 2),)</f>
        <v>Atelier de validation</v>
      </c>
      <c r="C892" s="51"/>
      <c r="D892" s="94" t="str">
        <f>IF(A892&lt;&gt;0,INDEX(Coûts, 'PA-Détails'!A892, 5),)</f>
        <v>Pers / j</v>
      </c>
      <c r="E892" s="96">
        <v>50</v>
      </c>
      <c r="F892" s="100"/>
      <c r="G892" s="100"/>
      <c r="H892" s="100"/>
      <c r="I892" s="100"/>
      <c r="J892" s="101">
        <f t="shared" si="477"/>
        <v>50</v>
      </c>
      <c r="K892" s="115">
        <f>IF(A892&lt;&gt;0,INDEX(Coûts, 'PA-Détails'!A892, 3),)</f>
        <v>50</v>
      </c>
      <c r="L892" s="37">
        <f t="shared" si="485"/>
        <v>2500</v>
      </c>
      <c r="M892" s="36">
        <f t="shared" si="485"/>
        <v>0</v>
      </c>
      <c r="N892" s="36">
        <f t="shared" si="485"/>
        <v>0</v>
      </c>
      <c r="O892" s="36">
        <f t="shared" si="485"/>
        <v>0</v>
      </c>
      <c r="P892" s="268">
        <f t="shared" si="485"/>
        <v>0</v>
      </c>
      <c r="Q892" s="281">
        <f>SUM(L892:P892)</f>
        <v>2500</v>
      </c>
      <c r="R892" s="22"/>
      <c r="S892" s="21"/>
      <c r="T892" s="51"/>
    </row>
    <row r="893" spans="1:20" x14ac:dyDescent="0.2">
      <c r="A893" s="95">
        <v>12</v>
      </c>
      <c r="B893" s="108" t="str">
        <f>IF(A893&lt;&gt;0,INDEX(Coûts,'PA-Détails'!A893, 2),)</f>
        <v>Formation - Action et Formation de formateurs</v>
      </c>
      <c r="C893" s="51"/>
      <c r="D893" s="94" t="str">
        <f>IF(A893&lt;&gt;0,INDEX(Coûts, 'PA-Détails'!A893, 5),)</f>
        <v>Pers / j</v>
      </c>
      <c r="E893" s="96">
        <v>400</v>
      </c>
      <c r="F893" s="100"/>
      <c r="G893" s="100"/>
      <c r="H893" s="100"/>
      <c r="I893" s="100"/>
      <c r="J893" s="101">
        <f t="shared" si="477"/>
        <v>400</v>
      </c>
      <c r="K893" s="115">
        <f>IF(A893&lt;&gt;0,INDEX(Coûts, 'PA-Détails'!A893, 3),)</f>
        <v>150</v>
      </c>
      <c r="L893" s="37">
        <f t="shared" si="485"/>
        <v>60000</v>
      </c>
      <c r="M893" s="36">
        <f t="shared" si="485"/>
        <v>0</v>
      </c>
      <c r="N893" s="36">
        <f t="shared" si="485"/>
        <v>0</v>
      </c>
      <c r="O893" s="36">
        <f t="shared" si="485"/>
        <v>0</v>
      </c>
      <c r="P893" s="268">
        <f t="shared" si="485"/>
        <v>0</v>
      </c>
      <c r="Q893" s="281">
        <f>SUM(L893:P893)</f>
        <v>60000</v>
      </c>
      <c r="R893" s="22"/>
      <c r="S893" s="21"/>
      <c r="T893" s="51"/>
    </row>
    <row r="894" spans="1:20" x14ac:dyDescent="0.2">
      <c r="A894" s="20" t="s">
        <v>1001</v>
      </c>
      <c r="B894" s="46"/>
      <c r="C894" s="51"/>
      <c r="D894" s="21"/>
      <c r="E894" s="96"/>
      <c r="F894" s="100"/>
      <c r="G894" s="100"/>
      <c r="H894" s="100"/>
      <c r="I894" s="100"/>
      <c r="J894" s="101">
        <f t="shared" si="477"/>
        <v>0</v>
      </c>
      <c r="K894" s="115"/>
      <c r="L894" s="161">
        <f t="shared" ref="L894:Q894" si="486">SUM(L895:L896)</f>
        <v>1200000</v>
      </c>
      <c r="M894" s="157">
        <f t="shared" si="486"/>
        <v>1200000</v>
      </c>
      <c r="N894" s="157">
        <f t="shared" si="486"/>
        <v>1200000</v>
      </c>
      <c r="O894" s="157">
        <f t="shared" si="486"/>
        <v>1200000</v>
      </c>
      <c r="P894" s="270">
        <f t="shared" si="486"/>
        <v>1200000</v>
      </c>
      <c r="Q894" s="284">
        <f t="shared" si="486"/>
        <v>6000000</v>
      </c>
      <c r="R894" s="39" t="s">
        <v>862</v>
      </c>
      <c r="S894" s="115" t="s">
        <v>665</v>
      </c>
      <c r="T894" s="51"/>
    </row>
    <row r="895" spans="1:20" x14ac:dyDescent="0.2">
      <c r="A895" s="95">
        <v>37</v>
      </c>
      <c r="B895" s="108" t="str">
        <f>IF(A895&lt;&gt;0,INDEX(Coûts,'PA-Détails'!A895, 2),)</f>
        <v>Équipement de bibliothèque</v>
      </c>
      <c r="C895" s="51"/>
      <c r="D895" s="94" t="str">
        <f>IF(A895&lt;&gt;0,INDEX(Coûts, 'PA-Détails'!A895, 5),)</f>
        <v>Unité</v>
      </c>
      <c r="E895" s="96">
        <f>E886</f>
        <v>2000</v>
      </c>
      <c r="F895" s="100">
        <f>E895</f>
        <v>2000</v>
      </c>
      <c r="G895" s="100">
        <f>F895</f>
        <v>2000</v>
      </c>
      <c r="H895" s="100">
        <f>G895</f>
        <v>2000</v>
      </c>
      <c r="I895" s="100">
        <f>H895</f>
        <v>2000</v>
      </c>
      <c r="J895" s="101">
        <f t="shared" si="477"/>
        <v>10000</v>
      </c>
      <c r="K895" s="115">
        <f>IF(A895&lt;&gt;0,INDEX(Coûts, 'PA-Détails'!A895, 3),)</f>
        <v>500</v>
      </c>
      <c r="L895" s="37">
        <f t="shared" ref="L895:P897" si="487">ROUND(+$K895*E895,0)</f>
        <v>1000000</v>
      </c>
      <c r="M895" s="36">
        <f t="shared" si="487"/>
        <v>1000000</v>
      </c>
      <c r="N895" s="36">
        <f t="shared" si="487"/>
        <v>1000000</v>
      </c>
      <c r="O895" s="36">
        <f t="shared" si="487"/>
        <v>1000000</v>
      </c>
      <c r="P895" s="268">
        <f t="shared" si="487"/>
        <v>1000000</v>
      </c>
      <c r="Q895" s="281">
        <f>SUM(L895:P895)</f>
        <v>5000000</v>
      </c>
      <c r="R895" s="22"/>
      <c r="S895" s="21"/>
      <c r="T895" s="51"/>
    </row>
    <row r="896" spans="1:20" x14ac:dyDescent="0.2">
      <c r="A896" s="95">
        <v>59</v>
      </c>
      <c r="B896" s="108" t="str">
        <f>IF(A896&lt;&gt;0,INDEX(Coûts,'PA-Détails'!A896, 2),)</f>
        <v>Acquisition et distribution de plaquettes/brochures/guides/livres</v>
      </c>
      <c r="C896" s="51"/>
      <c r="D896" s="94" t="str">
        <f>IF(A896&lt;&gt;0,INDEX(Coûts, 'PA-Détails'!A896, 5),)</f>
        <v>Unité</v>
      </c>
      <c r="E896" s="96">
        <f>50*E895</f>
        <v>100000</v>
      </c>
      <c r="F896" s="100">
        <f>50*F895</f>
        <v>100000</v>
      </c>
      <c r="G896" s="100">
        <f>50*G895</f>
        <v>100000</v>
      </c>
      <c r="H896" s="100">
        <f>50*H895</f>
        <v>100000</v>
      </c>
      <c r="I896" s="100">
        <f>50*I895</f>
        <v>100000</v>
      </c>
      <c r="J896" s="101">
        <f t="shared" si="477"/>
        <v>500000</v>
      </c>
      <c r="K896" s="115">
        <f>IF(A896&lt;&gt;0,INDEX(Coûts, 'PA-Détails'!A896, 3),)</f>
        <v>2</v>
      </c>
      <c r="L896" s="37">
        <f t="shared" si="487"/>
        <v>200000</v>
      </c>
      <c r="M896" s="36">
        <f t="shared" si="487"/>
        <v>200000</v>
      </c>
      <c r="N896" s="36">
        <f t="shared" si="487"/>
        <v>200000</v>
      </c>
      <c r="O896" s="36">
        <f t="shared" si="487"/>
        <v>200000</v>
      </c>
      <c r="P896" s="268">
        <f t="shared" si="487"/>
        <v>200000</v>
      </c>
      <c r="Q896" s="281">
        <f>SUM(L896:P896)</f>
        <v>1000000</v>
      </c>
      <c r="R896" s="22"/>
      <c r="S896" s="21"/>
      <c r="T896" s="51"/>
    </row>
    <row r="897" spans="1:20" x14ac:dyDescent="0.2">
      <c r="A897" s="17" t="s">
        <v>1002</v>
      </c>
      <c r="B897" s="45"/>
      <c r="C897" s="51"/>
      <c r="D897" s="18"/>
      <c r="E897" s="97"/>
      <c r="F897" s="98"/>
      <c r="G897" s="98"/>
      <c r="H897" s="98"/>
      <c r="I897" s="98"/>
      <c r="J897" s="99">
        <f t="shared" si="477"/>
        <v>0</v>
      </c>
      <c r="K897" s="116"/>
      <c r="L897" s="35">
        <f t="shared" si="487"/>
        <v>0</v>
      </c>
      <c r="M897" s="34">
        <f t="shared" si="487"/>
        <v>0</v>
      </c>
      <c r="N897" s="34">
        <f t="shared" si="487"/>
        <v>0</v>
      </c>
      <c r="O897" s="34">
        <f t="shared" si="487"/>
        <v>0</v>
      </c>
      <c r="P897" s="269">
        <f t="shared" si="487"/>
        <v>0</v>
      </c>
      <c r="Q897" s="279">
        <f>SUM(L897:P897)</f>
        <v>0</v>
      </c>
      <c r="R897" s="38"/>
      <c r="S897" s="116"/>
      <c r="T897" s="50"/>
    </row>
    <row r="898" spans="1:20" x14ac:dyDescent="0.2">
      <c r="A898" s="20" t="s">
        <v>1003</v>
      </c>
      <c r="B898" s="149"/>
      <c r="C898" s="51"/>
      <c r="D898" s="21"/>
      <c r="E898" s="96"/>
      <c r="F898" s="100"/>
      <c r="G898" s="100"/>
      <c r="H898" s="100"/>
      <c r="I898" s="100"/>
      <c r="J898" s="101">
        <f t="shared" si="477"/>
        <v>0</v>
      </c>
      <c r="K898" s="115"/>
      <c r="L898" s="161">
        <f t="shared" ref="L898:Q898" si="488">SUM(L899:L899)</f>
        <v>500000</v>
      </c>
      <c r="M898" s="157">
        <f t="shared" si="488"/>
        <v>500000</v>
      </c>
      <c r="N898" s="157">
        <f t="shared" si="488"/>
        <v>500000</v>
      </c>
      <c r="O898" s="157">
        <f t="shared" si="488"/>
        <v>500000</v>
      </c>
      <c r="P898" s="270">
        <f t="shared" si="488"/>
        <v>500000</v>
      </c>
      <c r="Q898" s="284">
        <f t="shared" si="488"/>
        <v>2500000</v>
      </c>
      <c r="R898" s="39" t="s">
        <v>1410</v>
      </c>
      <c r="S898" s="115" t="s">
        <v>665</v>
      </c>
      <c r="T898" s="51"/>
    </row>
    <row r="899" spans="1:20" x14ac:dyDescent="0.2">
      <c r="A899" s="95">
        <v>55</v>
      </c>
      <c r="B899" s="108" t="str">
        <f>IF(A899&lt;&gt;0,INDEX(Coûts,'PA-Détails'!A899, 2),)</f>
        <v>Ordinateur portable</v>
      </c>
      <c r="C899" s="51" t="s">
        <v>610</v>
      </c>
      <c r="D899" s="94" t="str">
        <f>IF(A899&lt;&gt;0,INDEX(Coûts, 'PA-Détails'!A899, 5),)</f>
        <v>Unité</v>
      </c>
      <c r="E899" s="96">
        <v>500</v>
      </c>
      <c r="F899" s="100">
        <v>500</v>
      </c>
      <c r="G899" s="100">
        <v>500</v>
      </c>
      <c r="H899" s="100">
        <v>500</v>
      </c>
      <c r="I899" s="100">
        <v>500</v>
      </c>
      <c r="J899" s="101">
        <f t="shared" si="477"/>
        <v>2500</v>
      </c>
      <c r="K899" s="115">
        <f>IF(A899&lt;&gt;0,INDEX(Coûts, 'PA-Détails'!A899, 3),)</f>
        <v>1000</v>
      </c>
      <c r="L899" s="37">
        <f t="shared" ref="L899:P901" si="489">ROUND(+$K899*E899,0)</f>
        <v>500000</v>
      </c>
      <c r="M899" s="36">
        <f t="shared" si="489"/>
        <v>500000</v>
      </c>
      <c r="N899" s="36">
        <f t="shared" si="489"/>
        <v>500000</v>
      </c>
      <c r="O899" s="36">
        <f t="shared" si="489"/>
        <v>500000</v>
      </c>
      <c r="P899" s="268">
        <f t="shared" si="489"/>
        <v>500000</v>
      </c>
      <c r="Q899" s="281">
        <f>SUM(L899:P899)</f>
        <v>2500000</v>
      </c>
      <c r="R899" s="39"/>
      <c r="S899" s="115"/>
      <c r="T899" s="51"/>
    </row>
    <row r="900" spans="1:20" x14ac:dyDescent="0.2">
      <c r="A900" s="14" t="s">
        <v>977</v>
      </c>
      <c r="B900" s="44"/>
      <c r="C900" s="112"/>
      <c r="D900" s="15"/>
      <c r="E900" s="102"/>
      <c r="F900" s="103"/>
      <c r="G900" s="103"/>
      <c r="H900" s="103"/>
      <c r="I900" s="103"/>
      <c r="J900" s="104">
        <f t="shared" si="477"/>
        <v>0</v>
      </c>
      <c r="K900" s="145"/>
      <c r="L900" s="33">
        <f t="shared" si="489"/>
        <v>0</v>
      </c>
      <c r="M900" s="32">
        <f t="shared" si="489"/>
        <v>0</v>
      </c>
      <c r="N900" s="32">
        <f t="shared" si="489"/>
        <v>0</v>
      </c>
      <c r="O900" s="32">
        <f t="shared" si="489"/>
        <v>0</v>
      </c>
      <c r="P900" s="267">
        <f t="shared" si="489"/>
        <v>0</v>
      </c>
      <c r="Q900" s="278">
        <f>SUM(L900:P900)</f>
        <v>0</v>
      </c>
      <c r="R900" s="16"/>
      <c r="S900" s="15"/>
      <c r="T900" s="112"/>
    </row>
    <row r="901" spans="1:20" x14ac:dyDescent="0.2">
      <c r="A901" s="17" t="s">
        <v>104</v>
      </c>
      <c r="B901" s="45"/>
      <c r="C901" s="51" t="s">
        <v>520</v>
      </c>
      <c r="D901" s="18"/>
      <c r="E901" s="97"/>
      <c r="F901" s="98"/>
      <c r="G901" s="98"/>
      <c r="H901" s="98"/>
      <c r="I901" s="98"/>
      <c r="J901" s="99">
        <f t="shared" si="477"/>
        <v>0</v>
      </c>
      <c r="K901" s="116"/>
      <c r="L901" s="35">
        <f t="shared" si="489"/>
        <v>0</v>
      </c>
      <c r="M901" s="34">
        <f t="shared" si="489"/>
        <v>0</v>
      </c>
      <c r="N901" s="34">
        <f t="shared" si="489"/>
        <v>0</v>
      </c>
      <c r="O901" s="34">
        <f t="shared" si="489"/>
        <v>0</v>
      </c>
      <c r="P901" s="269">
        <f t="shared" si="489"/>
        <v>0</v>
      </c>
      <c r="Q901" s="279">
        <f>SUM(L901:P901)</f>
        <v>0</v>
      </c>
      <c r="R901" s="19"/>
      <c r="S901" s="18"/>
      <c r="T901" s="51">
        <v>2</v>
      </c>
    </row>
    <row r="902" spans="1:20" x14ac:dyDescent="0.2">
      <c r="A902" s="20" t="s">
        <v>1108</v>
      </c>
      <c r="B902" s="46"/>
      <c r="C902" s="51"/>
      <c r="D902" s="21"/>
      <c r="E902" s="96"/>
      <c r="F902" s="100"/>
      <c r="G902" s="100"/>
      <c r="H902" s="100"/>
      <c r="I902" s="100"/>
      <c r="J902" s="101">
        <f t="shared" si="477"/>
        <v>0</v>
      </c>
      <c r="K902" s="115"/>
      <c r="L902" s="161">
        <f t="shared" ref="L902:Q902" si="490">SUM(L903:L905)</f>
        <v>77500</v>
      </c>
      <c r="M902" s="157">
        <f t="shared" si="490"/>
        <v>0</v>
      </c>
      <c r="N902" s="157">
        <f t="shared" si="490"/>
        <v>0</v>
      </c>
      <c r="O902" s="157">
        <f t="shared" si="490"/>
        <v>0</v>
      </c>
      <c r="P902" s="270">
        <f t="shared" si="490"/>
        <v>0</v>
      </c>
      <c r="Q902" s="284">
        <f t="shared" si="490"/>
        <v>77500</v>
      </c>
      <c r="R902" s="39" t="s">
        <v>862</v>
      </c>
      <c r="S902" s="115" t="s">
        <v>665</v>
      </c>
      <c r="T902" s="51"/>
    </row>
    <row r="903" spans="1:20" x14ac:dyDescent="0.2">
      <c r="A903" s="95">
        <v>1</v>
      </c>
      <c r="B903" s="108" t="str">
        <f>IF(A903&lt;&gt;0,INDEX(Coûts,'PA-Détails'!A903, 2),)</f>
        <v>Assistance technique internationale (consultants)</v>
      </c>
      <c r="C903" s="51"/>
      <c r="D903" s="94" t="str">
        <f>IF(A903&lt;&gt;0,INDEX(Coûts, 'PA-Détails'!A903, 5),)</f>
        <v>Pers / j</v>
      </c>
      <c r="E903" s="96">
        <v>50</v>
      </c>
      <c r="F903" s="100"/>
      <c r="G903" s="100"/>
      <c r="H903" s="100"/>
      <c r="I903" s="100"/>
      <c r="J903" s="101">
        <f t="shared" si="477"/>
        <v>50</v>
      </c>
      <c r="K903" s="115">
        <f>IF(A903&lt;&gt;0,INDEX(Coûts, 'PA-Détails'!A903, 3),)</f>
        <v>1150</v>
      </c>
      <c r="L903" s="37">
        <f t="shared" ref="L903:P905" si="491">ROUND(+$K903*E903,0)</f>
        <v>57500</v>
      </c>
      <c r="M903" s="36">
        <f t="shared" si="491"/>
        <v>0</v>
      </c>
      <c r="N903" s="36">
        <f t="shared" si="491"/>
        <v>0</v>
      </c>
      <c r="O903" s="36">
        <f t="shared" si="491"/>
        <v>0</v>
      </c>
      <c r="P903" s="268">
        <f t="shared" si="491"/>
        <v>0</v>
      </c>
      <c r="Q903" s="281">
        <f>SUM(L903:P903)</f>
        <v>57500</v>
      </c>
      <c r="R903" s="22"/>
      <c r="S903" s="21"/>
      <c r="T903" s="51"/>
    </row>
    <row r="904" spans="1:20" x14ac:dyDescent="0.2">
      <c r="A904" s="95">
        <v>2</v>
      </c>
      <c r="B904" s="108" t="str">
        <f>IF(A904&lt;&gt;0,INDEX(Coûts,'PA-Détails'!A904, 2),)</f>
        <v>Assistance technique nationale (consultants)</v>
      </c>
      <c r="C904" s="51"/>
      <c r="D904" s="94" t="str">
        <f>IF(A904&lt;&gt;0,INDEX(Coûts, 'PA-Détails'!A904, 5),)</f>
        <v>Pers / j</v>
      </c>
      <c r="E904" s="96">
        <v>50</v>
      </c>
      <c r="F904" s="100"/>
      <c r="G904" s="100"/>
      <c r="H904" s="100"/>
      <c r="I904" s="100"/>
      <c r="J904" s="101">
        <f t="shared" si="477"/>
        <v>50</v>
      </c>
      <c r="K904" s="115">
        <f>IF(A904&lt;&gt;0,INDEX(Coûts, 'PA-Détails'!A904, 3),)</f>
        <v>300</v>
      </c>
      <c r="L904" s="37">
        <f t="shared" si="491"/>
        <v>15000</v>
      </c>
      <c r="M904" s="36">
        <f t="shared" si="491"/>
        <v>0</v>
      </c>
      <c r="N904" s="36">
        <f t="shared" si="491"/>
        <v>0</v>
      </c>
      <c r="O904" s="36">
        <f t="shared" si="491"/>
        <v>0</v>
      </c>
      <c r="P904" s="268">
        <f t="shared" si="491"/>
        <v>0</v>
      </c>
      <c r="Q904" s="281">
        <f>SUM(L904:P904)</f>
        <v>15000</v>
      </c>
      <c r="R904" s="22"/>
      <c r="S904" s="21"/>
      <c r="T904" s="51"/>
    </row>
    <row r="905" spans="1:20" x14ac:dyDescent="0.2">
      <c r="A905" s="95">
        <v>5</v>
      </c>
      <c r="B905" s="108" t="str">
        <f>IF(A905&lt;&gt;0,INDEX(Coûts,'PA-Détails'!A905, 2),)</f>
        <v>Atelier de validation</v>
      </c>
      <c r="C905" s="51"/>
      <c r="D905" s="94" t="str">
        <f>IF(A905&lt;&gt;0,INDEX(Coûts, 'PA-Détails'!A905, 5),)</f>
        <v>Pers / j</v>
      </c>
      <c r="E905" s="96">
        <v>100</v>
      </c>
      <c r="F905" s="100"/>
      <c r="G905" s="100"/>
      <c r="H905" s="100"/>
      <c r="I905" s="100"/>
      <c r="J905" s="101">
        <f t="shared" si="477"/>
        <v>100</v>
      </c>
      <c r="K905" s="115">
        <f>IF(A905&lt;&gt;0,INDEX(Coûts, 'PA-Détails'!A905, 3),)</f>
        <v>50</v>
      </c>
      <c r="L905" s="37">
        <f t="shared" si="491"/>
        <v>5000</v>
      </c>
      <c r="M905" s="36">
        <f t="shared" si="491"/>
        <v>0</v>
      </c>
      <c r="N905" s="36">
        <f t="shared" si="491"/>
        <v>0</v>
      </c>
      <c r="O905" s="36">
        <f t="shared" si="491"/>
        <v>0</v>
      </c>
      <c r="P905" s="268">
        <f t="shared" si="491"/>
        <v>0</v>
      </c>
      <c r="Q905" s="281">
        <f>SUM(L905:P905)</f>
        <v>5000</v>
      </c>
      <c r="R905" s="22"/>
      <c r="S905" s="21"/>
      <c r="T905" s="51"/>
    </row>
    <row r="906" spans="1:20" x14ac:dyDescent="0.2">
      <c r="A906" s="20" t="s">
        <v>521</v>
      </c>
      <c r="B906" s="46"/>
      <c r="C906" s="51"/>
      <c r="D906" s="21"/>
      <c r="E906" s="96"/>
      <c r="F906" s="100"/>
      <c r="G906" s="100"/>
      <c r="H906" s="100"/>
      <c r="I906" s="100"/>
      <c r="J906" s="101">
        <f t="shared" si="477"/>
        <v>0</v>
      </c>
      <c r="K906" s="115"/>
      <c r="L906" s="161">
        <f t="shared" ref="L906:Q906" si="492">SUM(L907:L908)</f>
        <v>0</v>
      </c>
      <c r="M906" s="157">
        <f t="shared" si="492"/>
        <v>1116000</v>
      </c>
      <c r="N906" s="157">
        <f t="shared" si="492"/>
        <v>1674000</v>
      </c>
      <c r="O906" s="157">
        <f t="shared" si="492"/>
        <v>0</v>
      </c>
      <c r="P906" s="270">
        <f t="shared" si="492"/>
        <v>0</v>
      </c>
      <c r="Q906" s="284">
        <f t="shared" si="492"/>
        <v>2790000</v>
      </c>
      <c r="R906" s="39" t="s">
        <v>866</v>
      </c>
      <c r="S906" s="115" t="s">
        <v>665</v>
      </c>
      <c r="T906" s="51"/>
    </row>
    <row r="907" spans="1:20" x14ac:dyDescent="0.2">
      <c r="A907" s="95">
        <v>52</v>
      </c>
      <c r="B907" s="108" t="str">
        <f>IF(A907&lt;&gt;0,INDEX(Coûts,'PA-Détails'!A907, 2),)</f>
        <v>Construction du CNIF</v>
      </c>
      <c r="C907" s="51"/>
      <c r="D907" s="94" t="str">
        <f>IF(A907&lt;&gt;0,INDEX(Coûts, 'PA-Détails'!A907, 5),)</f>
        <v>Forfait</v>
      </c>
      <c r="E907" s="96"/>
      <c r="F907" s="140">
        <v>0.5</v>
      </c>
      <c r="G907" s="140">
        <v>0.5</v>
      </c>
      <c r="H907" s="100"/>
      <c r="I907" s="100"/>
      <c r="J907" s="101">
        <f t="shared" si="477"/>
        <v>1</v>
      </c>
      <c r="K907" s="115">
        <f>IF(A907&lt;&gt;0,INDEX(Coûts, 'PA-Détails'!A907, 3),)</f>
        <v>1860000</v>
      </c>
      <c r="L907" s="37">
        <f t="shared" ref="L907:P909" si="493">ROUND(+$K907*E907,0)</f>
        <v>0</v>
      </c>
      <c r="M907" s="36">
        <f t="shared" si="493"/>
        <v>930000</v>
      </c>
      <c r="N907" s="36">
        <f t="shared" si="493"/>
        <v>930000</v>
      </c>
      <c r="O907" s="36">
        <f t="shared" si="493"/>
        <v>0</v>
      </c>
      <c r="P907" s="268">
        <f t="shared" si="493"/>
        <v>0</v>
      </c>
      <c r="Q907" s="281">
        <f>SUM(L907:P907)</f>
        <v>1860000</v>
      </c>
      <c r="R907" s="22"/>
      <c r="S907" s="21"/>
      <c r="T907" s="51"/>
    </row>
    <row r="908" spans="1:20" x14ac:dyDescent="0.2">
      <c r="A908" s="95">
        <v>53</v>
      </c>
      <c r="B908" s="108" t="str">
        <f>IF(A908&lt;&gt;0,INDEX(Coûts,'PA-Détails'!A908, 2),)</f>
        <v>Équipement du CNIF</v>
      </c>
      <c r="C908" s="51"/>
      <c r="D908" s="94" t="str">
        <f>IF(A908&lt;&gt;0,INDEX(Coûts, 'PA-Détails'!A908, 5),)</f>
        <v>Forfait</v>
      </c>
      <c r="E908" s="96"/>
      <c r="F908" s="140">
        <v>0.2</v>
      </c>
      <c r="G908" s="140">
        <v>0.8</v>
      </c>
      <c r="H908" s="100"/>
      <c r="I908" s="100"/>
      <c r="J908" s="101">
        <f t="shared" si="477"/>
        <v>1</v>
      </c>
      <c r="K908" s="115">
        <f>IF(A908&lt;&gt;0,INDEX(Coûts, 'PA-Détails'!A908, 3),)</f>
        <v>930000</v>
      </c>
      <c r="L908" s="37">
        <f t="shared" si="493"/>
        <v>0</v>
      </c>
      <c r="M908" s="36">
        <f t="shared" si="493"/>
        <v>186000</v>
      </c>
      <c r="N908" s="36">
        <f t="shared" si="493"/>
        <v>744000</v>
      </c>
      <c r="O908" s="36">
        <f t="shared" si="493"/>
        <v>0</v>
      </c>
      <c r="P908" s="268">
        <f t="shared" si="493"/>
        <v>0</v>
      </c>
      <c r="Q908" s="281">
        <f>SUM(L908:P908)</f>
        <v>930000</v>
      </c>
      <c r="R908" s="22"/>
      <c r="S908" s="21"/>
      <c r="T908" s="51"/>
    </row>
    <row r="909" spans="1:20" x14ac:dyDescent="0.2">
      <c r="A909" s="17" t="s">
        <v>105</v>
      </c>
      <c r="B909" s="45"/>
      <c r="C909" s="51" t="s">
        <v>426</v>
      </c>
      <c r="D909" s="18"/>
      <c r="E909" s="97"/>
      <c r="F909" s="98"/>
      <c r="G909" s="98"/>
      <c r="H909" s="98"/>
      <c r="I909" s="98"/>
      <c r="J909" s="99">
        <f t="shared" ref="J909:J928" si="494">SUM(E909:I909)</f>
        <v>0</v>
      </c>
      <c r="K909" s="116"/>
      <c r="L909" s="35">
        <f t="shared" si="493"/>
        <v>0</v>
      </c>
      <c r="M909" s="34">
        <f t="shared" si="493"/>
        <v>0</v>
      </c>
      <c r="N909" s="34">
        <f t="shared" si="493"/>
        <v>0</v>
      </c>
      <c r="O909" s="34">
        <f t="shared" si="493"/>
        <v>0</v>
      </c>
      <c r="P909" s="269">
        <f t="shared" si="493"/>
        <v>0</v>
      </c>
      <c r="Q909" s="279">
        <f>SUM(L909:P909)</f>
        <v>0</v>
      </c>
      <c r="R909" s="19"/>
      <c r="S909" s="18"/>
      <c r="T909" s="51">
        <v>2</v>
      </c>
    </row>
    <row r="910" spans="1:20" x14ac:dyDescent="0.2">
      <c r="A910" s="20" t="s">
        <v>1004</v>
      </c>
      <c r="B910" s="46"/>
      <c r="C910" s="51"/>
      <c r="D910" s="21"/>
      <c r="E910" s="96"/>
      <c r="F910" s="100"/>
      <c r="G910" s="100"/>
      <c r="H910" s="100"/>
      <c r="I910" s="100"/>
      <c r="J910" s="101">
        <f t="shared" si="494"/>
        <v>0</v>
      </c>
      <c r="K910" s="115"/>
      <c r="L910" s="161">
        <f t="shared" ref="L910:Q910" si="495">SUM(L911:L912)</f>
        <v>8500</v>
      </c>
      <c r="M910" s="157">
        <f t="shared" si="495"/>
        <v>0</v>
      </c>
      <c r="N910" s="157">
        <f t="shared" si="495"/>
        <v>0</v>
      </c>
      <c r="O910" s="157">
        <f t="shared" si="495"/>
        <v>0</v>
      </c>
      <c r="P910" s="270">
        <f t="shared" si="495"/>
        <v>0</v>
      </c>
      <c r="Q910" s="284">
        <f t="shared" si="495"/>
        <v>8500</v>
      </c>
      <c r="R910" s="39" t="s">
        <v>867</v>
      </c>
      <c r="S910" s="115" t="s">
        <v>665</v>
      </c>
      <c r="T910" s="51"/>
    </row>
    <row r="911" spans="1:20" x14ac:dyDescent="0.2">
      <c r="A911" s="95">
        <v>2</v>
      </c>
      <c r="B911" s="108" t="str">
        <f>IF(A911&lt;&gt;0,INDEX(Coûts,'PA-Détails'!A911, 2),)</f>
        <v>Assistance technique nationale (consultants)</v>
      </c>
      <c r="C911" s="51"/>
      <c r="D911" s="94" t="str">
        <f>IF(A911&lt;&gt;0,INDEX(Coûts, 'PA-Détails'!A911, 5),)</f>
        <v>Pers / j</v>
      </c>
      <c r="E911" s="96">
        <v>20</v>
      </c>
      <c r="F911" s="100"/>
      <c r="G911" s="100"/>
      <c r="H911" s="100"/>
      <c r="I911" s="100"/>
      <c r="J911" s="101">
        <f t="shared" si="494"/>
        <v>20</v>
      </c>
      <c r="K911" s="115">
        <f>IF(A911&lt;&gt;0,INDEX(Coûts, 'PA-Détails'!A911, 3),)</f>
        <v>300</v>
      </c>
      <c r="L911" s="37">
        <f t="shared" ref="L911:P912" si="496">ROUND(+$K911*E911,0)</f>
        <v>6000</v>
      </c>
      <c r="M911" s="36">
        <f t="shared" si="496"/>
        <v>0</v>
      </c>
      <c r="N911" s="36">
        <f t="shared" si="496"/>
        <v>0</v>
      </c>
      <c r="O911" s="36">
        <f t="shared" si="496"/>
        <v>0</v>
      </c>
      <c r="P911" s="268">
        <f t="shared" si="496"/>
        <v>0</v>
      </c>
      <c r="Q911" s="281">
        <f>SUM(L911:P911)</f>
        <v>6000</v>
      </c>
      <c r="R911" s="22"/>
      <c r="S911" s="21"/>
      <c r="T911" s="51"/>
    </row>
    <row r="912" spans="1:20" x14ac:dyDescent="0.2">
      <c r="A912" s="95">
        <v>5</v>
      </c>
      <c r="B912" s="108" t="str">
        <f>IF(A912&lt;&gt;0,INDEX(Coûts,'PA-Détails'!A912, 2),)</f>
        <v>Atelier de validation</v>
      </c>
      <c r="C912" s="51"/>
      <c r="D912" s="94" t="str">
        <f>IF(A912&lt;&gt;0,INDEX(Coûts, 'PA-Détails'!A912, 5),)</f>
        <v>Pers / j</v>
      </c>
      <c r="E912" s="96">
        <v>50</v>
      </c>
      <c r="F912" s="100"/>
      <c r="G912" s="100"/>
      <c r="H912" s="100"/>
      <c r="I912" s="100"/>
      <c r="J912" s="101">
        <f t="shared" si="494"/>
        <v>50</v>
      </c>
      <c r="K912" s="115">
        <f>IF(A912&lt;&gt;0,INDEX(Coûts, 'PA-Détails'!A912, 3),)</f>
        <v>50</v>
      </c>
      <c r="L912" s="37">
        <f t="shared" si="496"/>
        <v>2500</v>
      </c>
      <c r="M912" s="36">
        <f t="shared" si="496"/>
        <v>0</v>
      </c>
      <c r="N912" s="36">
        <f t="shared" si="496"/>
        <v>0</v>
      </c>
      <c r="O912" s="36">
        <f t="shared" si="496"/>
        <v>0</v>
      </c>
      <c r="P912" s="268">
        <f t="shared" si="496"/>
        <v>0</v>
      </c>
      <c r="Q912" s="281">
        <f>SUM(L912:P912)</f>
        <v>2500</v>
      </c>
      <c r="R912" s="22"/>
      <c r="S912" s="21"/>
      <c r="T912" s="51"/>
    </row>
    <row r="913" spans="1:26" x14ac:dyDescent="0.2">
      <c r="A913" s="20" t="s">
        <v>1005</v>
      </c>
      <c r="B913" s="46"/>
      <c r="C913" s="51"/>
      <c r="D913" s="21"/>
      <c r="E913" s="96"/>
      <c r="F913" s="100"/>
      <c r="G913" s="100"/>
      <c r="H913" s="100"/>
      <c r="I913" s="100"/>
      <c r="J913" s="101">
        <f t="shared" si="494"/>
        <v>0</v>
      </c>
      <c r="K913" s="115"/>
      <c r="L913" s="161">
        <f t="shared" ref="L913:Q913" si="497">SUM(L914:L914)</f>
        <v>11125950</v>
      </c>
      <c r="M913" s="157">
        <f t="shared" si="497"/>
        <v>0</v>
      </c>
      <c r="N913" s="157">
        <f t="shared" si="497"/>
        <v>11125950</v>
      </c>
      <c r="O913" s="157">
        <f t="shared" si="497"/>
        <v>0</v>
      </c>
      <c r="P913" s="270">
        <f t="shared" si="497"/>
        <v>11125950</v>
      </c>
      <c r="Q913" s="284">
        <f t="shared" si="497"/>
        <v>33377850</v>
      </c>
      <c r="R913" s="39" t="s">
        <v>867</v>
      </c>
      <c r="S913" s="115" t="s">
        <v>665</v>
      </c>
      <c r="T913" s="51"/>
    </row>
    <row r="914" spans="1:26" x14ac:dyDescent="0.2">
      <c r="A914" s="95">
        <v>8</v>
      </c>
      <c r="B914" s="108" t="str">
        <f>IF(A914&lt;&gt;0,INDEX(Coûts,'PA-Détails'!A914, 2),)</f>
        <v>Formation</v>
      </c>
      <c r="C914" s="51"/>
      <c r="D914" s="94" t="str">
        <f>IF(A914&lt;&gt;0,INDEX(Coûts, 'PA-Détails'!A914, 5),)</f>
        <v>Pers / j</v>
      </c>
      <c r="E914" s="96">
        <f>H!E102*5</f>
        <v>101145</v>
      </c>
      <c r="F914" s="100"/>
      <c r="G914" s="100">
        <f>E914</f>
        <v>101145</v>
      </c>
      <c r="H914" s="100"/>
      <c r="I914" s="100">
        <f>G914</f>
        <v>101145</v>
      </c>
      <c r="J914" s="101">
        <f t="shared" si="494"/>
        <v>303435</v>
      </c>
      <c r="K914" s="115">
        <f>IF(A914&lt;&gt;0,INDEX(Coûts, 'PA-Détails'!A914, 3),)</f>
        <v>110</v>
      </c>
      <c r="L914" s="37">
        <f t="shared" ref="L914:P915" si="498">ROUND(+$K914*E914,0)</f>
        <v>11125950</v>
      </c>
      <c r="M914" s="36">
        <f t="shared" si="498"/>
        <v>0</v>
      </c>
      <c r="N914" s="36">
        <f t="shared" si="498"/>
        <v>11125950</v>
      </c>
      <c r="O914" s="36">
        <f t="shared" si="498"/>
        <v>0</v>
      </c>
      <c r="P914" s="268">
        <f t="shared" si="498"/>
        <v>11125950</v>
      </c>
      <c r="Q914" s="281">
        <f>SUM(L914:P914)</f>
        <v>33377850</v>
      </c>
      <c r="R914" s="22"/>
      <c r="S914" s="21"/>
      <c r="T914" s="51"/>
    </row>
    <row r="915" spans="1:26" s="162" customFormat="1" x14ac:dyDescent="0.2">
      <c r="A915" s="122" t="s">
        <v>983</v>
      </c>
      <c r="B915" s="152"/>
      <c r="C915" s="51"/>
      <c r="D915" s="155"/>
      <c r="E915" s="97"/>
      <c r="F915" s="98"/>
      <c r="G915" s="98"/>
      <c r="H915" s="98"/>
      <c r="I915" s="98"/>
      <c r="J915" s="99">
        <f t="shared" si="494"/>
        <v>0</v>
      </c>
      <c r="K915" s="208"/>
      <c r="L915" s="161">
        <f t="shared" si="498"/>
        <v>0</v>
      </c>
      <c r="M915" s="157">
        <f t="shared" si="498"/>
        <v>0</v>
      </c>
      <c r="N915" s="157">
        <f t="shared" si="498"/>
        <v>0</v>
      </c>
      <c r="O915" s="157">
        <f t="shared" si="498"/>
        <v>0</v>
      </c>
      <c r="P915" s="270">
        <f t="shared" si="498"/>
        <v>0</v>
      </c>
      <c r="Q915" s="284">
        <f>SUM(L915:P915)</f>
        <v>0</v>
      </c>
      <c r="R915" s="200"/>
      <c r="S915" s="201"/>
      <c r="T915" s="154">
        <v>1</v>
      </c>
      <c r="U915" s="653"/>
      <c r="V915" s="572"/>
      <c r="W915" s="572"/>
      <c r="X915" s="572"/>
      <c r="Y915" s="572"/>
      <c r="Z915" s="572"/>
    </row>
    <row r="916" spans="1:26" x14ac:dyDescent="0.2">
      <c r="A916" s="20" t="s">
        <v>984</v>
      </c>
      <c r="B916" s="46"/>
      <c r="C916" s="51"/>
      <c r="D916" s="21"/>
      <c r="E916" s="96"/>
      <c r="F916" s="100"/>
      <c r="G916" s="100"/>
      <c r="H916" s="100"/>
      <c r="I916" s="100"/>
      <c r="J916" s="101">
        <f t="shared" si="494"/>
        <v>0</v>
      </c>
      <c r="K916" s="115"/>
      <c r="L916" s="161">
        <f t="shared" ref="L916:Q916" si="499">SUM(L917:L917)</f>
        <v>39194270</v>
      </c>
      <c r="M916" s="157">
        <f t="shared" si="499"/>
        <v>42446060</v>
      </c>
      <c r="N916" s="157">
        <f t="shared" si="499"/>
        <v>45723820</v>
      </c>
      <c r="O916" s="157">
        <f t="shared" si="499"/>
        <v>53559030</v>
      </c>
      <c r="P916" s="270">
        <f t="shared" si="499"/>
        <v>61974950</v>
      </c>
      <c r="Q916" s="284">
        <f t="shared" si="499"/>
        <v>242898130</v>
      </c>
      <c r="R916" s="182" t="s">
        <v>214</v>
      </c>
      <c r="S916" s="183" t="s">
        <v>663</v>
      </c>
      <c r="T916" s="51"/>
    </row>
    <row r="917" spans="1:26" x14ac:dyDescent="0.2">
      <c r="A917" s="95">
        <v>214</v>
      </c>
      <c r="B917" s="108" t="str">
        <f>IF(A917&lt;&gt;0,INDEX(Coûts,'PA-Détails'!A917, 2),)</f>
        <v>Rémunération d'un enseignant du secondaire 2</v>
      </c>
      <c r="C917" s="51"/>
      <c r="D917" s="94">
        <f>IF(A917&lt;&gt;0,INDEX(Coûts, 'PA-Détails'!A917, 5),)</f>
        <v>0</v>
      </c>
      <c r="E917" s="230">
        <f>ROUND('[5]Secondaire 2'!I$648,0)-E684</f>
        <v>26387</v>
      </c>
      <c r="F917" s="231">
        <f>ROUND('[5]Secondaire 2'!J$648,0)-F684</f>
        <v>26387</v>
      </c>
      <c r="G917" s="231">
        <f>ROUND('[5]Secondaire 2'!K$648,0)-G684</f>
        <v>26443</v>
      </c>
      <c r="H917" s="231">
        <f>ROUND('[5]Secondaire 2'!L$648,0)-H684</f>
        <v>29013</v>
      </c>
      <c r="I917" s="231">
        <f>ROUND('[5]Secondaire 2'!M$648,0)-I684</f>
        <v>31847</v>
      </c>
      <c r="J917" s="101">
        <f t="shared" si="494"/>
        <v>140077</v>
      </c>
      <c r="K917" s="289">
        <f>Q917/J917</f>
        <v>1734.0329247485311</v>
      </c>
      <c r="L917" s="233">
        <f>ROUND(E917*'[5]Secondaire 2'!J$650,-1)</f>
        <v>39194270</v>
      </c>
      <c r="M917" s="234">
        <f>ROUND(F917*'[5]Secondaire 2'!K$650,-1)</f>
        <v>42446060</v>
      </c>
      <c r="N917" s="234">
        <f>ROUND(G917*'[5]Secondaire 2'!L$650,-1)</f>
        <v>45723820</v>
      </c>
      <c r="O917" s="234">
        <f>ROUND(H917*'[5]Secondaire 2'!M$650,-1)</f>
        <v>53559030</v>
      </c>
      <c r="P917" s="272">
        <f>ROUND(I917*'[5]Secondaire 2'!N$650,-1)</f>
        <v>61974950</v>
      </c>
      <c r="Q917" s="281">
        <f>SUM(L917:P917)</f>
        <v>242898130</v>
      </c>
      <c r="R917" s="182"/>
      <c r="S917" s="183"/>
      <c r="T917" s="51"/>
    </row>
    <row r="918" spans="1:26" x14ac:dyDescent="0.2">
      <c r="A918" s="14" t="s">
        <v>876</v>
      </c>
      <c r="B918" s="44"/>
      <c r="C918" s="112"/>
      <c r="D918" s="15"/>
      <c r="E918" s="102"/>
      <c r="F918" s="103"/>
      <c r="G918" s="103"/>
      <c r="H918" s="103"/>
      <c r="I918" s="103"/>
      <c r="J918" s="104">
        <f t="shared" si="494"/>
        <v>0</v>
      </c>
      <c r="K918" s="145"/>
      <c r="L918" s="33">
        <f t="shared" ref="L918:P919" si="500">ROUND(+$K918*E918,0)</f>
        <v>0</v>
      </c>
      <c r="M918" s="32">
        <f t="shared" si="500"/>
        <v>0</v>
      </c>
      <c r="N918" s="32">
        <f t="shared" si="500"/>
        <v>0</v>
      </c>
      <c r="O918" s="32">
        <f t="shared" si="500"/>
        <v>0</v>
      </c>
      <c r="P918" s="267">
        <f t="shared" si="500"/>
        <v>0</v>
      </c>
      <c r="Q918" s="278">
        <f>SUM(L918:P918)</f>
        <v>0</v>
      </c>
      <c r="R918" s="40"/>
      <c r="S918" s="145"/>
      <c r="T918" s="49">
        <v>3</v>
      </c>
    </row>
    <row r="919" spans="1:26" x14ac:dyDescent="0.2">
      <c r="A919" s="17" t="s">
        <v>106</v>
      </c>
      <c r="B919" s="45"/>
      <c r="C919" s="51"/>
      <c r="D919" s="18"/>
      <c r="E919" s="97"/>
      <c r="F919" s="98"/>
      <c r="G919" s="98"/>
      <c r="H919" s="98"/>
      <c r="I919" s="98"/>
      <c r="J919" s="99">
        <f t="shared" si="494"/>
        <v>0</v>
      </c>
      <c r="K919" s="116"/>
      <c r="L919" s="35">
        <f t="shared" si="500"/>
        <v>0</v>
      </c>
      <c r="M919" s="34">
        <f t="shared" si="500"/>
        <v>0</v>
      </c>
      <c r="N919" s="34">
        <f t="shared" si="500"/>
        <v>0</v>
      </c>
      <c r="O919" s="34">
        <f t="shared" si="500"/>
        <v>0</v>
      </c>
      <c r="P919" s="269">
        <f t="shared" si="500"/>
        <v>0</v>
      </c>
      <c r="Q919" s="279">
        <f>SUM(L919:P919)</f>
        <v>0</v>
      </c>
      <c r="R919" s="38"/>
      <c r="S919" s="116"/>
      <c r="T919" s="50"/>
    </row>
    <row r="920" spans="1:26" x14ac:dyDescent="0.2">
      <c r="A920" s="20" t="s">
        <v>1109</v>
      </c>
      <c r="B920" s="149"/>
      <c r="C920" s="51" t="s">
        <v>611</v>
      </c>
      <c r="D920" s="21"/>
      <c r="E920" s="96"/>
      <c r="F920" s="100"/>
      <c r="G920" s="100"/>
      <c r="H920" s="100"/>
      <c r="I920" s="100"/>
      <c r="J920" s="101">
        <f t="shared" si="494"/>
        <v>0</v>
      </c>
      <c r="K920" s="115"/>
      <c r="L920" s="161">
        <f t="shared" ref="L920:Q920" si="501">SUM(L921:L922)</f>
        <v>0</v>
      </c>
      <c r="M920" s="157">
        <f t="shared" si="501"/>
        <v>0</v>
      </c>
      <c r="N920" s="157">
        <f t="shared" si="501"/>
        <v>747000</v>
      </c>
      <c r="O920" s="157">
        <f t="shared" si="501"/>
        <v>0</v>
      </c>
      <c r="P920" s="270">
        <f t="shared" si="501"/>
        <v>0</v>
      </c>
      <c r="Q920" s="284">
        <f t="shared" si="501"/>
        <v>747000</v>
      </c>
      <c r="R920" s="39" t="s">
        <v>867</v>
      </c>
      <c r="S920" s="115" t="s">
        <v>665</v>
      </c>
      <c r="T920" s="51"/>
    </row>
    <row r="921" spans="1:26" x14ac:dyDescent="0.2">
      <c r="A921" s="95">
        <v>41</v>
      </c>
      <c r="B921" s="108" t="str">
        <f>IF(A921&lt;&gt;0,INDEX(Coûts,'PA-Détails'!A921, 2),)</f>
        <v>Achat de Moto</v>
      </c>
      <c r="C921" s="51"/>
      <c r="D921" s="94" t="str">
        <f>IF(A921&lt;&gt;0,INDEX(Coûts, 'PA-Détails'!A921, 5),)</f>
        <v>Unité</v>
      </c>
      <c r="E921" s="96"/>
      <c r="F921" s="100"/>
      <c r="G921" s="100">
        <v>229</v>
      </c>
      <c r="H921" s="100"/>
      <c r="I921" s="100"/>
      <c r="J921" s="101">
        <f t="shared" si="494"/>
        <v>229</v>
      </c>
      <c r="K921" s="115">
        <f>IF(A921&lt;&gt;0,INDEX(Coûts, 'PA-Détails'!A921, 3),)</f>
        <v>3000</v>
      </c>
      <c r="L921" s="37">
        <f t="shared" ref="L921:P923" si="502">ROUND(+$K921*E921,0)</f>
        <v>0</v>
      </c>
      <c r="M921" s="36">
        <f t="shared" si="502"/>
        <v>0</v>
      </c>
      <c r="N921" s="36">
        <f t="shared" si="502"/>
        <v>687000</v>
      </c>
      <c r="O921" s="36">
        <f t="shared" si="502"/>
        <v>0</v>
      </c>
      <c r="P921" s="268">
        <f t="shared" si="502"/>
        <v>0</v>
      </c>
      <c r="Q921" s="281">
        <f>SUM(L921:P921)</f>
        <v>687000</v>
      </c>
      <c r="R921" s="39"/>
      <c r="S921" s="115"/>
      <c r="T921" s="51"/>
    </row>
    <row r="922" spans="1:26" x14ac:dyDescent="0.2">
      <c r="A922" s="95">
        <v>43</v>
      </c>
      <c r="B922" s="108" t="str">
        <f>IF(A922&lt;&gt;0,INDEX(Coûts,'PA-Détails'!A922, 2),)</f>
        <v>Pirogues Motorisées</v>
      </c>
      <c r="C922" s="51"/>
      <c r="D922" s="94" t="str">
        <f>IF(A922&lt;&gt;0,INDEX(Coûts, 'PA-Détails'!A922, 5),)</f>
        <v>Unité</v>
      </c>
      <c r="E922" s="96"/>
      <c r="F922" s="100"/>
      <c r="G922" s="100">
        <f>40</f>
        <v>40</v>
      </c>
      <c r="H922" s="100"/>
      <c r="I922" s="100"/>
      <c r="J922" s="101">
        <f t="shared" si="494"/>
        <v>40</v>
      </c>
      <c r="K922" s="115">
        <f>IF(A922&lt;&gt;0,INDEX(Coûts, 'PA-Détails'!A922, 3),)</f>
        <v>1500</v>
      </c>
      <c r="L922" s="37">
        <f t="shared" si="502"/>
        <v>0</v>
      </c>
      <c r="M922" s="36">
        <f t="shared" si="502"/>
        <v>0</v>
      </c>
      <c r="N922" s="36">
        <f t="shared" si="502"/>
        <v>60000</v>
      </c>
      <c r="O922" s="36">
        <f t="shared" si="502"/>
        <v>0</v>
      </c>
      <c r="P922" s="268">
        <f t="shared" si="502"/>
        <v>0</v>
      </c>
      <c r="Q922" s="281">
        <f>SUM(L922:P922)</f>
        <v>60000</v>
      </c>
      <c r="R922" s="39"/>
      <c r="S922" s="115"/>
      <c r="T922" s="51"/>
    </row>
    <row r="923" spans="1:26" x14ac:dyDescent="0.2">
      <c r="A923" s="17" t="s">
        <v>107</v>
      </c>
      <c r="B923" s="45"/>
      <c r="C923" s="51"/>
      <c r="D923" s="18"/>
      <c r="E923" s="97"/>
      <c r="F923" s="98"/>
      <c r="G923" s="98"/>
      <c r="H923" s="98"/>
      <c r="I923" s="98"/>
      <c r="J923" s="99">
        <f t="shared" si="494"/>
        <v>0</v>
      </c>
      <c r="K923" s="116"/>
      <c r="L923" s="35">
        <f t="shared" si="502"/>
        <v>0</v>
      </c>
      <c r="M923" s="34">
        <f t="shared" si="502"/>
        <v>0</v>
      </c>
      <c r="N923" s="34">
        <f t="shared" si="502"/>
        <v>0</v>
      </c>
      <c r="O923" s="34">
        <f t="shared" si="502"/>
        <v>0</v>
      </c>
      <c r="P923" s="269">
        <f t="shared" si="502"/>
        <v>0</v>
      </c>
      <c r="Q923" s="279">
        <f>SUM(L923:P923)</f>
        <v>0</v>
      </c>
      <c r="R923" s="38"/>
      <c r="S923" s="116"/>
      <c r="T923" s="50"/>
    </row>
    <row r="924" spans="1:26" x14ac:dyDescent="0.2">
      <c r="A924" s="20" t="s">
        <v>868</v>
      </c>
      <c r="B924" s="149"/>
      <c r="C924" s="51" t="s">
        <v>612</v>
      </c>
      <c r="D924" s="21"/>
      <c r="E924" s="96"/>
      <c r="F924" s="100"/>
      <c r="G924" s="100"/>
      <c r="H924" s="100"/>
      <c r="I924" s="100"/>
      <c r="J924" s="101">
        <f t="shared" si="494"/>
        <v>0</v>
      </c>
      <c r="K924" s="115"/>
      <c r="L924" s="161">
        <f t="shared" ref="L924:Q924" si="503">SUM(L925:L925)</f>
        <v>0</v>
      </c>
      <c r="M924" s="157">
        <f t="shared" si="503"/>
        <v>0</v>
      </c>
      <c r="N924" s="157">
        <f t="shared" si="503"/>
        <v>274800</v>
      </c>
      <c r="O924" s="157">
        <f t="shared" si="503"/>
        <v>274800</v>
      </c>
      <c r="P924" s="270">
        <f t="shared" si="503"/>
        <v>274800</v>
      </c>
      <c r="Q924" s="284">
        <f t="shared" si="503"/>
        <v>824400</v>
      </c>
      <c r="R924" s="39" t="s">
        <v>1410</v>
      </c>
      <c r="S924" s="115" t="s">
        <v>665</v>
      </c>
      <c r="T924" s="51"/>
    </row>
    <row r="925" spans="1:26" x14ac:dyDescent="0.2">
      <c r="A925" s="95">
        <v>217</v>
      </c>
      <c r="B925" s="108" t="str">
        <f>IF(A925&lt;&gt;0,INDEX(Coûts,'PA-Détails'!A925, 2),)</f>
        <v>Primes d'itinérance (Inspecteurs itinérants)</v>
      </c>
      <c r="C925" s="51"/>
      <c r="D925" s="94" t="str">
        <f>IF(A925&lt;&gt;0,INDEX(Coûts, 'PA-Détails'!A925, 5),)</f>
        <v>Prime/an</v>
      </c>
      <c r="E925" s="96"/>
      <c r="F925" s="100"/>
      <c r="G925" s="100">
        <f>229</f>
        <v>229</v>
      </c>
      <c r="H925" s="100">
        <f>229</f>
        <v>229</v>
      </c>
      <c r="I925" s="100">
        <f>229</f>
        <v>229</v>
      </c>
      <c r="J925" s="101">
        <f t="shared" si="494"/>
        <v>687</v>
      </c>
      <c r="K925" s="115">
        <f>IF(A925&lt;&gt;0,INDEX(Coûts, 'PA-Détails'!A925, 3),)</f>
        <v>1200</v>
      </c>
      <c r="L925" s="37">
        <f t="shared" ref="L925:P926" si="504">ROUND(+$K925*E925,0)</f>
        <v>0</v>
      </c>
      <c r="M925" s="36">
        <f t="shared" si="504"/>
        <v>0</v>
      </c>
      <c r="N925" s="36">
        <f t="shared" si="504"/>
        <v>274800</v>
      </c>
      <c r="O925" s="36">
        <f t="shared" si="504"/>
        <v>274800</v>
      </c>
      <c r="P925" s="268">
        <f t="shared" si="504"/>
        <v>274800</v>
      </c>
      <c r="Q925" s="281">
        <f>SUM(L925:P925)</f>
        <v>824400</v>
      </c>
      <c r="R925" s="39"/>
      <c r="S925" s="115"/>
      <c r="T925" s="51"/>
    </row>
    <row r="926" spans="1:26" x14ac:dyDescent="0.2">
      <c r="A926" s="17" t="s">
        <v>108</v>
      </c>
      <c r="B926" s="45"/>
      <c r="C926" s="51"/>
      <c r="D926" s="18"/>
      <c r="E926" s="97"/>
      <c r="F926" s="98"/>
      <c r="G926" s="98"/>
      <c r="H926" s="98"/>
      <c r="I926" s="98"/>
      <c r="J926" s="99">
        <f t="shared" si="494"/>
        <v>0</v>
      </c>
      <c r="K926" s="116"/>
      <c r="L926" s="35">
        <f t="shared" si="504"/>
        <v>0</v>
      </c>
      <c r="M926" s="34">
        <f t="shared" si="504"/>
        <v>0</v>
      </c>
      <c r="N926" s="34">
        <f t="shared" si="504"/>
        <v>0</v>
      </c>
      <c r="O926" s="34">
        <f t="shared" si="504"/>
        <v>0</v>
      </c>
      <c r="P926" s="269">
        <f t="shared" si="504"/>
        <v>0</v>
      </c>
      <c r="Q926" s="279">
        <f>SUM(L926:P926)</f>
        <v>0</v>
      </c>
      <c r="R926" s="38"/>
      <c r="S926" s="116"/>
      <c r="T926" s="50"/>
    </row>
    <row r="927" spans="1:26" x14ac:dyDescent="0.2">
      <c r="A927" s="20" t="s">
        <v>613</v>
      </c>
      <c r="B927" s="149"/>
      <c r="C927" s="51"/>
      <c r="D927" s="21"/>
      <c r="E927" s="96"/>
      <c r="F927" s="100"/>
      <c r="G927" s="100"/>
      <c r="H927" s="100"/>
      <c r="I927" s="100"/>
      <c r="J927" s="101">
        <f t="shared" si="494"/>
        <v>0</v>
      </c>
      <c r="K927" s="115"/>
      <c r="L927" s="161">
        <f t="shared" ref="L927:Q927" si="505">SUM(L928:L928)</f>
        <v>0</v>
      </c>
      <c r="M927" s="157">
        <f t="shared" si="505"/>
        <v>0</v>
      </c>
      <c r="N927" s="157">
        <f t="shared" si="505"/>
        <v>229000</v>
      </c>
      <c r="O927" s="157">
        <f t="shared" si="505"/>
        <v>0</v>
      </c>
      <c r="P927" s="270">
        <f t="shared" si="505"/>
        <v>0</v>
      </c>
      <c r="Q927" s="284">
        <f t="shared" si="505"/>
        <v>229000</v>
      </c>
      <c r="R927" s="39" t="s">
        <v>1410</v>
      </c>
      <c r="S927" s="115" t="s">
        <v>665</v>
      </c>
      <c r="T927" s="51"/>
    </row>
    <row r="928" spans="1:26" x14ac:dyDescent="0.2">
      <c r="A928" s="95">
        <v>55</v>
      </c>
      <c r="B928" s="108" t="str">
        <f>IF(A928&lt;&gt;0,INDEX(Coûts,'PA-Détails'!A928, 2),)</f>
        <v>Ordinateur portable</v>
      </c>
      <c r="C928" s="51" t="s">
        <v>610</v>
      </c>
      <c r="D928" s="94" t="str">
        <f>IF(A928&lt;&gt;0,INDEX(Coûts, 'PA-Détails'!A928, 5),)</f>
        <v>Unité</v>
      </c>
      <c r="E928" s="96"/>
      <c r="F928" s="100"/>
      <c r="G928" s="100">
        <f>G925</f>
        <v>229</v>
      </c>
      <c r="H928" s="100"/>
      <c r="I928" s="100"/>
      <c r="J928" s="101">
        <f t="shared" si="494"/>
        <v>229</v>
      </c>
      <c r="K928" s="115">
        <f>IF(A928&lt;&gt;0,INDEX(Coûts, 'PA-Détails'!A928, 3),)</f>
        <v>1000</v>
      </c>
      <c r="L928" s="37">
        <f t="shared" ref="L928:P929" si="506">ROUND(+$K928*E928,0)</f>
        <v>0</v>
      </c>
      <c r="M928" s="36">
        <f t="shared" si="506"/>
        <v>0</v>
      </c>
      <c r="N928" s="36">
        <f t="shared" si="506"/>
        <v>229000</v>
      </c>
      <c r="O928" s="36">
        <f t="shared" si="506"/>
        <v>0</v>
      </c>
      <c r="P928" s="268">
        <f t="shared" si="506"/>
        <v>0</v>
      </c>
      <c r="Q928" s="281">
        <f>SUM(L928:P928)</f>
        <v>229000</v>
      </c>
      <c r="R928" s="39"/>
      <c r="S928" s="115"/>
      <c r="T928" s="51"/>
    </row>
    <row r="929" spans="1:21" x14ac:dyDescent="0.2">
      <c r="A929" s="17" t="s">
        <v>875</v>
      </c>
      <c r="B929" s="108"/>
      <c r="C929" s="51"/>
      <c r="D929" s="94"/>
      <c r="E929" s="96"/>
      <c r="F929" s="100"/>
      <c r="G929" s="100"/>
      <c r="H929" s="100"/>
      <c r="I929" s="100"/>
      <c r="J929" s="101"/>
      <c r="K929" s="115"/>
      <c r="L929" s="37">
        <f t="shared" si="506"/>
        <v>0</v>
      </c>
      <c r="M929" s="36">
        <f t="shared" si="506"/>
        <v>0</v>
      </c>
      <c r="N929" s="36">
        <f t="shared" si="506"/>
        <v>0</v>
      </c>
      <c r="O929" s="36">
        <f t="shared" si="506"/>
        <v>0</v>
      </c>
      <c r="P929" s="268">
        <f t="shared" si="506"/>
        <v>0</v>
      </c>
      <c r="Q929" s="281"/>
      <c r="R929" s="39"/>
      <c r="S929" s="115"/>
      <c r="T929" s="51"/>
    </row>
    <row r="930" spans="1:21" x14ac:dyDescent="0.2">
      <c r="A930" s="20" t="s">
        <v>1110</v>
      </c>
      <c r="B930" s="149"/>
      <c r="C930" s="51"/>
      <c r="D930" s="21"/>
      <c r="E930" s="96"/>
      <c r="F930" s="100"/>
      <c r="G930" s="100"/>
      <c r="H930" s="100"/>
      <c r="I930" s="100"/>
      <c r="J930" s="101">
        <f>SUM(E930:I930)</f>
        <v>0</v>
      </c>
      <c r="K930" s="115"/>
      <c r="L930" s="161">
        <f t="shared" ref="L930:Q930" si="507">SUM(L931:L931)</f>
        <v>6000</v>
      </c>
      <c r="M930" s="157">
        <f t="shared" si="507"/>
        <v>0</v>
      </c>
      <c r="N930" s="157">
        <f t="shared" si="507"/>
        <v>0</v>
      </c>
      <c r="O930" s="157">
        <f t="shared" si="507"/>
        <v>0</v>
      </c>
      <c r="P930" s="270">
        <f t="shared" si="507"/>
        <v>0</v>
      </c>
      <c r="Q930" s="284">
        <f t="shared" si="507"/>
        <v>6000</v>
      </c>
      <c r="R930" s="39" t="s">
        <v>862</v>
      </c>
      <c r="S930" s="115" t="s">
        <v>665</v>
      </c>
      <c r="T930" s="51"/>
    </row>
    <row r="931" spans="1:21" x14ac:dyDescent="0.2">
      <c r="A931" s="95">
        <v>2</v>
      </c>
      <c r="B931" s="108" t="str">
        <f>IF(A931&lt;&gt;0,INDEX(Coûts,'PA-Détails'!A931, 2),)</f>
        <v>Assistance technique nationale (consultants)</v>
      </c>
      <c r="C931" s="51"/>
      <c r="D931" s="94" t="str">
        <f>IF(A931&lt;&gt;0,INDEX(Coûts, 'PA-Détails'!A931, 5),)</f>
        <v>Pers / j</v>
      </c>
      <c r="E931" s="96">
        <v>20</v>
      </c>
      <c r="F931" s="100"/>
      <c r="G931" s="100"/>
      <c r="H931" s="100"/>
      <c r="I931" s="100"/>
      <c r="J931" s="101">
        <f>SUM(E931:I931)</f>
        <v>20</v>
      </c>
      <c r="K931" s="115">
        <f>IF(A931&lt;&gt;0,INDEX(Coûts, 'PA-Détails'!A931, 3),)</f>
        <v>300</v>
      </c>
      <c r="L931" s="37">
        <f>ROUND(+$K931*E931,0)</f>
        <v>6000</v>
      </c>
      <c r="M931" s="36">
        <f>ROUND(+$K931*F931,0)</f>
        <v>0</v>
      </c>
      <c r="N931" s="36">
        <f>ROUND(+$K931*G931,0)</f>
        <v>0</v>
      </c>
      <c r="O931" s="36">
        <f>ROUND(+$K931*H931,0)</f>
        <v>0</v>
      </c>
      <c r="P931" s="268">
        <f>ROUND(+$K931*I931,0)</f>
        <v>0</v>
      </c>
      <c r="Q931" s="281">
        <f>SUM(L931:P931)</f>
        <v>6000</v>
      </c>
      <c r="R931" s="22"/>
      <c r="S931" s="21"/>
      <c r="T931" s="51"/>
    </row>
    <row r="932" spans="1:21" x14ac:dyDescent="0.2">
      <c r="A932" s="20" t="s">
        <v>1111</v>
      </c>
      <c r="B932" s="108"/>
      <c r="C932" s="51"/>
      <c r="D932" s="94"/>
      <c r="E932" s="96"/>
      <c r="F932" s="100"/>
      <c r="G932" s="100"/>
      <c r="H932" s="100"/>
      <c r="I932" s="100"/>
      <c r="J932" s="101"/>
      <c r="K932" s="115"/>
      <c r="L932" s="35">
        <f t="shared" ref="L932:Q932" si="508">SUM(L933:L935)</f>
        <v>31500</v>
      </c>
      <c r="M932" s="34">
        <f t="shared" si="508"/>
        <v>0</v>
      </c>
      <c r="N932" s="34">
        <f t="shared" si="508"/>
        <v>0</v>
      </c>
      <c r="O932" s="34">
        <f t="shared" si="508"/>
        <v>0</v>
      </c>
      <c r="P932" s="269">
        <f t="shared" si="508"/>
        <v>0</v>
      </c>
      <c r="Q932" s="279">
        <f t="shared" si="508"/>
        <v>31500</v>
      </c>
      <c r="R932" s="39" t="s">
        <v>862</v>
      </c>
      <c r="S932" s="115"/>
      <c r="T932" s="51"/>
    </row>
    <row r="933" spans="1:21" x14ac:dyDescent="0.2">
      <c r="A933" s="95">
        <v>1</v>
      </c>
      <c r="B933" s="108" t="str">
        <f>IF(A933&lt;&gt;0,INDEX(Coûts,'PA-Détails'!A933, 2),)</f>
        <v>Assistance technique internationale (consultants)</v>
      </c>
      <c r="C933" s="51"/>
      <c r="D933" s="94" t="str">
        <f>IF(A933&lt;&gt;0,INDEX(Coûts, 'PA-Détails'!A933, 5),)</f>
        <v>Pers / j</v>
      </c>
      <c r="E933" s="96">
        <v>20</v>
      </c>
      <c r="F933" s="100"/>
      <c r="G933" s="100"/>
      <c r="H933" s="100"/>
      <c r="I933" s="100"/>
      <c r="J933" s="101">
        <f t="shared" ref="J933:J943" si="509">SUM(E933:I933)</f>
        <v>20</v>
      </c>
      <c r="K933" s="115">
        <f>IF(A933&lt;&gt;0,INDEX(Coûts, 'PA-Détails'!A933, 3),)</f>
        <v>1150</v>
      </c>
      <c r="L933" s="37">
        <f t="shared" ref="L933:P938" si="510">ROUND(+$K933*E933,0)</f>
        <v>23000</v>
      </c>
      <c r="M933" s="36">
        <f t="shared" si="510"/>
        <v>0</v>
      </c>
      <c r="N933" s="36">
        <f t="shared" si="510"/>
        <v>0</v>
      </c>
      <c r="O933" s="36">
        <f t="shared" si="510"/>
        <v>0</v>
      </c>
      <c r="P933" s="268">
        <f t="shared" si="510"/>
        <v>0</v>
      </c>
      <c r="Q933" s="281">
        <f t="shared" ref="Q933:Q938" si="511">SUM(L933:P933)</f>
        <v>23000</v>
      </c>
      <c r="R933" s="22"/>
      <c r="S933" s="21"/>
      <c r="T933" s="51"/>
    </row>
    <row r="934" spans="1:21" x14ac:dyDescent="0.2">
      <c r="A934" s="95">
        <v>2</v>
      </c>
      <c r="B934" s="108" t="str">
        <f>IF(A934&lt;&gt;0,INDEX(Coûts,'PA-Détails'!A934, 2),)</f>
        <v>Assistance technique nationale (consultants)</v>
      </c>
      <c r="C934" s="51"/>
      <c r="D934" s="94" t="str">
        <f>IF(A934&lt;&gt;0,INDEX(Coûts, 'PA-Détails'!A934, 5),)</f>
        <v>Pers / j</v>
      </c>
      <c r="E934" s="96">
        <v>20</v>
      </c>
      <c r="F934" s="100"/>
      <c r="G934" s="100"/>
      <c r="H934" s="100"/>
      <c r="I934" s="100"/>
      <c r="J934" s="101">
        <f t="shared" si="509"/>
        <v>20</v>
      </c>
      <c r="K934" s="115">
        <f>IF(A934&lt;&gt;0,INDEX(Coûts, 'PA-Détails'!A934, 3),)</f>
        <v>300</v>
      </c>
      <c r="L934" s="37">
        <f t="shared" si="510"/>
        <v>6000</v>
      </c>
      <c r="M934" s="36">
        <f t="shared" si="510"/>
        <v>0</v>
      </c>
      <c r="N934" s="36">
        <f t="shared" si="510"/>
        <v>0</v>
      </c>
      <c r="O934" s="36">
        <f t="shared" si="510"/>
        <v>0</v>
      </c>
      <c r="P934" s="268">
        <f t="shared" si="510"/>
        <v>0</v>
      </c>
      <c r="Q934" s="281">
        <f t="shared" si="511"/>
        <v>6000</v>
      </c>
      <c r="R934" s="22"/>
      <c r="S934" s="21"/>
      <c r="T934" s="51"/>
    </row>
    <row r="935" spans="1:21" x14ac:dyDescent="0.2">
      <c r="A935" s="95">
        <v>5</v>
      </c>
      <c r="B935" s="108" t="str">
        <f>IF(A935&lt;&gt;0,INDEX(Coûts,'PA-Détails'!A935, 2),)</f>
        <v>Atelier de validation</v>
      </c>
      <c r="C935" s="51"/>
      <c r="D935" s="94" t="str">
        <f>IF(A935&lt;&gt;0,INDEX(Coûts, 'PA-Détails'!A935, 5),)</f>
        <v>Pers / j</v>
      </c>
      <c r="E935" s="96">
        <v>50</v>
      </c>
      <c r="F935" s="100"/>
      <c r="G935" s="100"/>
      <c r="H935" s="100"/>
      <c r="I935" s="100"/>
      <c r="J935" s="101">
        <f t="shared" si="509"/>
        <v>50</v>
      </c>
      <c r="K935" s="115">
        <f>IF(A935&lt;&gt;0,INDEX(Coûts, 'PA-Détails'!A935, 3),)</f>
        <v>50</v>
      </c>
      <c r="L935" s="37">
        <f t="shared" si="510"/>
        <v>2500</v>
      </c>
      <c r="M935" s="36">
        <f t="shared" si="510"/>
        <v>0</v>
      </c>
      <c r="N935" s="36">
        <f t="shared" si="510"/>
        <v>0</v>
      </c>
      <c r="O935" s="36">
        <f t="shared" si="510"/>
        <v>0</v>
      </c>
      <c r="P935" s="268">
        <f t="shared" si="510"/>
        <v>0</v>
      </c>
      <c r="Q935" s="281">
        <f t="shared" si="511"/>
        <v>2500</v>
      </c>
      <c r="R935" s="22"/>
      <c r="S935" s="21"/>
      <c r="T935" s="51"/>
    </row>
    <row r="936" spans="1:21" x14ac:dyDescent="0.2">
      <c r="A936" s="11" t="s">
        <v>109</v>
      </c>
      <c r="B936" s="13"/>
      <c r="C936" s="113"/>
      <c r="D936" s="12"/>
      <c r="E936" s="105"/>
      <c r="F936" s="106"/>
      <c r="G936" s="106"/>
      <c r="H936" s="106"/>
      <c r="I936" s="106"/>
      <c r="J936" s="107">
        <f t="shared" si="509"/>
        <v>0</v>
      </c>
      <c r="K936" s="144"/>
      <c r="L936" s="30">
        <f t="shared" si="510"/>
        <v>0</v>
      </c>
      <c r="M936" s="29">
        <f t="shared" si="510"/>
        <v>0</v>
      </c>
      <c r="N936" s="29">
        <f t="shared" si="510"/>
        <v>0</v>
      </c>
      <c r="O936" s="29">
        <f t="shared" si="510"/>
        <v>0</v>
      </c>
      <c r="P936" s="266">
        <f t="shared" si="510"/>
        <v>0</v>
      </c>
      <c r="Q936" s="277">
        <f t="shared" si="511"/>
        <v>0</v>
      </c>
      <c r="R936" s="176"/>
      <c r="S936" s="177"/>
      <c r="T936" s="48"/>
      <c r="U936" s="653">
        <f>+SUM(Q$6:Q935)/2</f>
        <v>5692342122.3515062</v>
      </c>
    </row>
    <row r="937" spans="1:21" x14ac:dyDescent="0.2">
      <c r="A937" s="14" t="s">
        <v>580</v>
      </c>
      <c r="B937" s="44"/>
      <c r="C937" s="112"/>
      <c r="D937" s="15"/>
      <c r="E937" s="102"/>
      <c r="F937" s="103"/>
      <c r="G937" s="103"/>
      <c r="H937" s="103"/>
      <c r="I937" s="103"/>
      <c r="J937" s="104">
        <f t="shared" si="509"/>
        <v>0</v>
      </c>
      <c r="K937" s="145"/>
      <c r="L937" s="33">
        <f t="shared" si="510"/>
        <v>0</v>
      </c>
      <c r="M937" s="32">
        <f t="shared" si="510"/>
        <v>0</v>
      </c>
      <c r="N937" s="32">
        <f t="shared" si="510"/>
        <v>0</v>
      </c>
      <c r="O937" s="32">
        <f t="shared" si="510"/>
        <v>0</v>
      </c>
      <c r="P937" s="267">
        <f t="shared" si="510"/>
        <v>0</v>
      </c>
      <c r="Q937" s="278">
        <f t="shared" si="511"/>
        <v>0</v>
      </c>
      <c r="R937" s="40"/>
      <c r="S937" s="145"/>
      <c r="T937" s="49">
        <v>1</v>
      </c>
    </row>
    <row r="938" spans="1:21" x14ac:dyDescent="0.2">
      <c r="A938" s="17" t="s">
        <v>110</v>
      </c>
      <c r="B938" s="45"/>
      <c r="C938" s="51" t="s">
        <v>581</v>
      </c>
      <c r="D938" s="18"/>
      <c r="E938" s="97"/>
      <c r="F938" s="98"/>
      <c r="G938" s="98"/>
      <c r="H938" s="98"/>
      <c r="I938" s="98"/>
      <c r="J938" s="99">
        <f t="shared" si="509"/>
        <v>0</v>
      </c>
      <c r="K938" s="116"/>
      <c r="L938" s="35">
        <f t="shared" si="510"/>
        <v>0</v>
      </c>
      <c r="M938" s="34">
        <f t="shared" si="510"/>
        <v>0</v>
      </c>
      <c r="N938" s="34">
        <f t="shared" si="510"/>
        <v>0</v>
      </c>
      <c r="O938" s="34">
        <f t="shared" si="510"/>
        <v>0</v>
      </c>
      <c r="P938" s="269">
        <f t="shared" si="510"/>
        <v>0</v>
      </c>
      <c r="Q938" s="279">
        <f t="shared" si="511"/>
        <v>0</v>
      </c>
      <c r="R938" s="38"/>
      <c r="S938" s="116"/>
      <c r="T938" s="50"/>
    </row>
    <row r="939" spans="1:21" x14ac:dyDescent="0.2">
      <c r="A939" s="20" t="s">
        <v>582</v>
      </c>
      <c r="B939" s="46"/>
      <c r="C939" s="51"/>
      <c r="D939" s="21"/>
      <c r="E939" s="96"/>
      <c r="F939" s="100"/>
      <c r="G939" s="100"/>
      <c r="H939" s="100"/>
      <c r="I939" s="100"/>
      <c r="J939" s="101">
        <f t="shared" si="509"/>
        <v>0</v>
      </c>
      <c r="K939" s="115"/>
      <c r="L939" s="161">
        <f t="shared" ref="L939:Q939" si="512">SUM(L940:L940)</f>
        <v>600000</v>
      </c>
      <c r="M939" s="157">
        <f t="shared" si="512"/>
        <v>600000</v>
      </c>
      <c r="N939" s="157">
        <f t="shared" si="512"/>
        <v>600000</v>
      </c>
      <c r="O939" s="157">
        <f t="shared" si="512"/>
        <v>600000</v>
      </c>
      <c r="P939" s="270">
        <f t="shared" si="512"/>
        <v>600000</v>
      </c>
      <c r="Q939" s="284">
        <f t="shared" si="512"/>
        <v>3000000</v>
      </c>
      <c r="R939" s="39" t="s">
        <v>1421</v>
      </c>
      <c r="S939" s="115" t="s">
        <v>663</v>
      </c>
      <c r="T939" s="51"/>
    </row>
    <row r="940" spans="1:21" x14ac:dyDescent="0.2">
      <c r="A940" s="95">
        <v>96</v>
      </c>
      <c r="B940" s="108" t="str">
        <f>IF(A940&lt;&gt;0,INDEX(Coûts,'PA-Détails'!A940, 2),)</f>
        <v>Bourse d'études pour les filles dans les filière d'ingénieurs</v>
      </c>
      <c r="C940" s="51"/>
      <c r="D940" s="94" t="str">
        <f>IF(A940&lt;&gt;0,INDEX(Coûts, 'PA-Détails'!A940, 5),)</f>
        <v>Forfait annuel</v>
      </c>
      <c r="E940" s="96">
        <v>1000</v>
      </c>
      <c r="F940" s="100">
        <f>E940</f>
        <v>1000</v>
      </c>
      <c r="G940" s="100">
        <f>F940</f>
        <v>1000</v>
      </c>
      <c r="H940" s="100">
        <f>G940</f>
        <v>1000</v>
      </c>
      <c r="I940" s="100">
        <f>H940</f>
        <v>1000</v>
      </c>
      <c r="J940" s="101">
        <f t="shared" si="509"/>
        <v>5000</v>
      </c>
      <c r="K940" s="115">
        <f>IF(A940&lt;&gt;0,INDEX(Coûts, 'PA-Détails'!A940, 3),)</f>
        <v>600</v>
      </c>
      <c r="L940" s="37">
        <f t="shared" ref="L940:P942" si="513">ROUND(+$K940*E940,0)</f>
        <v>600000</v>
      </c>
      <c r="M940" s="36">
        <f t="shared" si="513"/>
        <v>600000</v>
      </c>
      <c r="N940" s="36">
        <f t="shared" si="513"/>
        <v>600000</v>
      </c>
      <c r="O940" s="36">
        <f t="shared" si="513"/>
        <v>600000</v>
      </c>
      <c r="P940" s="268">
        <f t="shared" si="513"/>
        <v>600000</v>
      </c>
      <c r="Q940" s="281">
        <f>SUM(L940:P940)</f>
        <v>3000000</v>
      </c>
      <c r="R940" s="39"/>
      <c r="S940" s="115"/>
      <c r="T940" s="51"/>
    </row>
    <row r="941" spans="1:21" x14ac:dyDescent="0.2">
      <c r="A941" s="14" t="s">
        <v>918</v>
      </c>
      <c r="B941" s="44"/>
      <c r="C941" s="112"/>
      <c r="D941" s="15"/>
      <c r="E941" s="102"/>
      <c r="F941" s="103"/>
      <c r="G941" s="103"/>
      <c r="H941" s="103"/>
      <c r="I941" s="103"/>
      <c r="J941" s="104">
        <f t="shared" si="509"/>
        <v>0</v>
      </c>
      <c r="K941" s="145"/>
      <c r="L941" s="33">
        <f t="shared" si="513"/>
        <v>0</v>
      </c>
      <c r="M941" s="32">
        <f t="shared" si="513"/>
        <v>0</v>
      </c>
      <c r="N941" s="32">
        <f t="shared" si="513"/>
        <v>0</v>
      </c>
      <c r="O941" s="32">
        <f t="shared" si="513"/>
        <v>0</v>
      </c>
      <c r="P941" s="267">
        <f t="shared" si="513"/>
        <v>0</v>
      </c>
      <c r="Q941" s="278">
        <f>SUM(L941:P941)</f>
        <v>0</v>
      </c>
      <c r="R941" s="178"/>
      <c r="S941" s="179"/>
      <c r="T941" s="49">
        <v>1</v>
      </c>
    </row>
    <row r="942" spans="1:21" x14ac:dyDescent="0.2">
      <c r="A942" s="17" t="s">
        <v>111</v>
      </c>
      <c r="B942" s="45"/>
      <c r="C942" s="329" t="s">
        <v>248</v>
      </c>
      <c r="D942" s="18"/>
      <c r="E942" s="97"/>
      <c r="F942" s="98"/>
      <c r="G942" s="98"/>
      <c r="H942" s="98"/>
      <c r="I942" s="98"/>
      <c r="J942" s="99">
        <f t="shared" si="509"/>
        <v>0</v>
      </c>
      <c r="K942" s="116"/>
      <c r="L942" s="35">
        <f t="shared" si="513"/>
        <v>0</v>
      </c>
      <c r="M942" s="34">
        <f t="shared" si="513"/>
        <v>0</v>
      </c>
      <c r="N942" s="34">
        <f t="shared" si="513"/>
        <v>0</v>
      </c>
      <c r="O942" s="34">
        <f t="shared" si="513"/>
        <v>0</v>
      </c>
      <c r="P942" s="269">
        <f t="shared" si="513"/>
        <v>0</v>
      </c>
      <c r="Q942" s="279">
        <f>SUM(L942:P942)</f>
        <v>0</v>
      </c>
      <c r="R942" s="180"/>
      <c r="S942" s="181"/>
      <c r="T942" s="50"/>
    </row>
    <row r="943" spans="1:21" x14ac:dyDescent="0.2">
      <c r="A943" s="20" t="s">
        <v>921</v>
      </c>
      <c r="B943" s="46"/>
      <c r="C943" s="51"/>
      <c r="D943" s="21"/>
      <c r="E943" s="96"/>
      <c r="F943" s="100"/>
      <c r="G943" s="100"/>
      <c r="H943" s="100"/>
      <c r="I943" s="100"/>
      <c r="J943" s="101">
        <f t="shared" si="509"/>
        <v>0</v>
      </c>
      <c r="K943" s="115"/>
      <c r="L943" s="161">
        <f t="shared" ref="L943:Q943" si="514">SUM(L944:L945)</f>
        <v>0</v>
      </c>
      <c r="M943" s="157">
        <f t="shared" si="514"/>
        <v>0</v>
      </c>
      <c r="N943" s="157">
        <f t="shared" si="514"/>
        <v>13000</v>
      </c>
      <c r="O943" s="157">
        <f t="shared" si="514"/>
        <v>0</v>
      </c>
      <c r="P943" s="270">
        <f t="shared" si="514"/>
        <v>0</v>
      </c>
      <c r="Q943" s="284">
        <f t="shared" si="514"/>
        <v>13000</v>
      </c>
      <c r="R943" s="182" t="s">
        <v>794</v>
      </c>
      <c r="S943" s="183" t="s">
        <v>793</v>
      </c>
      <c r="T943" s="51"/>
    </row>
    <row r="944" spans="1:21" x14ac:dyDescent="0.2">
      <c r="A944" s="95">
        <v>2</v>
      </c>
      <c r="B944" s="108" t="str">
        <f>IF(A944&lt;&gt;0,INDEX(Coûts,'PA-Détails'!A944, 2),)</f>
        <v>Assistance technique nationale (consultants)</v>
      </c>
      <c r="C944" s="51"/>
      <c r="D944" s="94" t="str">
        <f>IF(A944&lt;&gt;0,INDEX(Coûts, 'PA-Détails'!A944, 5),)</f>
        <v>Pers / j</v>
      </c>
      <c r="E944" s="96"/>
      <c r="F944" s="100"/>
      <c r="G944" s="100">
        <v>20</v>
      </c>
      <c r="H944" s="100"/>
      <c r="I944" s="100"/>
      <c r="J944" s="101"/>
      <c r="K944" s="115">
        <f>IF(A944&lt;&gt;0,INDEX(Coûts, 'PA-Détails'!A944, 3),)</f>
        <v>300</v>
      </c>
      <c r="L944" s="37">
        <f t="shared" ref="L944:P945" si="515">ROUND(+$K944*E944,0)</f>
        <v>0</v>
      </c>
      <c r="M944" s="36">
        <f t="shared" si="515"/>
        <v>0</v>
      </c>
      <c r="N944" s="36">
        <f t="shared" si="515"/>
        <v>6000</v>
      </c>
      <c r="O944" s="36">
        <f t="shared" si="515"/>
        <v>0</v>
      </c>
      <c r="P944" s="268">
        <f t="shared" si="515"/>
        <v>0</v>
      </c>
      <c r="Q944" s="281">
        <f>SUM(L944:P944)</f>
        <v>6000</v>
      </c>
      <c r="R944" s="182"/>
      <c r="S944" s="183"/>
      <c r="T944" s="51"/>
    </row>
    <row r="945" spans="1:20" x14ac:dyDescent="0.2">
      <c r="A945" s="95">
        <v>11</v>
      </c>
      <c r="B945" s="108" t="str">
        <f>IF(A945&lt;&gt;0,INDEX(Coûts,'PA-Détails'!A945, 2),)</f>
        <v>Atelier technique</v>
      </c>
      <c r="C945" s="51"/>
      <c r="D945" s="94" t="str">
        <f>IF(A945&lt;&gt;0,INDEX(Coûts, 'PA-Détails'!A945, 5),)</f>
        <v>Pers / j</v>
      </c>
      <c r="E945" s="96"/>
      <c r="F945" s="100"/>
      <c r="G945" s="100">
        <v>100</v>
      </c>
      <c r="H945" s="100"/>
      <c r="I945" s="100"/>
      <c r="J945" s="101"/>
      <c r="K945" s="115">
        <f>IF(A945&lt;&gt;0,INDEX(Coûts, 'PA-Détails'!A945, 3),)</f>
        <v>70</v>
      </c>
      <c r="L945" s="37">
        <f t="shared" si="515"/>
        <v>0</v>
      </c>
      <c r="M945" s="36">
        <f t="shared" si="515"/>
        <v>0</v>
      </c>
      <c r="N945" s="36">
        <f t="shared" si="515"/>
        <v>7000</v>
      </c>
      <c r="O945" s="36">
        <f t="shared" si="515"/>
        <v>0</v>
      </c>
      <c r="P945" s="268">
        <f t="shared" si="515"/>
        <v>0</v>
      </c>
      <c r="Q945" s="281">
        <f>SUM(L945:P945)</f>
        <v>7000</v>
      </c>
      <c r="R945" s="182"/>
      <c r="S945" s="183"/>
      <c r="T945" s="51"/>
    </row>
    <row r="946" spans="1:20" x14ac:dyDescent="0.2">
      <c r="A946" s="20" t="s">
        <v>920</v>
      </c>
      <c r="B946" s="46"/>
      <c r="C946" s="51"/>
      <c r="D946" s="21"/>
      <c r="E946" s="96"/>
      <c r="F946" s="100"/>
      <c r="G946" s="100"/>
      <c r="H946" s="100"/>
      <c r="I946" s="100"/>
      <c r="J946" s="101">
        <f t="shared" ref="J946:J977" si="516">SUM(E946:I946)</f>
        <v>0</v>
      </c>
      <c r="K946" s="115"/>
      <c r="L946" s="161">
        <f t="shared" ref="L946:Q946" si="517">SUM(L947:L947)</f>
        <v>0</v>
      </c>
      <c r="M946" s="157">
        <f t="shared" si="517"/>
        <v>0</v>
      </c>
      <c r="N946" s="157">
        <f t="shared" si="517"/>
        <v>0</v>
      </c>
      <c r="O946" s="157">
        <f t="shared" si="517"/>
        <v>2400000</v>
      </c>
      <c r="P946" s="270">
        <f t="shared" si="517"/>
        <v>3600000</v>
      </c>
      <c r="Q946" s="284">
        <f t="shared" si="517"/>
        <v>6000000</v>
      </c>
      <c r="R946" s="182" t="s">
        <v>794</v>
      </c>
      <c r="S946" s="183" t="s">
        <v>793</v>
      </c>
      <c r="T946" s="51"/>
    </row>
    <row r="947" spans="1:20" x14ac:dyDescent="0.2">
      <c r="A947" s="95">
        <v>24</v>
      </c>
      <c r="B947" s="108" t="str">
        <f>IF(A947&lt;&gt;0,INDEX(Coûts,'PA-Détails'!A947, 2),)</f>
        <v>Construction d'une place assise (1m2/ étudiant) à l'enseignement supérieur</v>
      </c>
      <c r="C947" s="51"/>
      <c r="D947" s="94" t="str">
        <f>IF(A947&lt;&gt;0,INDEX(Coûts, 'PA-Détails'!A947, 5),)</f>
        <v>Unité</v>
      </c>
      <c r="E947" s="96"/>
      <c r="F947" s="100"/>
      <c r="G947" s="100"/>
      <c r="H947" s="100">
        <f>1200*2</f>
        <v>2400</v>
      </c>
      <c r="I947" s="100">
        <f>1200*3</f>
        <v>3600</v>
      </c>
      <c r="J947" s="101">
        <f t="shared" si="516"/>
        <v>6000</v>
      </c>
      <c r="K947" s="115">
        <f>IF(A947&lt;&gt;0,INDEX(Coûts, 'PA-Détails'!A947, 3),)</f>
        <v>1000</v>
      </c>
      <c r="L947" s="37">
        <f t="shared" ref="L947:P949" si="518">ROUND(+$K947*E947,0)</f>
        <v>0</v>
      </c>
      <c r="M947" s="36">
        <f t="shared" si="518"/>
        <v>0</v>
      </c>
      <c r="N947" s="36">
        <f t="shared" si="518"/>
        <v>0</v>
      </c>
      <c r="O947" s="36">
        <f t="shared" si="518"/>
        <v>2400000</v>
      </c>
      <c r="P947" s="268">
        <f t="shared" si="518"/>
        <v>3600000</v>
      </c>
      <c r="Q947" s="281">
        <f>SUM(L947:P947)</f>
        <v>6000000</v>
      </c>
      <c r="R947" s="182"/>
      <c r="S947" s="183"/>
      <c r="T947" s="51"/>
    </row>
    <row r="948" spans="1:20" x14ac:dyDescent="0.2">
      <c r="A948" s="14" t="s">
        <v>919</v>
      </c>
      <c r="B948" s="44"/>
      <c r="C948" s="112"/>
      <c r="D948" s="15"/>
      <c r="E948" s="102"/>
      <c r="F948" s="103"/>
      <c r="G948" s="103"/>
      <c r="H948" s="103"/>
      <c r="I948" s="103"/>
      <c r="J948" s="104">
        <f t="shared" si="516"/>
        <v>0</v>
      </c>
      <c r="K948" s="145"/>
      <c r="L948" s="33">
        <f t="shared" si="518"/>
        <v>0</v>
      </c>
      <c r="M948" s="32">
        <f t="shared" si="518"/>
        <v>0</v>
      </c>
      <c r="N948" s="32">
        <f t="shared" si="518"/>
        <v>0</v>
      </c>
      <c r="O948" s="32">
        <f t="shared" si="518"/>
        <v>0</v>
      </c>
      <c r="P948" s="267">
        <f t="shared" si="518"/>
        <v>0</v>
      </c>
      <c r="Q948" s="278">
        <f>SUM(L948:P948)</f>
        <v>0</v>
      </c>
      <c r="R948" s="178"/>
      <c r="S948" s="179"/>
      <c r="T948" s="49">
        <v>1</v>
      </c>
    </row>
    <row r="949" spans="1:20" x14ac:dyDescent="0.2">
      <c r="A949" s="17" t="s">
        <v>112</v>
      </c>
      <c r="B949" s="45"/>
      <c r="C949" s="329" t="s">
        <v>249</v>
      </c>
      <c r="D949" s="18"/>
      <c r="E949" s="97"/>
      <c r="F949" s="98"/>
      <c r="G949" s="98"/>
      <c r="H949" s="98"/>
      <c r="I949" s="98"/>
      <c r="J949" s="99">
        <f t="shared" si="516"/>
        <v>0</v>
      </c>
      <c r="K949" s="116"/>
      <c r="L949" s="35">
        <f t="shared" si="518"/>
        <v>0</v>
      </c>
      <c r="M949" s="34">
        <f t="shared" si="518"/>
        <v>0</v>
      </c>
      <c r="N949" s="34">
        <f t="shared" si="518"/>
        <v>0</v>
      </c>
      <c r="O949" s="34">
        <f t="shared" si="518"/>
        <v>0</v>
      </c>
      <c r="P949" s="269">
        <f t="shared" si="518"/>
        <v>0</v>
      </c>
      <c r="Q949" s="279">
        <f>SUM(L949:P949)</f>
        <v>0</v>
      </c>
      <c r="R949" s="180"/>
      <c r="S949" s="181"/>
      <c r="T949" s="50"/>
    </row>
    <row r="950" spans="1:20" x14ac:dyDescent="0.2">
      <c r="A950" s="20" t="s">
        <v>250</v>
      </c>
      <c r="B950" s="46"/>
      <c r="C950" s="51"/>
      <c r="D950" s="21"/>
      <c r="E950" s="96"/>
      <c r="F950" s="100"/>
      <c r="G950" s="100"/>
      <c r="H950" s="100"/>
      <c r="I950" s="100"/>
      <c r="J950" s="101">
        <f t="shared" si="516"/>
        <v>0</v>
      </c>
      <c r="K950" s="115"/>
      <c r="L950" s="161">
        <f t="shared" ref="L950:Q950" si="519">SUM(L951:L951)</f>
        <v>197234293.68609142</v>
      </c>
      <c r="M950" s="157">
        <f t="shared" si="519"/>
        <v>218808214.6899963</v>
      </c>
      <c r="N950" s="157">
        <f t="shared" si="519"/>
        <v>241584510.76659358</v>
      </c>
      <c r="O950" s="157">
        <f t="shared" si="519"/>
        <v>264370294.54020697</v>
      </c>
      <c r="P950" s="270">
        <f t="shared" si="519"/>
        <v>286625248.99435449</v>
      </c>
      <c r="Q950" s="284">
        <f t="shared" si="519"/>
        <v>1208622562.6772428</v>
      </c>
      <c r="R950" s="182" t="s">
        <v>1420</v>
      </c>
      <c r="S950" s="183" t="s">
        <v>663</v>
      </c>
      <c r="T950" s="51"/>
    </row>
    <row r="951" spans="1:20" x14ac:dyDescent="0.2">
      <c r="A951" s="95">
        <v>213</v>
      </c>
      <c r="B951" s="108" t="str">
        <f>IF(A951&lt;&gt;0,INDEX(Coûts,'PA-Détails'!A951, 2),)</f>
        <v>Salaires des enseignants du supérieur</v>
      </c>
      <c r="C951" s="51"/>
      <c r="D951" s="94" t="str">
        <f>IF(A951&lt;&gt;0,INDEX(Coûts, 'PA-Détails'!A951, 5),)</f>
        <v>Salaire/an/p</v>
      </c>
      <c r="E951" s="230">
        <f>[5]Supérieur!I$280+[5]Supérieur!I$301+[5]TED!$K$88</f>
        <v>20200.694197442252</v>
      </c>
      <c r="F951" s="231">
        <f>[5]Supérieur!J$280+[5]Supérieur!J$301+[5]TED!$K$88</f>
        <v>20574.085537957362</v>
      </c>
      <c r="G951" s="231">
        <f>[5]Supérieur!K$280+[5]Supérieur!K$301+[5]TED!$K$88</f>
        <v>21035.401925221842</v>
      </c>
      <c r="H951" s="231">
        <f>[5]Supérieur!L$280+[5]Supérieur!L$301+[5]TED!$K$88</f>
        <v>21588.738735839259</v>
      </c>
      <c r="I951" s="231">
        <f>[5]Supérieur!M$280+[5]Supérieur!M$301+[5]TED!$K$88</f>
        <v>22205.670678483133</v>
      </c>
      <c r="J951" s="232">
        <f t="shared" si="516"/>
        <v>105604.59107494385</v>
      </c>
      <c r="K951" s="289">
        <f>Q951/J951</f>
        <v>11444.791844509165</v>
      </c>
      <c r="L951" s="233">
        <f>[5]Coûts!M$247+[5]Coûts!M$216+[5]Coûts!M$185</f>
        <v>197234293.68609142</v>
      </c>
      <c r="M951" s="234">
        <f>[5]Coûts!N$247+[5]Coûts!N$216+[5]Coûts!N$185</f>
        <v>218808214.6899963</v>
      </c>
      <c r="N951" s="234">
        <f>[5]Coûts!O$247+[5]Coûts!O$216+[5]Coûts!O$185</f>
        <v>241584510.76659358</v>
      </c>
      <c r="O951" s="234">
        <f>[5]Coûts!P$247+[5]Coûts!P$216+[5]Coûts!P$185</f>
        <v>264370294.54020697</v>
      </c>
      <c r="P951" s="272">
        <f>[5]Coûts!Q$247+[5]Coûts!Q$216+[5]Coûts!Q$185</f>
        <v>286625248.99435449</v>
      </c>
      <c r="Q951" s="332">
        <f>SUM(L951:P951)</f>
        <v>1208622562.6772428</v>
      </c>
      <c r="R951" s="182"/>
      <c r="S951" s="183"/>
      <c r="T951" s="51"/>
    </row>
    <row r="952" spans="1:20" x14ac:dyDescent="0.2">
      <c r="A952" s="17" t="s">
        <v>113</v>
      </c>
      <c r="B952" s="45"/>
      <c r="C952" s="329" t="s">
        <v>251</v>
      </c>
      <c r="D952" s="18"/>
      <c r="E952" s="97"/>
      <c r="F952" s="98"/>
      <c r="G952" s="98"/>
      <c r="H952" s="98"/>
      <c r="I952" s="98"/>
      <c r="J952" s="99">
        <f t="shared" si="516"/>
        <v>0</v>
      </c>
      <c r="K952" s="116"/>
      <c r="L952" s="35">
        <f>ROUND(+$K952*E952,0)</f>
        <v>0</v>
      </c>
      <c r="M952" s="34">
        <f>ROUND(+$K952*F952,0)</f>
        <v>0</v>
      </c>
      <c r="N952" s="34">
        <f>ROUND(+$K952*G952,0)</f>
        <v>0</v>
      </c>
      <c r="O952" s="34">
        <f>ROUND(+$K952*H952,0)</f>
        <v>0</v>
      </c>
      <c r="P952" s="269">
        <f>ROUND(+$K952*I952,0)</f>
        <v>0</v>
      </c>
      <c r="Q952" s="279">
        <f>SUM(L952:P952)</f>
        <v>0</v>
      </c>
      <c r="R952" s="180"/>
      <c r="S952" s="181"/>
      <c r="T952" s="50"/>
    </row>
    <row r="953" spans="1:20" x14ac:dyDescent="0.2">
      <c r="A953" s="20" t="s">
        <v>253</v>
      </c>
      <c r="B953" s="46"/>
      <c r="C953" s="51"/>
      <c r="D953" s="21"/>
      <c r="E953" s="96"/>
      <c r="F953" s="100"/>
      <c r="G953" s="100"/>
      <c r="H953" s="100"/>
      <c r="I953" s="100"/>
      <c r="J953" s="101">
        <f t="shared" si="516"/>
        <v>0</v>
      </c>
      <c r="K953" s="115"/>
      <c r="L953" s="161">
        <f t="shared" ref="L953:Q953" si="520">SUM(L954:L954)</f>
        <v>1200000</v>
      </c>
      <c r="M953" s="157">
        <f t="shared" si="520"/>
        <v>1200000</v>
      </c>
      <c r="N953" s="157">
        <f t="shared" si="520"/>
        <v>1200000</v>
      </c>
      <c r="O953" s="157">
        <f t="shared" si="520"/>
        <v>1200000</v>
      </c>
      <c r="P953" s="270">
        <f t="shared" si="520"/>
        <v>1200000</v>
      </c>
      <c r="Q953" s="284">
        <f t="shared" si="520"/>
        <v>6000000</v>
      </c>
      <c r="R953" s="182" t="s">
        <v>794</v>
      </c>
      <c r="S953" s="183" t="s">
        <v>663</v>
      </c>
      <c r="T953" s="51"/>
    </row>
    <row r="954" spans="1:20" x14ac:dyDescent="0.2">
      <c r="A954" s="95">
        <v>31</v>
      </c>
      <c r="B954" s="108" t="str">
        <f>IF(A954&lt;&gt;0,INDEX(Coûts,'PA-Détails'!A954, 2),)</f>
        <v>Construction et équipement amphithéâtre 300 places</v>
      </c>
      <c r="C954" s="51"/>
      <c r="D954" s="94" t="str">
        <f>IF(A954&lt;&gt;0,INDEX(Coûts, 'PA-Détails'!A954, 5),)</f>
        <v>Forfait</v>
      </c>
      <c r="E954" s="96">
        <v>8</v>
      </c>
      <c r="F954" s="100">
        <v>8</v>
      </c>
      <c r="G954" s="100">
        <v>8</v>
      </c>
      <c r="H954" s="100">
        <v>8</v>
      </c>
      <c r="I954" s="100">
        <v>8</v>
      </c>
      <c r="J954" s="101">
        <f t="shared" si="516"/>
        <v>40</v>
      </c>
      <c r="K954" s="115">
        <f>IF(A954&lt;&gt;0,INDEX(Coûts, 'PA-Détails'!A954, 3),)</f>
        <v>150000</v>
      </c>
      <c r="L954" s="37">
        <f>ROUND(+$K954*E954,0)</f>
        <v>1200000</v>
      </c>
      <c r="M954" s="36">
        <f>ROUND(+$K954*F954,0)</f>
        <v>1200000</v>
      </c>
      <c r="N954" s="36">
        <f>ROUND(+$K954*G954,0)</f>
        <v>1200000</v>
      </c>
      <c r="O954" s="36">
        <f>ROUND(+$K954*H954,0)</f>
        <v>1200000</v>
      </c>
      <c r="P954" s="268">
        <f>ROUND(+$K954*I954,0)</f>
        <v>1200000</v>
      </c>
      <c r="Q954" s="281">
        <f>SUM(L954:P954)</f>
        <v>6000000</v>
      </c>
      <c r="R954" s="182"/>
      <c r="S954" s="183"/>
      <c r="T954" s="51"/>
    </row>
    <row r="955" spans="1:20" x14ac:dyDescent="0.2">
      <c r="A955" s="20" t="s">
        <v>254</v>
      </c>
      <c r="B955" s="46"/>
      <c r="C955" s="51"/>
      <c r="D955" s="21"/>
      <c r="E955" s="96"/>
      <c r="F955" s="100"/>
      <c r="G955" s="100"/>
      <c r="H955" s="100"/>
      <c r="I955" s="100"/>
      <c r="J955" s="101">
        <f t="shared" si="516"/>
        <v>0</v>
      </c>
      <c r="K955" s="115"/>
      <c r="L955" s="161">
        <f t="shared" ref="L955:Q955" si="521">SUM(L956:L956)</f>
        <v>2000000</v>
      </c>
      <c r="M955" s="157">
        <f t="shared" si="521"/>
        <v>2000000</v>
      </c>
      <c r="N955" s="157">
        <f t="shared" si="521"/>
        <v>2000000</v>
      </c>
      <c r="O955" s="157">
        <f t="shared" si="521"/>
        <v>2000000</v>
      </c>
      <c r="P955" s="270">
        <f t="shared" si="521"/>
        <v>2000000</v>
      </c>
      <c r="Q955" s="284">
        <f t="shared" si="521"/>
        <v>10000000</v>
      </c>
      <c r="R955" s="182" t="s">
        <v>794</v>
      </c>
      <c r="S955" s="183" t="s">
        <v>663</v>
      </c>
      <c r="T955" s="51"/>
    </row>
    <row r="956" spans="1:20" x14ac:dyDescent="0.2">
      <c r="A956" s="95">
        <v>32</v>
      </c>
      <c r="B956" s="108" t="str">
        <f>IF(A956&lt;&gt;0,INDEX(Coûts,'PA-Détails'!A956, 2),)</f>
        <v>Construction et équipement salle pour le supérieur 100 places</v>
      </c>
      <c r="C956" s="51"/>
      <c r="D956" s="94" t="str">
        <f>IF(A956&lt;&gt;0,INDEX(Coûts, 'PA-Détails'!A956, 5),)</f>
        <v>Forfait</v>
      </c>
      <c r="E956" s="96">
        <v>40</v>
      </c>
      <c r="F956" s="100">
        <v>40</v>
      </c>
      <c r="G956" s="100">
        <v>40</v>
      </c>
      <c r="H956" s="100">
        <v>40</v>
      </c>
      <c r="I956" s="100">
        <v>40</v>
      </c>
      <c r="J956" s="101">
        <f t="shared" si="516"/>
        <v>200</v>
      </c>
      <c r="K956" s="115">
        <f>IF(A956&lt;&gt;0,INDEX(Coûts, 'PA-Détails'!A956, 3),)</f>
        <v>50000</v>
      </c>
      <c r="L956" s="37">
        <f>ROUND(+$K956*E956,0)</f>
        <v>2000000</v>
      </c>
      <c r="M956" s="36">
        <f>ROUND(+$K956*F956,0)</f>
        <v>2000000</v>
      </c>
      <c r="N956" s="36">
        <f>ROUND(+$K956*G956,0)</f>
        <v>2000000</v>
      </c>
      <c r="O956" s="36">
        <f>ROUND(+$K956*H956,0)</f>
        <v>2000000</v>
      </c>
      <c r="P956" s="268">
        <f>ROUND(+$K956*I956,0)</f>
        <v>2000000</v>
      </c>
      <c r="Q956" s="281">
        <f>SUM(L956:P956)</f>
        <v>10000000</v>
      </c>
      <c r="R956" s="182"/>
      <c r="S956" s="183"/>
      <c r="T956" s="51"/>
    </row>
    <row r="957" spans="1:20" x14ac:dyDescent="0.2">
      <c r="A957" s="123" t="s">
        <v>256</v>
      </c>
      <c r="B957" s="46"/>
      <c r="C957" s="51"/>
      <c r="D957" s="21"/>
      <c r="E957" s="96"/>
      <c r="F957" s="100"/>
      <c r="G957" s="100"/>
      <c r="H957" s="100"/>
      <c r="I957" s="100"/>
      <c r="J957" s="101">
        <f t="shared" si="516"/>
        <v>0</v>
      </c>
      <c r="K957" s="115"/>
      <c r="L957" s="161">
        <f t="shared" ref="L957:Q957" si="522">SUM(L958:L959)</f>
        <v>4000000</v>
      </c>
      <c r="M957" s="157">
        <f t="shared" si="522"/>
        <v>3750000</v>
      </c>
      <c r="N957" s="157">
        <f t="shared" si="522"/>
        <v>4750000</v>
      </c>
      <c r="O957" s="157">
        <f t="shared" si="522"/>
        <v>0</v>
      </c>
      <c r="P957" s="270">
        <f t="shared" si="522"/>
        <v>0</v>
      </c>
      <c r="Q957" s="284">
        <f t="shared" si="522"/>
        <v>12500000</v>
      </c>
      <c r="R957" s="182" t="s">
        <v>794</v>
      </c>
      <c r="S957" s="183" t="s">
        <v>795</v>
      </c>
      <c r="T957" s="51"/>
    </row>
    <row r="958" spans="1:20" x14ac:dyDescent="0.2">
      <c r="A958" s="95">
        <v>33</v>
      </c>
      <c r="B958" s="108" t="str">
        <f>IF(A958&lt;&gt;0,INDEX(Coûts,'PA-Détails'!A958, 2),)</f>
        <v>Réhabilitation des laboratoires et atelier</v>
      </c>
      <c r="C958" s="51"/>
      <c r="D958" s="94" t="str">
        <f>IF(A958&lt;&gt;0,INDEX(Coûts, 'PA-Détails'!A958, 5),)</f>
        <v>Forfait</v>
      </c>
      <c r="E958" s="96">
        <v>20</v>
      </c>
      <c r="F958" s="100">
        <v>15</v>
      </c>
      <c r="G958" s="100">
        <v>15</v>
      </c>
      <c r="H958" s="100"/>
      <c r="I958" s="100"/>
      <c r="J958" s="101">
        <f t="shared" si="516"/>
        <v>50</v>
      </c>
      <c r="K958" s="115">
        <f>IF(A958&lt;&gt;0,INDEX(Coûts, 'PA-Détails'!A958, 3),)</f>
        <v>50000</v>
      </c>
      <c r="L958" s="37">
        <f t="shared" ref="L958:P961" si="523">ROUND(+$K958*E958,0)</f>
        <v>1000000</v>
      </c>
      <c r="M958" s="36">
        <f t="shared" si="523"/>
        <v>750000</v>
      </c>
      <c r="N958" s="36">
        <f t="shared" si="523"/>
        <v>750000</v>
      </c>
      <c r="O958" s="36">
        <f t="shared" si="523"/>
        <v>0</v>
      </c>
      <c r="P958" s="268">
        <f t="shared" si="523"/>
        <v>0</v>
      </c>
      <c r="Q958" s="281">
        <f>SUM(L958:P958)</f>
        <v>2500000</v>
      </c>
      <c r="R958" s="182"/>
      <c r="S958" s="183"/>
      <c r="T958" s="51"/>
    </row>
    <row r="959" spans="1:20" x14ac:dyDescent="0.2">
      <c r="A959" s="95">
        <v>48</v>
      </c>
      <c r="B959" s="108" t="str">
        <f>IF(A959&lt;&gt;0,INDEX(Coûts,'PA-Détails'!A959, 2),)</f>
        <v>Équipement de laboratoire et atelier (supérieur)</v>
      </c>
      <c r="C959" s="51"/>
      <c r="D959" s="94" t="str">
        <f>IF(A959&lt;&gt;0,INDEX(Coûts, 'PA-Détails'!A959, 5),)</f>
        <v>Forfait</v>
      </c>
      <c r="E959" s="96">
        <v>30</v>
      </c>
      <c r="F959" s="100">
        <v>30</v>
      </c>
      <c r="G959" s="100">
        <v>40</v>
      </c>
      <c r="H959" s="100"/>
      <c r="I959" s="100"/>
      <c r="J959" s="101">
        <f t="shared" si="516"/>
        <v>100</v>
      </c>
      <c r="K959" s="115">
        <f>IF(A959&lt;&gt;0,INDEX(Coûts, 'PA-Détails'!A959, 3),)</f>
        <v>100000</v>
      </c>
      <c r="L959" s="37">
        <f t="shared" si="523"/>
        <v>3000000</v>
      </c>
      <c r="M959" s="36">
        <f t="shared" si="523"/>
        <v>3000000</v>
      </c>
      <c r="N959" s="36">
        <f t="shared" si="523"/>
        <v>4000000</v>
      </c>
      <c r="O959" s="36">
        <f t="shared" si="523"/>
        <v>0</v>
      </c>
      <c r="P959" s="268">
        <f t="shared" si="523"/>
        <v>0</v>
      </c>
      <c r="Q959" s="281">
        <f>SUM(L959:P959)</f>
        <v>10000000</v>
      </c>
      <c r="R959" s="182"/>
      <c r="S959" s="183"/>
      <c r="T959" s="51"/>
    </row>
    <row r="960" spans="1:20" x14ac:dyDescent="0.2">
      <c r="A960" s="14" t="s">
        <v>1112</v>
      </c>
      <c r="B960" s="44"/>
      <c r="C960" s="112"/>
      <c r="D960" s="15"/>
      <c r="E960" s="102"/>
      <c r="F960" s="103"/>
      <c r="G960" s="103"/>
      <c r="H960" s="103"/>
      <c r="I960" s="103"/>
      <c r="J960" s="104">
        <f t="shared" si="516"/>
        <v>0</v>
      </c>
      <c r="K960" s="145"/>
      <c r="L960" s="33">
        <f t="shared" si="523"/>
        <v>0</v>
      </c>
      <c r="M960" s="32">
        <f t="shared" si="523"/>
        <v>0</v>
      </c>
      <c r="N960" s="32">
        <f t="shared" si="523"/>
        <v>0</v>
      </c>
      <c r="O960" s="32">
        <f t="shared" si="523"/>
        <v>0</v>
      </c>
      <c r="P960" s="267">
        <f t="shared" si="523"/>
        <v>0</v>
      </c>
      <c r="Q960" s="278">
        <f>SUM(L960:P960)</f>
        <v>0</v>
      </c>
      <c r="R960" s="40"/>
      <c r="S960" s="15"/>
      <c r="T960" s="112">
        <v>2</v>
      </c>
    </row>
    <row r="961" spans="1:20" x14ac:dyDescent="0.2">
      <c r="A961" s="17" t="s">
        <v>114</v>
      </c>
      <c r="B961" s="45"/>
      <c r="C961" s="51" t="s">
        <v>522</v>
      </c>
      <c r="D961" s="18"/>
      <c r="E961" s="97"/>
      <c r="F961" s="98"/>
      <c r="G961" s="98"/>
      <c r="H961" s="98"/>
      <c r="I961" s="98"/>
      <c r="J961" s="99">
        <f t="shared" si="516"/>
        <v>0</v>
      </c>
      <c r="K961" s="116"/>
      <c r="L961" s="35">
        <f t="shared" si="523"/>
        <v>0</v>
      </c>
      <c r="M961" s="34">
        <f t="shared" si="523"/>
        <v>0</v>
      </c>
      <c r="N961" s="34">
        <f t="shared" si="523"/>
        <v>0</v>
      </c>
      <c r="O961" s="34">
        <f t="shared" si="523"/>
        <v>0</v>
      </c>
      <c r="P961" s="269">
        <f t="shared" si="523"/>
        <v>0</v>
      </c>
      <c r="Q961" s="279">
        <f>SUM(L961:P961)</f>
        <v>0</v>
      </c>
      <c r="R961" s="38"/>
      <c r="S961" s="18"/>
      <c r="T961" s="51"/>
    </row>
    <row r="962" spans="1:20" x14ac:dyDescent="0.2">
      <c r="A962" s="20" t="s">
        <v>523</v>
      </c>
      <c r="B962" s="46"/>
      <c r="C962" s="51"/>
      <c r="D962" s="21"/>
      <c r="E962" s="96"/>
      <c r="F962" s="100"/>
      <c r="G962" s="100"/>
      <c r="H962" s="100"/>
      <c r="I962" s="100"/>
      <c r="J962" s="101">
        <f t="shared" si="516"/>
        <v>0</v>
      </c>
      <c r="K962" s="115"/>
      <c r="L962" s="161">
        <f t="shared" ref="L962:Q962" si="524">SUM(L963:L963)</f>
        <v>2500</v>
      </c>
      <c r="M962" s="157">
        <f t="shared" si="524"/>
        <v>0</v>
      </c>
      <c r="N962" s="157">
        <f t="shared" si="524"/>
        <v>0</v>
      </c>
      <c r="O962" s="157">
        <f t="shared" si="524"/>
        <v>0</v>
      </c>
      <c r="P962" s="270">
        <f t="shared" si="524"/>
        <v>0</v>
      </c>
      <c r="Q962" s="284">
        <f t="shared" si="524"/>
        <v>2500</v>
      </c>
      <c r="R962" s="39" t="s">
        <v>796</v>
      </c>
      <c r="S962" s="197" t="s">
        <v>798</v>
      </c>
      <c r="T962" s="51"/>
    </row>
    <row r="963" spans="1:20" x14ac:dyDescent="0.2">
      <c r="A963" s="95">
        <v>5</v>
      </c>
      <c r="B963" s="108" t="str">
        <f>IF(A963&lt;&gt;0,INDEX(Coûts,'PA-Détails'!A963, 2),)</f>
        <v>Atelier de validation</v>
      </c>
      <c r="C963" s="51"/>
      <c r="D963" s="94" t="str">
        <f>IF(A963&lt;&gt;0,INDEX(Coûts, 'PA-Détails'!A963, 5),)</f>
        <v>Pers / j</v>
      </c>
      <c r="E963" s="96">
        <f>1*50</f>
        <v>50</v>
      </c>
      <c r="F963" s="100"/>
      <c r="G963" s="100"/>
      <c r="H963" s="100"/>
      <c r="I963" s="100"/>
      <c r="J963" s="101">
        <f t="shared" si="516"/>
        <v>50</v>
      </c>
      <c r="K963" s="115">
        <f>IF(A963&lt;&gt;0,INDEX(Coûts, 'PA-Détails'!A963, 3),)</f>
        <v>50</v>
      </c>
      <c r="L963" s="37">
        <f>ROUND(+$K963*E963,0)</f>
        <v>2500</v>
      </c>
      <c r="M963" s="36">
        <f>ROUND(+$K963*F963,0)</f>
        <v>0</v>
      </c>
      <c r="N963" s="36">
        <f>ROUND(+$K963*G963,0)</f>
        <v>0</v>
      </c>
      <c r="O963" s="36">
        <f>ROUND(+$K963*H963,0)</f>
        <v>0</v>
      </c>
      <c r="P963" s="268">
        <f>ROUND(+$K963*I963,0)</f>
        <v>0</v>
      </c>
      <c r="Q963" s="281">
        <f>SUM(L963:P963)</f>
        <v>2500</v>
      </c>
      <c r="R963" s="39"/>
      <c r="S963" s="21"/>
      <c r="T963" s="51"/>
    </row>
    <row r="964" spans="1:20" x14ac:dyDescent="0.2">
      <c r="A964" s="20" t="s">
        <v>797</v>
      </c>
      <c r="B964" s="46"/>
      <c r="C964" s="51"/>
      <c r="D964" s="21"/>
      <c r="E964" s="96"/>
      <c r="F964" s="100"/>
      <c r="G964" s="100"/>
      <c r="H964" s="100"/>
      <c r="I964" s="100"/>
      <c r="J964" s="101">
        <f t="shared" si="516"/>
        <v>0</v>
      </c>
      <c r="K964" s="115"/>
      <c r="L964" s="161">
        <f t="shared" ref="L964:Q964" si="525">SUM(L965:L965)</f>
        <v>440000</v>
      </c>
      <c r="M964" s="157">
        <f t="shared" si="525"/>
        <v>440000</v>
      </c>
      <c r="N964" s="157">
        <f t="shared" si="525"/>
        <v>0</v>
      </c>
      <c r="O964" s="157">
        <f t="shared" si="525"/>
        <v>0</v>
      </c>
      <c r="P964" s="270">
        <f t="shared" si="525"/>
        <v>0</v>
      </c>
      <c r="Q964" s="284">
        <f t="shared" si="525"/>
        <v>880000</v>
      </c>
      <c r="R964" s="39" t="s">
        <v>796</v>
      </c>
      <c r="S964" s="197" t="s">
        <v>798</v>
      </c>
      <c r="T964" s="51"/>
    </row>
    <row r="965" spans="1:20" x14ac:dyDescent="0.2">
      <c r="A965" s="95">
        <v>8</v>
      </c>
      <c r="B965" s="108" t="str">
        <f>IF(A965&lt;&gt;0,INDEX(Coûts,'PA-Détails'!A965, 2),)</f>
        <v>Formation</v>
      </c>
      <c r="C965" s="51"/>
      <c r="D965" s="94" t="str">
        <f>IF(A965&lt;&gt;0,INDEX(Coûts, 'PA-Détails'!A965, 5),)</f>
        <v>Pers / j</v>
      </c>
      <c r="E965" s="96">
        <f>400*2*5</f>
        <v>4000</v>
      </c>
      <c r="F965" s="100">
        <f>E965</f>
        <v>4000</v>
      </c>
      <c r="G965" s="100"/>
      <c r="H965" s="100"/>
      <c r="I965" s="100"/>
      <c r="J965" s="101">
        <f t="shared" si="516"/>
        <v>8000</v>
      </c>
      <c r="K965" s="115">
        <f>IF(A965&lt;&gt;0,INDEX(Coûts, 'PA-Détails'!A965, 3),)</f>
        <v>110</v>
      </c>
      <c r="L965" s="37">
        <f>ROUND(+$K965*E965,0)</f>
        <v>440000</v>
      </c>
      <c r="M965" s="36">
        <f>ROUND(+$K965*F965,0)</f>
        <v>440000</v>
      </c>
      <c r="N965" s="36">
        <f>ROUND(+$K965*G965,0)</f>
        <v>0</v>
      </c>
      <c r="O965" s="36">
        <f>ROUND(+$K965*H965,0)</f>
        <v>0</v>
      </c>
      <c r="P965" s="268">
        <f>ROUND(+$K965*I965,0)</f>
        <v>0</v>
      </c>
      <c r="Q965" s="281">
        <f>SUM(L965:P965)</f>
        <v>880000</v>
      </c>
      <c r="R965" s="39"/>
      <c r="S965" s="21"/>
      <c r="T965" s="51"/>
    </row>
    <row r="966" spans="1:20" x14ac:dyDescent="0.2">
      <c r="A966" s="20" t="s">
        <v>524</v>
      </c>
      <c r="B966" s="46"/>
      <c r="C966" s="51"/>
      <c r="D966" s="21"/>
      <c r="E966" s="96"/>
      <c r="F966" s="100"/>
      <c r="G966" s="100"/>
      <c r="H966" s="100"/>
      <c r="I966" s="100"/>
      <c r="J966" s="101">
        <f t="shared" si="516"/>
        <v>0</v>
      </c>
      <c r="K966" s="115"/>
      <c r="L966" s="161">
        <f t="shared" ref="L966:Q966" si="526">SUM(L967:L967)</f>
        <v>2000000</v>
      </c>
      <c r="M966" s="157">
        <f t="shared" si="526"/>
        <v>0</v>
      </c>
      <c r="N966" s="157">
        <f t="shared" si="526"/>
        <v>0</v>
      </c>
      <c r="O966" s="157">
        <f t="shared" si="526"/>
        <v>0</v>
      </c>
      <c r="P966" s="270">
        <f t="shared" si="526"/>
        <v>0</v>
      </c>
      <c r="Q966" s="284">
        <f t="shared" si="526"/>
        <v>2000000</v>
      </c>
      <c r="R966" s="39" t="s">
        <v>796</v>
      </c>
      <c r="S966" s="197" t="s">
        <v>670</v>
      </c>
      <c r="T966" s="51"/>
    </row>
    <row r="967" spans="1:20" x14ac:dyDescent="0.2">
      <c r="A967" s="95">
        <v>101</v>
      </c>
      <c r="B967" s="108" t="str">
        <f>IF(A967&lt;&gt;0,INDEX(Coûts,'PA-Détails'!A967, 2),)</f>
        <v>Enveloppe pour réhabilitation et équipement des CAQ</v>
      </c>
      <c r="C967" s="51"/>
      <c r="D967" s="94" t="str">
        <f>IF(A967&lt;&gt;0,INDEX(Coûts, 'PA-Détails'!A967, 5),)</f>
        <v>Forfait</v>
      </c>
      <c r="E967" s="96">
        <f>400</f>
        <v>400</v>
      </c>
      <c r="F967" s="100"/>
      <c r="G967" s="100"/>
      <c r="H967" s="100"/>
      <c r="I967" s="100"/>
      <c r="J967" s="101">
        <f t="shared" si="516"/>
        <v>400</v>
      </c>
      <c r="K967" s="115">
        <f>IF(A967&lt;&gt;0,INDEX(Coûts, 'PA-Détails'!A967, 3),)</f>
        <v>5000</v>
      </c>
      <c r="L967" s="37">
        <f t="shared" ref="L967:P968" si="527">ROUND(+$K967*E967,0)</f>
        <v>2000000</v>
      </c>
      <c r="M967" s="36">
        <f t="shared" si="527"/>
        <v>0</v>
      </c>
      <c r="N967" s="36">
        <f t="shared" si="527"/>
        <v>0</v>
      </c>
      <c r="O967" s="36">
        <f t="shared" si="527"/>
        <v>0</v>
      </c>
      <c r="P967" s="268">
        <f t="shared" si="527"/>
        <v>0</v>
      </c>
      <c r="Q967" s="281">
        <f>SUM(L967:P967)</f>
        <v>2000000</v>
      </c>
      <c r="R967" s="39"/>
      <c r="S967" s="21"/>
      <c r="T967" s="51"/>
    </row>
    <row r="968" spans="1:20" x14ac:dyDescent="0.2">
      <c r="A968" s="17" t="s">
        <v>525</v>
      </c>
      <c r="B968" s="45"/>
      <c r="C968" s="51" t="s">
        <v>526</v>
      </c>
      <c r="D968" s="18"/>
      <c r="E968" s="97"/>
      <c r="F968" s="98"/>
      <c r="G968" s="98"/>
      <c r="H968" s="98"/>
      <c r="I968" s="98"/>
      <c r="J968" s="99">
        <f t="shared" si="516"/>
        <v>0</v>
      </c>
      <c r="K968" s="116"/>
      <c r="L968" s="35">
        <f t="shared" si="527"/>
        <v>0</v>
      </c>
      <c r="M968" s="34">
        <f t="shared" si="527"/>
        <v>0</v>
      </c>
      <c r="N968" s="34">
        <f t="shared" si="527"/>
        <v>0</v>
      </c>
      <c r="O968" s="34">
        <f t="shared" si="527"/>
        <v>0</v>
      </c>
      <c r="P968" s="269">
        <f t="shared" si="527"/>
        <v>0</v>
      </c>
      <c r="Q968" s="279">
        <f>SUM(L968:P968)</f>
        <v>0</v>
      </c>
      <c r="R968" s="38"/>
      <c r="S968" s="18"/>
      <c r="T968" s="51"/>
    </row>
    <row r="969" spans="1:20" x14ac:dyDescent="0.2">
      <c r="A969" s="20" t="s">
        <v>1113</v>
      </c>
      <c r="B969" s="46"/>
      <c r="C969" s="51"/>
      <c r="D969" s="21"/>
      <c r="E969" s="96"/>
      <c r="F969" s="100"/>
      <c r="G969" s="100"/>
      <c r="H969" s="100"/>
      <c r="I969" s="100"/>
      <c r="J969" s="101">
        <f t="shared" si="516"/>
        <v>0</v>
      </c>
      <c r="K969" s="115"/>
      <c r="L969" s="161">
        <f t="shared" ref="L969:Q969" si="528">SUM(L970:L971)</f>
        <v>70500</v>
      </c>
      <c r="M969" s="157">
        <f t="shared" si="528"/>
        <v>0</v>
      </c>
      <c r="N969" s="157">
        <f t="shared" si="528"/>
        <v>0</v>
      </c>
      <c r="O969" s="157">
        <f t="shared" si="528"/>
        <v>0</v>
      </c>
      <c r="P969" s="270">
        <f t="shared" si="528"/>
        <v>0</v>
      </c>
      <c r="Q969" s="284">
        <f t="shared" si="528"/>
        <v>70500</v>
      </c>
      <c r="R969" s="39" t="s">
        <v>796</v>
      </c>
      <c r="S969" s="197" t="s">
        <v>670</v>
      </c>
      <c r="T969" s="51"/>
    </row>
    <row r="970" spans="1:20" x14ac:dyDescent="0.2">
      <c r="A970" s="95">
        <v>1</v>
      </c>
      <c r="B970" s="108" t="str">
        <f>IF(A970&lt;&gt;0,INDEX(Coûts,'PA-Détails'!A970, 2),)</f>
        <v>Assistance technique internationale (consultants)</v>
      </c>
      <c r="C970" s="51"/>
      <c r="D970" s="94" t="str">
        <f>IF(A970&lt;&gt;0,INDEX(Coûts, 'PA-Détails'!A970, 5),)</f>
        <v>Pers / j</v>
      </c>
      <c r="E970" s="96">
        <v>20</v>
      </c>
      <c r="F970" s="100"/>
      <c r="G970" s="100"/>
      <c r="H970" s="100"/>
      <c r="I970" s="100"/>
      <c r="J970" s="101">
        <f t="shared" si="516"/>
        <v>20</v>
      </c>
      <c r="K970" s="115">
        <f>IF(A970&lt;&gt;0,INDEX(Coûts, 'PA-Détails'!A970, 3),)</f>
        <v>1150</v>
      </c>
      <c r="L970" s="37">
        <f t="shared" ref="L970:P971" si="529">ROUND(+$K970*E970,0)</f>
        <v>23000</v>
      </c>
      <c r="M970" s="36">
        <f t="shared" si="529"/>
        <v>0</v>
      </c>
      <c r="N970" s="36">
        <f t="shared" si="529"/>
        <v>0</v>
      </c>
      <c r="O970" s="36">
        <f t="shared" si="529"/>
        <v>0</v>
      </c>
      <c r="P970" s="268">
        <f t="shared" si="529"/>
        <v>0</v>
      </c>
      <c r="Q970" s="281">
        <f>SUM(L970:P970)</f>
        <v>23000</v>
      </c>
      <c r="R970" s="39"/>
      <c r="S970" s="21"/>
      <c r="T970" s="51"/>
    </row>
    <row r="971" spans="1:20" x14ac:dyDescent="0.2">
      <c r="A971" s="95">
        <v>7</v>
      </c>
      <c r="B971" s="108" t="str">
        <f>IF(A971&lt;&gt;0,INDEX(Coûts,'PA-Détails'!A971, 2),)</f>
        <v>Séminaire</v>
      </c>
      <c r="C971" s="51"/>
      <c r="D971" s="94" t="str">
        <f>IF(A971&lt;&gt;0,INDEX(Coûts, 'PA-Détails'!A971, 5),)</f>
        <v>Pers / j</v>
      </c>
      <c r="E971" s="96">
        <v>250</v>
      </c>
      <c r="F971" s="100"/>
      <c r="G971" s="100"/>
      <c r="H971" s="100"/>
      <c r="I971" s="100"/>
      <c r="J971" s="101">
        <f t="shared" si="516"/>
        <v>250</v>
      </c>
      <c r="K971" s="115">
        <f>IF(A971&lt;&gt;0,INDEX(Coûts, 'PA-Détails'!A971, 3),)</f>
        <v>190</v>
      </c>
      <c r="L971" s="37">
        <f t="shared" si="529"/>
        <v>47500</v>
      </c>
      <c r="M971" s="36">
        <f t="shared" si="529"/>
        <v>0</v>
      </c>
      <c r="N971" s="36">
        <f t="shared" si="529"/>
        <v>0</v>
      </c>
      <c r="O971" s="36">
        <f t="shared" si="529"/>
        <v>0</v>
      </c>
      <c r="P971" s="268">
        <f t="shared" si="529"/>
        <v>0</v>
      </c>
      <c r="Q971" s="281">
        <f>SUM(L971:P971)</f>
        <v>47500</v>
      </c>
      <c r="R971" s="39"/>
      <c r="S971" s="21"/>
      <c r="T971" s="51"/>
    </row>
    <row r="972" spans="1:20" x14ac:dyDescent="0.2">
      <c r="A972" s="20" t="s">
        <v>527</v>
      </c>
      <c r="B972" s="46"/>
      <c r="C972" s="51"/>
      <c r="D972" s="21"/>
      <c r="E972" s="96"/>
      <c r="F972" s="100"/>
      <c r="G972" s="100"/>
      <c r="H972" s="100"/>
      <c r="I972" s="100"/>
      <c r="J972" s="101">
        <f t="shared" si="516"/>
        <v>0</v>
      </c>
      <c r="K972" s="115"/>
      <c r="L972" s="161">
        <f t="shared" ref="L972:Q972" si="530">SUM(L973:L974)</f>
        <v>0</v>
      </c>
      <c r="M972" s="157">
        <f t="shared" si="530"/>
        <v>1900000</v>
      </c>
      <c r="N972" s="157">
        <f t="shared" si="530"/>
        <v>1800000</v>
      </c>
      <c r="O972" s="157">
        <f t="shared" si="530"/>
        <v>1800000</v>
      </c>
      <c r="P972" s="270">
        <f t="shared" si="530"/>
        <v>1800000</v>
      </c>
      <c r="Q972" s="284">
        <f t="shared" si="530"/>
        <v>7300000</v>
      </c>
      <c r="R972" s="39" t="s">
        <v>796</v>
      </c>
      <c r="S972" s="197" t="s">
        <v>801</v>
      </c>
      <c r="T972" s="51"/>
    </row>
    <row r="973" spans="1:20" x14ac:dyDescent="0.2">
      <c r="A973" s="95">
        <v>102</v>
      </c>
      <c r="B973" s="108" t="str">
        <f>IF(A973&lt;&gt;0,INDEX(Coûts,'PA-Détails'!A973, 2),)</f>
        <v>Enveloppe d'installation et équipement de l'ANIAQ</v>
      </c>
      <c r="C973" s="51"/>
      <c r="D973" s="94" t="str">
        <f>IF(A973&lt;&gt;0,INDEX(Coûts, 'PA-Détails'!A973, 5),)</f>
        <v>Forfait</v>
      </c>
      <c r="E973" s="96"/>
      <c r="F973" s="100">
        <v>1</v>
      </c>
      <c r="G973" s="100"/>
      <c r="H973" s="100"/>
      <c r="I973" s="100"/>
      <c r="J973" s="101">
        <f t="shared" si="516"/>
        <v>1</v>
      </c>
      <c r="K973" s="115">
        <f>IF(A973&lt;&gt;0,INDEX(Coûts, 'PA-Détails'!A973, 3),)</f>
        <v>100000</v>
      </c>
      <c r="L973" s="37">
        <f t="shared" ref="L973:P976" si="531">ROUND(+$K973*E973,0)</f>
        <v>0</v>
      </c>
      <c r="M973" s="36">
        <f t="shared" si="531"/>
        <v>100000</v>
      </c>
      <c r="N973" s="36">
        <f t="shared" si="531"/>
        <v>0</v>
      </c>
      <c r="O973" s="36">
        <f t="shared" si="531"/>
        <v>0</v>
      </c>
      <c r="P973" s="268">
        <f t="shared" si="531"/>
        <v>0</v>
      </c>
      <c r="Q973" s="281">
        <f>SUM(L973:P973)</f>
        <v>100000</v>
      </c>
      <c r="R973" s="39"/>
      <c r="S973" s="21"/>
      <c r="T973" s="51"/>
    </row>
    <row r="974" spans="1:20" x14ac:dyDescent="0.2">
      <c r="A974" s="95">
        <v>103</v>
      </c>
      <c r="B974" s="108" t="str">
        <f>IF(A974&lt;&gt;0,INDEX(Coûts,'PA-Détails'!A974, 2),)</f>
        <v>Enveloppe de fonctionnement de l'ANIAQ</v>
      </c>
      <c r="C974" s="51"/>
      <c r="D974" s="94" t="str">
        <f>IF(A974&lt;&gt;0,INDEX(Coûts, 'PA-Détails'!A974, 5),)</f>
        <v>Forfait</v>
      </c>
      <c r="E974" s="96"/>
      <c r="F974" s="100">
        <v>1</v>
      </c>
      <c r="G974" s="100">
        <v>1</v>
      </c>
      <c r="H974" s="100">
        <v>1</v>
      </c>
      <c r="I974" s="100">
        <v>1</v>
      </c>
      <c r="J974" s="101">
        <f t="shared" si="516"/>
        <v>4</v>
      </c>
      <c r="K974" s="115">
        <f>IF(A974&lt;&gt;0,INDEX(Coûts, 'PA-Détails'!A974, 3),)</f>
        <v>1800000</v>
      </c>
      <c r="L974" s="37">
        <f t="shared" si="531"/>
        <v>0</v>
      </c>
      <c r="M974" s="36">
        <f t="shared" si="531"/>
        <v>1800000</v>
      </c>
      <c r="N974" s="36">
        <f t="shared" si="531"/>
        <v>1800000</v>
      </c>
      <c r="O974" s="36">
        <f t="shared" si="531"/>
        <v>1800000</v>
      </c>
      <c r="P974" s="268">
        <f t="shared" si="531"/>
        <v>1800000</v>
      </c>
      <c r="Q974" s="281">
        <f>SUM(L974:P974)</f>
        <v>7200000</v>
      </c>
      <c r="R974" s="39"/>
      <c r="S974" s="21"/>
      <c r="T974" s="51"/>
    </row>
    <row r="975" spans="1:20" x14ac:dyDescent="0.2">
      <c r="A975" s="14" t="s">
        <v>528</v>
      </c>
      <c r="B975" s="44"/>
      <c r="C975" s="112"/>
      <c r="D975" s="15"/>
      <c r="E975" s="102"/>
      <c r="F975" s="103"/>
      <c r="G975" s="103"/>
      <c r="H975" s="103"/>
      <c r="I975" s="103"/>
      <c r="J975" s="104">
        <f t="shared" si="516"/>
        <v>0</v>
      </c>
      <c r="K975" s="145"/>
      <c r="L975" s="33">
        <f t="shared" si="531"/>
        <v>0</v>
      </c>
      <c r="M975" s="32">
        <f t="shared" si="531"/>
        <v>0</v>
      </c>
      <c r="N975" s="32">
        <f t="shared" si="531"/>
        <v>0</v>
      </c>
      <c r="O975" s="32">
        <f t="shared" si="531"/>
        <v>0</v>
      </c>
      <c r="P975" s="267">
        <f t="shared" si="531"/>
        <v>0</v>
      </c>
      <c r="Q975" s="278">
        <f>SUM(L975:P975)</f>
        <v>0</v>
      </c>
      <c r="R975" s="40"/>
      <c r="S975" s="15"/>
      <c r="T975" s="112">
        <v>2</v>
      </c>
    </row>
    <row r="976" spans="1:20" x14ac:dyDescent="0.2">
      <c r="A976" s="17" t="s">
        <v>115</v>
      </c>
      <c r="B976" s="45"/>
      <c r="C976" s="51"/>
      <c r="D976" s="18"/>
      <c r="E976" s="97"/>
      <c r="F976" s="98"/>
      <c r="G976" s="98"/>
      <c r="H976" s="98"/>
      <c r="I976" s="98"/>
      <c r="J976" s="99">
        <f t="shared" si="516"/>
        <v>0</v>
      </c>
      <c r="K976" s="116"/>
      <c r="L976" s="35">
        <f t="shared" si="531"/>
        <v>0</v>
      </c>
      <c r="M976" s="34">
        <f t="shared" si="531"/>
        <v>0</v>
      </c>
      <c r="N976" s="34">
        <f t="shared" si="531"/>
        <v>0</v>
      </c>
      <c r="O976" s="34">
        <f t="shared" si="531"/>
        <v>0</v>
      </c>
      <c r="P976" s="269">
        <f t="shared" si="531"/>
        <v>0</v>
      </c>
      <c r="Q976" s="279">
        <f>SUM(L976:P976)</f>
        <v>0</v>
      </c>
      <c r="R976" s="38"/>
      <c r="S976" s="18"/>
      <c r="T976" s="51"/>
    </row>
    <row r="977" spans="1:20" x14ac:dyDescent="0.2">
      <c r="A977" s="20" t="s">
        <v>529</v>
      </c>
      <c r="B977" s="46"/>
      <c r="C977" s="51"/>
      <c r="D977" s="21"/>
      <c r="E977" s="96"/>
      <c r="F977" s="100"/>
      <c r="G977" s="100"/>
      <c r="H977" s="100"/>
      <c r="I977" s="100"/>
      <c r="J977" s="101">
        <f t="shared" si="516"/>
        <v>0</v>
      </c>
      <c r="K977" s="115"/>
      <c r="L977" s="161">
        <f t="shared" ref="L977:Q977" si="532">SUM(L978:L980)</f>
        <v>145500</v>
      </c>
      <c r="M977" s="157">
        <f t="shared" si="532"/>
        <v>145500</v>
      </c>
      <c r="N977" s="157">
        <f t="shared" si="532"/>
        <v>0</v>
      </c>
      <c r="O977" s="157">
        <f t="shared" si="532"/>
        <v>0</v>
      </c>
      <c r="P977" s="270">
        <f t="shared" si="532"/>
        <v>0</v>
      </c>
      <c r="Q977" s="284">
        <f t="shared" si="532"/>
        <v>291000</v>
      </c>
      <c r="R977" s="39" t="s">
        <v>799</v>
      </c>
      <c r="S977" s="197" t="s">
        <v>670</v>
      </c>
      <c r="T977" s="51"/>
    </row>
    <row r="978" spans="1:20" x14ac:dyDescent="0.2">
      <c r="A978" s="95">
        <v>1</v>
      </c>
      <c r="B978" s="108" t="str">
        <f>IF(A978&lt;&gt;0,INDEX(Coûts,'PA-Détails'!A978, 2),)</f>
        <v>Assistance technique internationale (consultants)</v>
      </c>
      <c r="C978" s="51"/>
      <c r="D978" s="94" t="str">
        <f>IF(A978&lt;&gt;0,INDEX(Coûts, 'PA-Détails'!A978, 5),)</f>
        <v>Pers / j</v>
      </c>
      <c r="E978" s="96">
        <v>50</v>
      </c>
      <c r="F978" s="100">
        <v>50</v>
      </c>
      <c r="G978" s="100"/>
      <c r="H978" s="100"/>
      <c r="I978" s="100"/>
      <c r="J978" s="101">
        <f t="shared" ref="J978:J1009" si="533">SUM(E978:I978)</f>
        <v>100</v>
      </c>
      <c r="K978" s="115">
        <f>IF(A978&lt;&gt;0,INDEX(Coûts, 'PA-Détails'!A978, 3),)</f>
        <v>1150</v>
      </c>
      <c r="L978" s="37">
        <f t="shared" ref="L978:P980" si="534">ROUND(+$K978*E978,0)</f>
        <v>57500</v>
      </c>
      <c r="M978" s="36">
        <f t="shared" si="534"/>
        <v>57500</v>
      </c>
      <c r="N978" s="36">
        <f t="shared" si="534"/>
        <v>0</v>
      </c>
      <c r="O978" s="36">
        <f t="shared" si="534"/>
        <v>0</v>
      </c>
      <c r="P978" s="268">
        <f t="shared" si="534"/>
        <v>0</v>
      </c>
      <c r="Q978" s="281">
        <f>SUM(L978:P978)</f>
        <v>115000</v>
      </c>
      <c r="R978" s="39"/>
      <c r="S978" s="21"/>
      <c r="T978" s="51"/>
    </row>
    <row r="979" spans="1:20" x14ac:dyDescent="0.2">
      <c r="A979" s="95">
        <v>2</v>
      </c>
      <c r="B979" s="108" t="str">
        <f>IF(A979&lt;&gt;0,INDEX(Coûts,'PA-Détails'!A979, 2),)</f>
        <v>Assistance technique nationale (consultants)</v>
      </c>
      <c r="C979" s="51"/>
      <c r="D979" s="94" t="str">
        <f>IF(A979&lt;&gt;0,INDEX(Coûts, 'PA-Détails'!A979, 5),)</f>
        <v>Pers / j</v>
      </c>
      <c r="E979" s="96">
        <v>200</v>
      </c>
      <c r="F979" s="100">
        <v>200</v>
      </c>
      <c r="G979" s="100"/>
      <c r="H979" s="100"/>
      <c r="I979" s="100"/>
      <c r="J979" s="101">
        <f t="shared" si="533"/>
        <v>400</v>
      </c>
      <c r="K979" s="115">
        <f>IF(A979&lt;&gt;0,INDEX(Coûts, 'PA-Détails'!A979, 3),)</f>
        <v>300</v>
      </c>
      <c r="L979" s="37">
        <f t="shared" si="534"/>
        <v>60000</v>
      </c>
      <c r="M979" s="36">
        <f t="shared" si="534"/>
        <v>60000</v>
      </c>
      <c r="N979" s="36">
        <f t="shared" si="534"/>
        <v>0</v>
      </c>
      <c r="O979" s="36">
        <f t="shared" si="534"/>
        <v>0</v>
      </c>
      <c r="P979" s="268">
        <f t="shared" si="534"/>
        <v>0</v>
      </c>
      <c r="Q979" s="281">
        <f>SUM(L979:P979)</f>
        <v>120000</v>
      </c>
      <c r="R979" s="39"/>
      <c r="S979" s="21"/>
      <c r="T979" s="51"/>
    </row>
    <row r="980" spans="1:20" x14ac:dyDescent="0.2">
      <c r="A980" s="95">
        <v>11</v>
      </c>
      <c r="B980" s="108" t="str">
        <f>IF(A980&lt;&gt;0,INDEX(Coûts,'PA-Détails'!A980, 2),)</f>
        <v>Atelier technique</v>
      </c>
      <c r="C980" s="51"/>
      <c r="D980" s="94" t="str">
        <f>IF(A980&lt;&gt;0,INDEX(Coûts, 'PA-Détails'!A980, 5),)</f>
        <v>Pers / j</v>
      </c>
      <c r="E980" s="96">
        <f>400/2*2</f>
        <v>400</v>
      </c>
      <c r="F980" s="100">
        <f>E980</f>
        <v>400</v>
      </c>
      <c r="G980" s="100"/>
      <c r="H980" s="100"/>
      <c r="I980" s="100"/>
      <c r="J980" s="101">
        <f t="shared" si="533"/>
        <v>800</v>
      </c>
      <c r="K980" s="115">
        <f>IF(A980&lt;&gt;0,INDEX(Coûts, 'PA-Détails'!A980, 3),)</f>
        <v>70</v>
      </c>
      <c r="L980" s="37">
        <f t="shared" si="534"/>
        <v>28000</v>
      </c>
      <c r="M980" s="36">
        <f t="shared" si="534"/>
        <v>28000</v>
      </c>
      <c r="N980" s="36">
        <f t="shared" si="534"/>
        <v>0</v>
      </c>
      <c r="O980" s="36">
        <f t="shared" si="534"/>
        <v>0</v>
      </c>
      <c r="P980" s="268">
        <f t="shared" si="534"/>
        <v>0</v>
      </c>
      <c r="Q980" s="281">
        <f>SUM(L980:P980)</f>
        <v>56000</v>
      </c>
      <c r="R980" s="39"/>
      <c r="S980" s="21"/>
      <c r="T980" s="51"/>
    </row>
    <row r="981" spans="1:20" x14ac:dyDescent="0.2">
      <c r="A981" s="20" t="s">
        <v>853</v>
      </c>
      <c r="B981" s="46"/>
      <c r="C981" s="51"/>
      <c r="D981" s="21"/>
      <c r="E981" s="96"/>
      <c r="F981" s="100"/>
      <c r="G981" s="100"/>
      <c r="H981" s="100"/>
      <c r="I981" s="100"/>
      <c r="J981" s="101">
        <f t="shared" si="533"/>
        <v>0</v>
      </c>
      <c r="K981" s="115"/>
      <c r="L981" s="161">
        <f t="shared" ref="L981:Q981" si="535">SUM(L982:L983)</f>
        <v>0</v>
      </c>
      <c r="M981" s="157">
        <f t="shared" si="535"/>
        <v>5366500</v>
      </c>
      <c r="N981" s="157">
        <f t="shared" si="535"/>
        <v>5398000</v>
      </c>
      <c r="O981" s="157">
        <f t="shared" si="535"/>
        <v>0</v>
      </c>
      <c r="P981" s="270">
        <f t="shared" si="535"/>
        <v>0</v>
      </c>
      <c r="Q981" s="284">
        <f t="shared" si="535"/>
        <v>10764500</v>
      </c>
      <c r="R981" s="39" t="s">
        <v>799</v>
      </c>
      <c r="S981" s="197" t="s">
        <v>670</v>
      </c>
      <c r="T981" s="51"/>
    </row>
    <row r="982" spans="1:20" x14ac:dyDescent="0.2">
      <c r="A982" s="95">
        <v>2</v>
      </c>
      <c r="B982" s="108" t="str">
        <f>IF(A982&lt;&gt;0,INDEX(Coûts,'PA-Détails'!A982, 2),)</f>
        <v>Assistance technique nationale (consultants)</v>
      </c>
      <c r="C982" s="51"/>
      <c r="D982" s="94" t="str">
        <f>IF(A982&lt;&gt;0,INDEX(Coûts, 'PA-Détails'!A982, 5),)</f>
        <v>Pers / j</v>
      </c>
      <c r="E982" s="96"/>
      <c r="F982" s="100">
        <f>(70*3)/2</f>
        <v>105</v>
      </c>
      <c r="G982" s="100">
        <f>70*3</f>
        <v>210</v>
      </c>
      <c r="H982" s="100"/>
      <c r="I982" s="100"/>
      <c r="J982" s="101">
        <f t="shared" si="533"/>
        <v>315</v>
      </c>
      <c r="K982" s="115">
        <f>IF(A982&lt;&gt;0,INDEX(Coûts, 'PA-Détails'!A982, 3),)</f>
        <v>300</v>
      </c>
      <c r="L982" s="37">
        <f t="shared" ref="L982:P984" si="536">ROUND(+$K982*E982,0)</f>
        <v>0</v>
      </c>
      <c r="M982" s="36">
        <f t="shared" si="536"/>
        <v>31500</v>
      </c>
      <c r="N982" s="36">
        <f t="shared" si="536"/>
        <v>63000</v>
      </c>
      <c r="O982" s="36">
        <f t="shared" si="536"/>
        <v>0</v>
      </c>
      <c r="P982" s="268">
        <f t="shared" si="536"/>
        <v>0</v>
      </c>
      <c r="Q982" s="281">
        <f>SUM(L982:P982)</f>
        <v>94500</v>
      </c>
      <c r="R982" s="39"/>
      <c r="S982" s="21"/>
      <c r="T982" s="51"/>
    </row>
    <row r="983" spans="1:20" x14ac:dyDescent="0.2">
      <c r="A983" s="95">
        <v>8</v>
      </c>
      <c r="B983" s="108" t="str">
        <f>IF(A983&lt;&gt;0,INDEX(Coûts,'PA-Détails'!A983, 2),)</f>
        <v>Formation</v>
      </c>
      <c r="C983" s="51"/>
      <c r="D983" s="94" t="str">
        <f>IF(A983&lt;&gt;0,INDEX(Coûts, 'PA-Détails'!A983, 5),)</f>
        <v>Pers / j</v>
      </c>
      <c r="E983" s="96"/>
      <c r="F983" s="100">
        <f>9700*10/2</f>
        <v>48500</v>
      </c>
      <c r="G983" s="100">
        <f>F983</f>
        <v>48500</v>
      </c>
      <c r="H983" s="100"/>
      <c r="I983" s="100"/>
      <c r="J983" s="101">
        <f t="shared" si="533"/>
        <v>97000</v>
      </c>
      <c r="K983" s="115">
        <f>IF(A983&lt;&gt;0,INDEX(Coûts, 'PA-Détails'!A983, 3),)</f>
        <v>110</v>
      </c>
      <c r="L983" s="37">
        <f t="shared" si="536"/>
        <v>0</v>
      </c>
      <c r="M983" s="36">
        <f t="shared" si="536"/>
        <v>5335000</v>
      </c>
      <c r="N983" s="36">
        <f t="shared" si="536"/>
        <v>5335000</v>
      </c>
      <c r="O983" s="36">
        <f t="shared" si="536"/>
        <v>0</v>
      </c>
      <c r="P983" s="268">
        <f t="shared" si="536"/>
        <v>0</v>
      </c>
      <c r="Q983" s="281">
        <f>SUM(L983:P983)</f>
        <v>10670000</v>
      </c>
      <c r="R983" s="39"/>
      <c r="S983" s="21"/>
      <c r="T983" s="51"/>
    </row>
    <row r="984" spans="1:20" x14ac:dyDescent="0.2">
      <c r="A984" s="17" t="s">
        <v>1114</v>
      </c>
      <c r="B984" s="45"/>
      <c r="C984" s="51"/>
      <c r="D984" s="18"/>
      <c r="E984" s="97"/>
      <c r="F984" s="98"/>
      <c r="G984" s="98"/>
      <c r="H984" s="98"/>
      <c r="I984" s="98"/>
      <c r="J984" s="99">
        <f t="shared" si="533"/>
        <v>0</v>
      </c>
      <c r="K984" s="116"/>
      <c r="L984" s="35">
        <f t="shared" si="536"/>
        <v>0</v>
      </c>
      <c r="M984" s="34">
        <f t="shared" si="536"/>
        <v>0</v>
      </c>
      <c r="N984" s="34">
        <f t="shared" si="536"/>
        <v>0</v>
      </c>
      <c r="O984" s="34">
        <f t="shared" si="536"/>
        <v>0</v>
      </c>
      <c r="P984" s="269">
        <f t="shared" si="536"/>
        <v>0</v>
      </c>
      <c r="Q984" s="279">
        <f>SUM(L984:P984)</f>
        <v>0</v>
      </c>
      <c r="R984" s="38"/>
      <c r="S984" s="18"/>
      <c r="T984" s="51"/>
    </row>
    <row r="985" spans="1:20" x14ac:dyDescent="0.2">
      <c r="A985" s="20" t="s">
        <v>854</v>
      </c>
      <c r="B985" s="46"/>
      <c r="C985" s="51"/>
      <c r="D985" s="21"/>
      <c r="E985" s="96"/>
      <c r="F985" s="100"/>
      <c r="G985" s="100"/>
      <c r="H985" s="100"/>
      <c r="I985" s="100"/>
      <c r="J985" s="101">
        <f t="shared" si="533"/>
        <v>0</v>
      </c>
      <c r="K985" s="115"/>
      <c r="L985" s="161">
        <f t="shared" ref="L985:Q985" si="537">SUM(L986:L988)</f>
        <v>33500</v>
      </c>
      <c r="M985" s="157">
        <f t="shared" si="537"/>
        <v>0</v>
      </c>
      <c r="N985" s="157">
        <f t="shared" si="537"/>
        <v>0</v>
      </c>
      <c r="O985" s="157">
        <f t="shared" si="537"/>
        <v>0</v>
      </c>
      <c r="P985" s="270">
        <f t="shared" si="537"/>
        <v>0</v>
      </c>
      <c r="Q985" s="284">
        <f t="shared" si="537"/>
        <v>33500</v>
      </c>
      <c r="R985" s="39" t="s">
        <v>796</v>
      </c>
      <c r="S985" s="197" t="s">
        <v>793</v>
      </c>
      <c r="T985" s="51"/>
    </row>
    <row r="986" spans="1:20" x14ac:dyDescent="0.2">
      <c r="A986" s="95">
        <v>1</v>
      </c>
      <c r="B986" s="108" t="str">
        <f>IF(A986&lt;&gt;0,INDEX(Coûts,'PA-Détails'!A986, 2),)</f>
        <v>Assistance technique internationale (consultants)</v>
      </c>
      <c r="C986" s="51"/>
      <c r="D986" s="94" t="str">
        <f>IF(A986&lt;&gt;0,INDEX(Coûts, 'PA-Détails'!A986, 5),)</f>
        <v>Pers / j</v>
      </c>
      <c r="E986" s="96">
        <v>10</v>
      </c>
      <c r="F986" s="100"/>
      <c r="G986" s="100"/>
      <c r="H986" s="100"/>
      <c r="I986" s="100"/>
      <c r="J986" s="101">
        <f t="shared" si="533"/>
        <v>10</v>
      </c>
      <c r="K986" s="115">
        <f>IF(A986&lt;&gt;0,INDEX(Coûts, 'PA-Détails'!A986, 3),)</f>
        <v>1150</v>
      </c>
      <c r="L986" s="37">
        <f t="shared" ref="L986:P988" si="538">ROUND(+$K986*E986,0)</f>
        <v>11500</v>
      </c>
      <c r="M986" s="36">
        <f t="shared" si="538"/>
        <v>0</v>
      </c>
      <c r="N986" s="36">
        <f t="shared" si="538"/>
        <v>0</v>
      </c>
      <c r="O986" s="36">
        <f t="shared" si="538"/>
        <v>0</v>
      </c>
      <c r="P986" s="268">
        <f t="shared" si="538"/>
        <v>0</v>
      </c>
      <c r="Q986" s="281">
        <f>SUM(L986:P986)</f>
        <v>11500</v>
      </c>
      <c r="R986" s="39"/>
      <c r="S986" s="21"/>
      <c r="T986" s="51"/>
    </row>
    <row r="987" spans="1:20" x14ac:dyDescent="0.2">
      <c r="A987" s="95">
        <v>2</v>
      </c>
      <c r="B987" s="108" t="str">
        <f>IF(A987&lt;&gt;0,INDEX(Coûts,'PA-Détails'!A987, 2),)</f>
        <v>Assistance technique nationale (consultants)</v>
      </c>
      <c r="C987" s="51"/>
      <c r="D987" s="94" t="str">
        <f>IF(A987&lt;&gt;0,INDEX(Coûts, 'PA-Détails'!A987, 5),)</f>
        <v>Pers / j</v>
      </c>
      <c r="E987" s="96">
        <v>50</v>
      </c>
      <c r="F987" s="100"/>
      <c r="G987" s="100"/>
      <c r="H987" s="100"/>
      <c r="I987" s="100"/>
      <c r="J987" s="101">
        <f t="shared" si="533"/>
        <v>50</v>
      </c>
      <c r="K987" s="115">
        <f>IF(A987&lt;&gt;0,INDEX(Coûts, 'PA-Détails'!A987, 3),)</f>
        <v>300</v>
      </c>
      <c r="L987" s="37">
        <f t="shared" si="538"/>
        <v>15000</v>
      </c>
      <c r="M987" s="36">
        <f t="shared" si="538"/>
        <v>0</v>
      </c>
      <c r="N987" s="36">
        <f t="shared" si="538"/>
        <v>0</v>
      </c>
      <c r="O987" s="36">
        <f t="shared" si="538"/>
        <v>0</v>
      </c>
      <c r="P987" s="268">
        <f t="shared" si="538"/>
        <v>0</v>
      </c>
      <c r="Q987" s="281">
        <f>SUM(L987:P987)</f>
        <v>15000</v>
      </c>
      <c r="R987" s="39"/>
      <c r="S987" s="21"/>
      <c r="T987" s="51"/>
    </row>
    <row r="988" spans="1:20" x14ac:dyDescent="0.2">
      <c r="A988" s="95">
        <v>11</v>
      </c>
      <c r="B988" s="108" t="str">
        <f>IF(A988&lt;&gt;0,INDEX(Coûts,'PA-Détails'!A988, 2),)</f>
        <v>Atelier technique</v>
      </c>
      <c r="C988" s="51"/>
      <c r="D988" s="94" t="str">
        <f>IF(A988&lt;&gt;0,INDEX(Coûts, 'PA-Détails'!A988, 5),)</f>
        <v>Pers / j</v>
      </c>
      <c r="E988" s="96">
        <v>100</v>
      </c>
      <c r="F988" s="100"/>
      <c r="G988" s="100"/>
      <c r="H988" s="100"/>
      <c r="I988" s="100"/>
      <c r="J988" s="101">
        <f t="shared" si="533"/>
        <v>100</v>
      </c>
      <c r="K988" s="115">
        <f>IF(A988&lt;&gt;0,INDEX(Coûts, 'PA-Détails'!A988, 3),)</f>
        <v>70</v>
      </c>
      <c r="L988" s="37">
        <f t="shared" si="538"/>
        <v>7000</v>
      </c>
      <c r="M988" s="36">
        <f t="shared" si="538"/>
        <v>0</v>
      </c>
      <c r="N988" s="36">
        <f t="shared" si="538"/>
        <v>0</v>
      </c>
      <c r="O988" s="36">
        <f t="shared" si="538"/>
        <v>0</v>
      </c>
      <c r="P988" s="268">
        <f t="shared" si="538"/>
        <v>0</v>
      </c>
      <c r="Q988" s="281">
        <f>SUM(L988:P988)</f>
        <v>7000</v>
      </c>
      <c r="R988" s="39"/>
      <c r="S988" s="21"/>
      <c r="T988" s="51"/>
    </row>
    <row r="989" spans="1:20" x14ac:dyDescent="0.2">
      <c r="A989" s="20" t="s">
        <v>530</v>
      </c>
      <c r="B989" s="46"/>
      <c r="C989" s="51"/>
      <c r="D989" s="21"/>
      <c r="E989" s="96"/>
      <c r="F989" s="100"/>
      <c r="G989" s="100"/>
      <c r="H989" s="100"/>
      <c r="I989" s="100"/>
      <c r="J989" s="101">
        <f t="shared" si="533"/>
        <v>0</v>
      </c>
      <c r="K989" s="115"/>
      <c r="L989" s="161">
        <f t="shared" ref="L989:Q989" si="539">SUM(L990:L992)</f>
        <v>0</v>
      </c>
      <c r="M989" s="157">
        <f t="shared" si="539"/>
        <v>900000</v>
      </c>
      <c r="N989" s="157">
        <f t="shared" si="539"/>
        <v>3000000</v>
      </c>
      <c r="O989" s="157">
        <f t="shared" si="539"/>
        <v>3150000</v>
      </c>
      <c r="P989" s="270">
        <f t="shared" si="539"/>
        <v>0</v>
      </c>
      <c r="Q989" s="284">
        <f t="shared" si="539"/>
        <v>7050000</v>
      </c>
      <c r="R989" s="39" t="s">
        <v>796</v>
      </c>
      <c r="S989" s="197" t="s">
        <v>793</v>
      </c>
      <c r="T989" s="51"/>
    </row>
    <row r="990" spans="1:20" x14ac:dyDescent="0.2">
      <c r="A990" s="95">
        <v>63</v>
      </c>
      <c r="B990" s="108" t="str">
        <f>IF(A990&lt;&gt;0,INDEX(Coûts,'PA-Détails'!A990, 2),)</f>
        <v>Réhabilitation d'un EES</v>
      </c>
      <c r="C990" s="51"/>
      <c r="D990" s="94" t="str">
        <f>IF(A990&lt;&gt;0,INDEX(Coûts, 'PA-Détails'!A990, 5),)</f>
        <v>Forfait</v>
      </c>
      <c r="E990" s="96"/>
      <c r="F990" s="100">
        <v>6</v>
      </c>
      <c r="G990" s="100">
        <v>6</v>
      </c>
      <c r="H990" s="100"/>
      <c r="I990" s="100"/>
      <c r="J990" s="101">
        <f t="shared" si="533"/>
        <v>12</v>
      </c>
      <c r="K990" s="115">
        <f>IF(A990&lt;&gt;0,INDEX(Coûts, 'PA-Détails'!A990, 3),)</f>
        <v>150000</v>
      </c>
      <c r="L990" s="37">
        <f t="shared" ref="L990:P994" si="540">ROUND(+$K990*E990,0)</f>
        <v>0</v>
      </c>
      <c r="M990" s="36">
        <f t="shared" si="540"/>
        <v>900000</v>
      </c>
      <c r="N990" s="36">
        <f t="shared" si="540"/>
        <v>900000</v>
      </c>
      <c r="O990" s="36">
        <f t="shared" si="540"/>
        <v>0</v>
      </c>
      <c r="P990" s="268">
        <f t="shared" si="540"/>
        <v>0</v>
      </c>
      <c r="Q990" s="281">
        <f>SUM(L990:P990)</f>
        <v>1800000</v>
      </c>
      <c r="R990" s="39"/>
      <c r="S990" s="21"/>
      <c r="T990" s="51"/>
    </row>
    <row r="991" spans="1:20" x14ac:dyDescent="0.2">
      <c r="A991" s="95">
        <v>64</v>
      </c>
      <c r="B991" s="108" t="str">
        <f>IF(A991&lt;&gt;0,INDEX(Coûts,'PA-Détails'!A991, 2),)</f>
        <v>Construction d'un EES (Art et métiers)</v>
      </c>
      <c r="C991" s="51"/>
      <c r="D991" s="94" t="str">
        <f>IF(A991&lt;&gt;0,INDEX(Coûts, 'PA-Détails'!A991, 5),)</f>
        <v>Forfait</v>
      </c>
      <c r="E991" s="96"/>
      <c r="F991" s="100"/>
      <c r="G991" s="100">
        <v>2</v>
      </c>
      <c r="H991" s="100">
        <v>3</v>
      </c>
      <c r="I991" s="100"/>
      <c r="J991" s="101">
        <f t="shared" si="533"/>
        <v>5</v>
      </c>
      <c r="K991" s="115">
        <f>IF(A991&lt;&gt;0,INDEX(Coûts, 'PA-Détails'!A991, 3),)</f>
        <v>700000</v>
      </c>
      <c r="L991" s="37">
        <f t="shared" si="540"/>
        <v>0</v>
      </c>
      <c r="M991" s="36">
        <f t="shared" si="540"/>
        <v>0</v>
      </c>
      <c r="N991" s="36">
        <f t="shared" si="540"/>
        <v>1400000</v>
      </c>
      <c r="O991" s="36">
        <f t="shared" si="540"/>
        <v>2100000</v>
      </c>
      <c r="P991" s="268">
        <f t="shared" si="540"/>
        <v>0</v>
      </c>
      <c r="Q991" s="281">
        <f>SUM(L991:P991)</f>
        <v>3500000</v>
      </c>
      <c r="R991" s="39"/>
      <c r="S991" s="21"/>
      <c r="T991" s="51"/>
    </row>
    <row r="992" spans="1:20" x14ac:dyDescent="0.2">
      <c r="A992" s="95">
        <v>65</v>
      </c>
      <c r="B992" s="108" t="str">
        <f>IF(A992&lt;&gt;0,INDEX(Coûts,'PA-Détails'!A992, 2),)</f>
        <v>Équipement d'un EES (Art et métiers)</v>
      </c>
      <c r="C992" s="51"/>
      <c r="D992" s="94" t="str">
        <f>IF(A992&lt;&gt;0,INDEX(Coûts, 'PA-Détails'!A992, 5),)</f>
        <v>Forfait</v>
      </c>
      <c r="E992" s="96"/>
      <c r="F992" s="100"/>
      <c r="G992" s="100">
        <v>2</v>
      </c>
      <c r="H992" s="100">
        <v>3</v>
      </c>
      <c r="I992" s="100"/>
      <c r="J992" s="101">
        <f t="shared" si="533"/>
        <v>5</v>
      </c>
      <c r="K992" s="115">
        <f>IF(A992&lt;&gt;0,INDEX(Coûts, 'PA-Détails'!A992, 3),)</f>
        <v>350000</v>
      </c>
      <c r="L992" s="37">
        <f t="shared" si="540"/>
        <v>0</v>
      </c>
      <c r="M992" s="36">
        <f t="shared" si="540"/>
        <v>0</v>
      </c>
      <c r="N992" s="36">
        <f t="shared" si="540"/>
        <v>700000</v>
      </c>
      <c r="O992" s="36">
        <f t="shared" si="540"/>
        <v>1050000</v>
      </c>
      <c r="P992" s="268">
        <f t="shared" si="540"/>
        <v>0</v>
      </c>
      <c r="Q992" s="281">
        <f>SUM(L992:P992)</f>
        <v>1750000</v>
      </c>
      <c r="R992" s="39"/>
      <c r="S992" s="21"/>
      <c r="T992" s="51"/>
    </row>
    <row r="993" spans="1:20" x14ac:dyDescent="0.2">
      <c r="A993" s="14" t="s">
        <v>531</v>
      </c>
      <c r="B993" s="44"/>
      <c r="C993" s="112"/>
      <c r="D993" s="15"/>
      <c r="E993" s="102"/>
      <c r="F993" s="103"/>
      <c r="G993" s="103"/>
      <c r="H993" s="103"/>
      <c r="I993" s="103"/>
      <c r="J993" s="104">
        <f t="shared" si="533"/>
        <v>0</v>
      </c>
      <c r="K993" s="145"/>
      <c r="L993" s="33">
        <f t="shared" si="540"/>
        <v>0</v>
      </c>
      <c r="M993" s="32">
        <f t="shared" si="540"/>
        <v>0</v>
      </c>
      <c r="N993" s="32">
        <f t="shared" si="540"/>
        <v>0</v>
      </c>
      <c r="O993" s="32">
        <f t="shared" si="540"/>
        <v>0</v>
      </c>
      <c r="P993" s="267">
        <f t="shared" si="540"/>
        <v>0</v>
      </c>
      <c r="Q993" s="278">
        <f>SUM(L993:P993)</f>
        <v>0</v>
      </c>
      <c r="R993" s="40"/>
      <c r="S993" s="15"/>
      <c r="T993" s="112">
        <v>2</v>
      </c>
    </row>
    <row r="994" spans="1:20" x14ac:dyDescent="0.2">
      <c r="A994" s="17" t="s">
        <v>116</v>
      </c>
      <c r="B994" s="45"/>
      <c r="C994" s="51"/>
      <c r="D994" s="18"/>
      <c r="E994" s="97"/>
      <c r="F994" s="98"/>
      <c r="G994" s="98"/>
      <c r="H994" s="98"/>
      <c r="I994" s="98"/>
      <c r="J994" s="99">
        <f t="shared" si="533"/>
        <v>0</v>
      </c>
      <c r="K994" s="116"/>
      <c r="L994" s="35">
        <f t="shared" si="540"/>
        <v>0</v>
      </c>
      <c r="M994" s="34">
        <f t="shared" si="540"/>
        <v>0</v>
      </c>
      <c r="N994" s="34">
        <f t="shared" si="540"/>
        <v>0</v>
      </c>
      <c r="O994" s="34">
        <f t="shared" si="540"/>
        <v>0</v>
      </c>
      <c r="P994" s="269">
        <f t="shared" si="540"/>
        <v>0</v>
      </c>
      <c r="Q994" s="279">
        <f>SUM(L994:P994)</f>
        <v>0</v>
      </c>
      <c r="R994" s="38"/>
      <c r="S994" s="18"/>
      <c r="T994" s="51"/>
    </row>
    <row r="995" spans="1:20" x14ac:dyDescent="0.2">
      <c r="A995" s="20" t="s">
        <v>532</v>
      </c>
      <c r="B995" s="46"/>
      <c r="C995" s="51"/>
      <c r="D995" s="21"/>
      <c r="E995" s="96"/>
      <c r="F995" s="100"/>
      <c r="G995" s="100"/>
      <c r="H995" s="100"/>
      <c r="I995" s="100"/>
      <c r="J995" s="101">
        <f t="shared" si="533"/>
        <v>0</v>
      </c>
      <c r="K995" s="115"/>
      <c r="L995" s="161">
        <f t="shared" ref="L995:Q995" si="541">SUM(L996:L1000)</f>
        <v>147500</v>
      </c>
      <c r="M995" s="157">
        <f t="shared" si="541"/>
        <v>0</v>
      </c>
      <c r="N995" s="157">
        <f t="shared" si="541"/>
        <v>0</v>
      </c>
      <c r="O995" s="157">
        <f t="shared" si="541"/>
        <v>0</v>
      </c>
      <c r="P995" s="270">
        <f t="shared" si="541"/>
        <v>0</v>
      </c>
      <c r="Q995" s="284">
        <f t="shared" si="541"/>
        <v>147500</v>
      </c>
      <c r="R995" s="39" t="s">
        <v>796</v>
      </c>
      <c r="S995" s="197" t="s">
        <v>670</v>
      </c>
      <c r="T995" s="51"/>
    </row>
    <row r="996" spans="1:20" x14ac:dyDescent="0.2">
      <c r="A996" s="95">
        <v>1</v>
      </c>
      <c r="B996" s="108" t="str">
        <f>IF(A996&lt;&gt;0,INDEX(Coûts,'PA-Détails'!A996, 2),)</f>
        <v>Assistance technique internationale (consultants)</v>
      </c>
      <c r="C996" s="51"/>
      <c r="D996" s="94" t="str">
        <f>IF(A996&lt;&gt;0,INDEX(Coûts, 'PA-Détails'!A996, 5),)</f>
        <v>Pers / j</v>
      </c>
      <c r="E996" s="96">
        <v>30</v>
      </c>
      <c r="F996" s="100"/>
      <c r="G996" s="100"/>
      <c r="H996" s="100"/>
      <c r="I996" s="100"/>
      <c r="J996" s="101">
        <f t="shared" si="533"/>
        <v>30</v>
      </c>
      <c r="K996" s="115">
        <f>IF(A996&lt;&gt;0,INDEX(Coûts, 'PA-Détails'!A996, 3),)</f>
        <v>1150</v>
      </c>
      <c r="L996" s="37">
        <f t="shared" ref="L996:P1000" si="542">ROUND(+$K996*E996,0)</f>
        <v>34500</v>
      </c>
      <c r="M996" s="36">
        <f t="shared" si="542"/>
        <v>0</v>
      </c>
      <c r="N996" s="36">
        <f t="shared" si="542"/>
        <v>0</v>
      </c>
      <c r="O996" s="36">
        <f t="shared" si="542"/>
        <v>0</v>
      </c>
      <c r="P996" s="268">
        <f t="shared" si="542"/>
        <v>0</v>
      </c>
      <c r="Q996" s="281">
        <f>SUM(L996:P996)</f>
        <v>34500</v>
      </c>
      <c r="R996" s="39"/>
      <c r="S996" s="21"/>
      <c r="T996" s="51"/>
    </row>
    <row r="997" spans="1:20" x14ac:dyDescent="0.2">
      <c r="A997" s="95">
        <v>2</v>
      </c>
      <c r="B997" s="108" t="str">
        <f>IF(A997&lt;&gt;0,INDEX(Coûts,'PA-Détails'!A997, 2),)</f>
        <v>Assistance technique nationale (consultants)</v>
      </c>
      <c r="C997" s="51"/>
      <c r="D997" s="94" t="str">
        <f>IF(A997&lt;&gt;0,INDEX(Coûts, 'PA-Détails'!A997, 5),)</f>
        <v>Pers / j</v>
      </c>
      <c r="E997" s="96">
        <v>60</v>
      </c>
      <c r="F997" s="100"/>
      <c r="G997" s="100"/>
      <c r="H997" s="100"/>
      <c r="I997" s="100"/>
      <c r="J997" s="101">
        <f t="shared" si="533"/>
        <v>60</v>
      </c>
      <c r="K997" s="115">
        <f>IF(A997&lt;&gt;0,INDEX(Coûts, 'PA-Détails'!A997, 3),)</f>
        <v>300</v>
      </c>
      <c r="L997" s="37">
        <f t="shared" si="542"/>
        <v>18000</v>
      </c>
      <c r="M997" s="36">
        <f t="shared" si="542"/>
        <v>0</v>
      </c>
      <c r="N997" s="36">
        <f t="shared" si="542"/>
        <v>0</v>
      </c>
      <c r="O997" s="36">
        <f t="shared" si="542"/>
        <v>0</v>
      </c>
      <c r="P997" s="268">
        <f t="shared" si="542"/>
        <v>0</v>
      </c>
      <c r="Q997" s="281">
        <f>SUM(L997:P997)</f>
        <v>18000</v>
      </c>
      <c r="R997" s="39"/>
      <c r="S997" s="21"/>
      <c r="T997" s="51"/>
    </row>
    <row r="998" spans="1:20" x14ac:dyDescent="0.2">
      <c r="A998" s="95">
        <v>11</v>
      </c>
      <c r="B998" s="108" t="str">
        <f>IF(A998&lt;&gt;0,INDEX(Coûts,'PA-Détails'!A998, 2),)</f>
        <v>Atelier technique</v>
      </c>
      <c r="C998" s="51"/>
      <c r="D998" s="94" t="str">
        <f>IF(A998&lt;&gt;0,INDEX(Coûts, 'PA-Détails'!A998, 5),)</f>
        <v>Pers / j</v>
      </c>
      <c r="E998" s="96">
        <v>200</v>
      </c>
      <c r="F998" s="100"/>
      <c r="G998" s="100"/>
      <c r="H998" s="100"/>
      <c r="I998" s="100"/>
      <c r="J998" s="101">
        <f t="shared" si="533"/>
        <v>200</v>
      </c>
      <c r="K998" s="115">
        <f>IF(A998&lt;&gt;0,INDEX(Coûts, 'PA-Détails'!A998, 3),)</f>
        <v>70</v>
      </c>
      <c r="L998" s="37">
        <f t="shared" si="542"/>
        <v>14000</v>
      </c>
      <c r="M998" s="36">
        <f t="shared" si="542"/>
        <v>0</v>
      </c>
      <c r="N998" s="36">
        <f t="shared" si="542"/>
        <v>0</v>
      </c>
      <c r="O998" s="36">
        <f t="shared" si="542"/>
        <v>0</v>
      </c>
      <c r="P998" s="268">
        <f t="shared" si="542"/>
        <v>0</v>
      </c>
      <c r="Q998" s="281">
        <f>SUM(L998:P998)</f>
        <v>14000</v>
      </c>
      <c r="R998" s="39"/>
      <c r="S998" s="21"/>
      <c r="T998" s="51"/>
    </row>
    <row r="999" spans="1:20" x14ac:dyDescent="0.2">
      <c r="A999" s="95">
        <v>5</v>
      </c>
      <c r="B999" s="108" t="str">
        <f>IF(A999&lt;&gt;0,INDEX(Coûts,'PA-Détails'!A999, 2),)</f>
        <v>Atelier de validation</v>
      </c>
      <c r="C999" s="51"/>
      <c r="D999" s="94" t="str">
        <f>IF(A999&lt;&gt;0,INDEX(Coûts, 'PA-Détails'!A999, 5),)</f>
        <v>Pers / j</v>
      </c>
      <c r="E999" s="96">
        <v>100</v>
      </c>
      <c r="F999" s="100"/>
      <c r="G999" s="100"/>
      <c r="H999" s="100"/>
      <c r="I999" s="100"/>
      <c r="J999" s="101">
        <f t="shared" si="533"/>
        <v>100</v>
      </c>
      <c r="K999" s="115">
        <f>IF(A999&lt;&gt;0,INDEX(Coûts, 'PA-Détails'!A999, 3),)</f>
        <v>50</v>
      </c>
      <c r="L999" s="37">
        <f t="shared" si="542"/>
        <v>5000</v>
      </c>
      <c r="M999" s="36">
        <f t="shared" si="542"/>
        <v>0</v>
      </c>
      <c r="N999" s="36">
        <f t="shared" si="542"/>
        <v>0</v>
      </c>
      <c r="O999" s="36">
        <f t="shared" si="542"/>
        <v>0</v>
      </c>
      <c r="P999" s="268">
        <f t="shared" si="542"/>
        <v>0</v>
      </c>
      <c r="Q999" s="281">
        <f>SUM(L999:P999)</f>
        <v>5000</v>
      </c>
      <c r="R999" s="39"/>
      <c r="S999" s="21"/>
      <c r="T999" s="51"/>
    </row>
    <row r="1000" spans="1:20" x14ac:dyDescent="0.2">
      <c r="A1000" s="95">
        <v>7</v>
      </c>
      <c r="B1000" s="108" t="str">
        <f>IF(A1000&lt;&gt;0,INDEX(Coûts,'PA-Détails'!A1000, 2),)</f>
        <v>Séminaire</v>
      </c>
      <c r="C1000" s="51"/>
      <c r="D1000" s="94" t="str">
        <f>IF(A1000&lt;&gt;0,INDEX(Coûts, 'PA-Détails'!A1000, 5),)</f>
        <v>Pers / j</v>
      </c>
      <c r="E1000" s="96">
        <v>400</v>
      </c>
      <c r="F1000" s="100"/>
      <c r="G1000" s="100"/>
      <c r="H1000" s="100"/>
      <c r="I1000" s="100"/>
      <c r="J1000" s="101">
        <f t="shared" si="533"/>
        <v>400</v>
      </c>
      <c r="K1000" s="115">
        <f>IF(A1000&lt;&gt;0,INDEX(Coûts, 'PA-Détails'!A1000, 3),)</f>
        <v>190</v>
      </c>
      <c r="L1000" s="37">
        <f t="shared" si="542"/>
        <v>76000</v>
      </c>
      <c r="M1000" s="36">
        <f t="shared" si="542"/>
        <v>0</v>
      </c>
      <c r="N1000" s="36">
        <f t="shared" si="542"/>
        <v>0</v>
      </c>
      <c r="O1000" s="36">
        <f t="shared" si="542"/>
        <v>0</v>
      </c>
      <c r="P1000" s="268">
        <f t="shared" si="542"/>
        <v>0</v>
      </c>
      <c r="Q1000" s="281">
        <f>SUM(L1000:P1000)</f>
        <v>76000</v>
      </c>
      <c r="R1000" s="39"/>
      <c r="S1000" s="21"/>
      <c r="T1000" s="51"/>
    </row>
    <row r="1001" spans="1:20" x14ac:dyDescent="0.2">
      <c r="A1001" s="20" t="s">
        <v>533</v>
      </c>
      <c r="B1001" s="46"/>
      <c r="C1001" s="51"/>
      <c r="D1001" s="21"/>
      <c r="E1001" s="96"/>
      <c r="F1001" s="100"/>
      <c r="G1001" s="100"/>
      <c r="H1001" s="100"/>
      <c r="I1001" s="100"/>
      <c r="J1001" s="101">
        <f t="shared" si="533"/>
        <v>0</v>
      </c>
      <c r="K1001" s="115"/>
      <c r="L1001" s="161">
        <f t="shared" ref="L1001:Q1001" si="543">SUM(L1002:L1005)</f>
        <v>0</v>
      </c>
      <c r="M1001" s="34">
        <f t="shared" si="543"/>
        <v>152250</v>
      </c>
      <c r="N1001" s="34">
        <f t="shared" si="543"/>
        <v>152250</v>
      </c>
      <c r="O1001" s="34">
        <f t="shared" si="543"/>
        <v>0</v>
      </c>
      <c r="P1001" s="269">
        <f t="shared" si="543"/>
        <v>0</v>
      </c>
      <c r="Q1001" s="279">
        <f t="shared" si="543"/>
        <v>304500</v>
      </c>
      <c r="R1001" s="39" t="s">
        <v>799</v>
      </c>
      <c r="S1001" s="197" t="s">
        <v>801</v>
      </c>
      <c r="T1001" s="51"/>
    </row>
    <row r="1002" spans="1:20" x14ac:dyDescent="0.2">
      <c r="A1002" s="95">
        <v>1</v>
      </c>
      <c r="B1002" s="108" t="str">
        <f>IF(A1002&lt;&gt;0,INDEX(Coûts,'PA-Détails'!A1002, 2),)</f>
        <v>Assistance technique internationale (consultants)</v>
      </c>
      <c r="C1002" s="51"/>
      <c r="D1002" s="94" t="str">
        <f>IF(A1002&lt;&gt;0,INDEX(Coûts, 'PA-Détails'!A1002, 5),)</f>
        <v>Pers / j</v>
      </c>
      <c r="E1002" s="96"/>
      <c r="F1002" s="100">
        <f>130/2</f>
        <v>65</v>
      </c>
      <c r="G1002" s="100">
        <f>F1002</f>
        <v>65</v>
      </c>
      <c r="H1002" s="100"/>
      <c r="I1002" s="100"/>
      <c r="J1002" s="101">
        <f t="shared" si="533"/>
        <v>130</v>
      </c>
      <c r="K1002" s="115">
        <f>IF(A1002&lt;&gt;0,INDEX(Coûts, 'PA-Détails'!A1002, 3),)</f>
        <v>1150</v>
      </c>
      <c r="L1002" s="37">
        <f t="shared" ref="L1002:P1005" si="544">ROUND(+$K1002*E1002,0)</f>
        <v>0</v>
      </c>
      <c r="M1002" s="36">
        <f t="shared" si="544"/>
        <v>74750</v>
      </c>
      <c r="N1002" s="36">
        <f t="shared" si="544"/>
        <v>74750</v>
      </c>
      <c r="O1002" s="36">
        <f t="shared" si="544"/>
        <v>0</v>
      </c>
      <c r="P1002" s="268">
        <f t="shared" si="544"/>
        <v>0</v>
      </c>
      <c r="Q1002" s="281">
        <f>SUM(L1002:P1002)</f>
        <v>149500</v>
      </c>
      <c r="R1002" s="22"/>
      <c r="S1002" s="21"/>
      <c r="T1002" s="51"/>
    </row>
    <row r="1003" spans="1:20" x14ac:dyDescent="0.2">
      <c r="A1003" s="95">
        <v>2</v>
      </c>
      <c r="B1003" s="108" t="str">
        <f>IF(A1003&lt;&gt;0,INDEX(Coûts,'PA-Détails'!A1003, 2),)</f>
        <v>Assistance technique nationale (consultants)</v>
      </c>
      <c r="C1003" s="51"/>
      <c r="D1003" s="94" t="str">
        <f>IF(A1003&lt;&gt;0,INDEX(Coûts, 'PA-Détails'!A1003, 5),)</f>
        <v>Pers / j</v>
      </c>
      <c r="E1003" s="96"/>
      <c r="F1003" s="100">
        <f>F1002*3</f>
        <v>195</v>
      </c>
      <c r="G1003" s="100">
        <f>G1002*3</f>
        <v>195</v>
      </c>
      <c r="H1003" s="100"/>
      <c r="I1003" s="100"/>
      <c r="J1003" s="101">
        <f t="shared" si="533"/>
        <v>390</v>
      </c>
      <c r="K1003" s="115">
        <f>IF(A1003&lt;&gt;0,INDEX(Coûts, 'PA-Détails'!A1003, 3),)</f>
        <v>300</v>
      </c>
      <c r="L1003" s="37">
        <f t="shared" si="544"/>
        <v>0</v>
      </c>
      <c r="M1003" s="36">
        <f t="shared" si="544"/>
        <v>58500</v>
      </c>
      <c r="N1003" s="36">
        <f t="shared" si="544"/>
        <v>58500</v>
      </c>
      <c r="O1003" s="36">
        <f t="shared" si="544"/>
        <v>0</v>
      </c>
      <c r="P1003" s="268">
        <f t="shared" si="544"/>
        <v>0</v>
      </c>
      <c r="Q1003" s="281">
        <f>SUM(L1003:P1003)</f>
        <v>117000</v>
      </c>
      <c r="R1003" s="22"/>
      <c r="S1003" s="21"/>
      <c r="T1003" s="51"/>
    </row>
    <row r="1004" spans="1:20" x14ac:dyDescent="0.2">
      <c r="A1004" s="95">
        <v>11</v>
      </c>
      <c r="B1004" s="108" t="str">
        <f>IF(A1004&lt;&gt;0,INDEX(Coûts,'PA-Détails'!A1004, 2),)</f>
        <v>Atelier technique</v>
      </c>
      <c r="C1004" s="51"/>
      <c r="D1004" s="94" t="str">
        <f>IF(A1004&lt;&gt;0,INDEX(Coûts, 'PA-Détails'!A1004, 5),)</f>
        <v>Pers / j</v>
      </c>
      <c r="E1004" s="96"/>
      <c r="F1004" s="100">
        <v>200</v>
      </c>
      <c r="G1004" s="100">
        <v>200</v>
      </c>
      <c r="H1004" s="100"/>
      <c r="I1004" s="100"/>
      <c r="J1004" s="101">
        <f t="shared" si="533"/>
        <v>400</v>
      </c>
      <c r="K1004" s="115">
        <f>IF(A1004&lt;&gt;0,INDEX(Coûts, 'PA-Détails'!A1004, 3),)</f>
        <v>70</v>
      </c>
      <c r="L1004" s="37">
        <f t="shared" si="544"/>
        <v>0</v>
      </c>
      <c r="M1004" s="36">
        <f t="shared" si="544"/>
        <v>14000</v>
      </c>
      <c r="N1004" s="36">
        <f t="shared" si="544"/>
        <v>14000</v>
      </c>
      <c r="O1004" s="36">
        <f t="shared" si="544"/>
        <v>0</v>
      </c>
      <c r="P1004" s="268">
        <f t="shared" si="544"/>
        <v>0</v>
      </c>
      <c r="Q1004" s="281">
        <f>SUM(L1004:P1004)</f>
        <v>28000</v>
      </c>
      <c r="R1004" s="22"/>
      <c r="S1004" s="21"/>
      <c r="T1004" s="51"/>
    </row>
    <row r="1005" spans="1:20" x14ac:dyDescent="0.2">
      <c r="A1005" s="95">
        <v>5</v>
      </c>
      <c r="B1005" s="108" t="str">
        <f>IF(A1005&lt;&gt;0,INDEX(Coûts,'PA-Détails'!A1005, 2),)</f>
        <v>Atelier de validation</v>
      </c>
      <c r="C1005" s="51"/>
      <c r="D1005" s="94" t="str">
        <f>IF(A1005&lt;&gt;0,INDEX(Coûts, 'PA-Détails'!A1005, 5),)</f>
        <v>Pers / j</v>
      </c>
      <c r="E1005" s="96"/>
      <c r="F1005" s="100">
        <v>100</v>
      </c>
      <c r="G1005" s="100">
        <v>100</v>
      </c>
      <c r="H1005" s="100"/>
      <c r="I1005" s="100"/>
      <c r="J1005" s="101">
        <f t="shared" si="533"/>
        <v>200</v>
      </c>
      <c r="K1005" s="115">
        <f>IF(A1005&lt;&gt;0,INDEX(Coûts, 'PA-Détails'!A1005, 3),)</f>
        <v>50</v>
      </c>
      <c r="L1005" s="37">
        <f t="shared" si="544"/>
        <v>0</v>
      </c>
      <c r="M1005" s="36">
        <f t="shared" si="544"/>
        <v>5000</v>
      </c>
      <c r="N1005" s="36">
        <f t="shared" si="544"/>
        <v>5000</v>
      </c>
      <c r="O1005" s="36">
        <f t="shared" si="544"/>
        <v>0</v>
      </c>
      <c r="P1005" s="268">
        <f t="shared" si="544"/>
        <v>0</v>
      </c>
      <c r="Q1005" s="281">
        <f>SUM(L1005:P1005)</f>
        <v>10000</v>
      </c>
      <c r="R1005" s="22"/>
      <c r="S1005" s="21"/>
      <c r="T1005" s="51"/>
    </row>
    <row r="1006" spans="1:20" x14ac:dyDescent="0.2">
      <c r="A1006" s="20" t="s">
        <v>534</v>
      </c>
      <c r="B1006" s="46"/>
      <c r="C1006" s="51"/>
      <c r="D1006" s="21"/>
      <c r="E1006" s="96"/>
      <c r="F1006" s="100"/>
      <c r="G1006" s="100"/>
      <c r="H1006" s="100"/>
      <c r="I1006" s="100"/>
      <c r="J1006" s="101">
        <f t="shared" si="533"/>
        <v>0</v>
      </c>
      <c r="K1006" s="115"/>
      <c r="L1006" s="161">
        <f t="shared" ref="L1006:Q1006" si="545">SUM(L1007:L1007)</f>
        <v>0</v>
      </c>
      <c r="M1006" s="157">
        <f t="shared" si="545"/>
        <v>500000</v>
      </c>
      <c r="N1006" s="157">
        <f t="shared" si="545"/>
        <v>500000</v>
      </c>
      <c r="O1006" s="157">
        <f t="shared" si="545"/>
        <v>0</v>
      </c>
      <c r="P1006" s="270">
        <f t="shared" si="545"/>
        <v>0</v>
      </c>
      <c r="Q1006" s="284">
        <f t="shared" si="545"/>
        <v>1000000</v>
      </c>
      <c r="R1006" s="198" t="s">
        <v>799</v>
      </c>
      <c r="S1006" s="197" t="s">
        <v>670</v>
      </c>
      <c r="T1006" s="51"/>
    </row>
    <row r="1007" spans="1:20" x14ac:dyDescent="0.2">
      <c r="A1007" s="95">
        <v>59</v>
      </c>
      <c r="B1007" s="108" t="str">
        <f>IF(A1007&lt;&gt;0,INDEX(Coûts,'PA-Détails'!A1007, 2),)</f>
        <v>Acquisition et distribution de plaquettes/brochures/guides/livres</v>
      </c>
      <c r="C1007" s="51"/>
      <c r="D1007" s="94" t="str">
        <f>IF(A1007&lt;&gt;0,INDEX(Coûts, 'PA-Détails'!A1007, 5),)</f>
        <v>Unité</v>
      </c>
      <c r="E1007" s="96"/>
      <c r="F1007" s="100">
        <f>500000/2</f>
        <v>250000</v>
      </c>
      <c r="G1007" s="100">
        <f>F1007</f>
        <v>250000</v>
      </c>
      <c r="H1007" s="100"/>
      <c r="I1007" s="100"/>
      <c r="J1007" s="101">
        <f t="shared" si="533"/>
        <v>500000</v>
      </c>
      <c r="K1007" s="115">
        <f>IF(A1007&lt;&gt;0,INDEX(Coûts, 'PA-Détails'!A1007, 3),)</f>
        <v>2</v>
      </c>
      <c r="L1007" s="37">
        <f>ROUND(+$K1007*E1007,0)</f>
        <v>0</v>
      </c>
      <c r="M1007" s="36">
        <f>ROUND(+$K1007*F1007,0)</f>
        <v>500000</v>
      </c>
      <c r="N1007" s="36">
        <f>ROUND(+$K1007*G1007,0)</f>
        <v>500000</v>
      </c>
      <c r="O1007" s="36">
        <f>ROUND(+$K1007*H1007,0)</f>
        <v>0</v>
      </c>
      <c r="P1007" s="268">
        <f>ROUND(+$K1007*I1007,0)</f>
        <v>0</v>
      </c>
      <c r="Q1007" s="281">
        <f>SUM(L1007:P1007)</f>
        <v>1000000</v>
      </c>
      <c r="R1007" s="22"/>
      <c r="S1007" s="21"/>
      <c r="T1007" s="51"/>
    </row>
    <row r="1008" spans="1:20" x14ac:dyDescent="0.2">
      <c r="A1008" s="20" t="s">
        <v>535</v>
      </c>
      <c r="B1008" s="46"/>
      <c r="C1008" s="51"/>
      <c r="D1008" s="21"/>
      <c r="E1008" s="96"/>
      <c r="F1008" s="100"/>
      <c r="G1008" s="100"/>
      <c r="H1008" s="100"/>
      <c r="I1008" s="100"/>
      <c r="J1008" s="101">
        <f t="shared" si="533"/>
        <v>0</v>
      </c>
      <c r="K1008" s="115"/>
      <c r="L1008" s="161">
        <f t="shared" ref="L1008:Q1008" si="546">SUM(L1009:L1010)</f>
        <v>0</v>
      </c>
      <c r="M1008" s="34">
        <f t="shared" si="546"/>
        <v>3645000</v>
      </c>
      <c r="N1008" s="34">
        <f t="shared" si="546"/>
        <v>3645000</v>
      </c>
      <c r="O1008" s="34">
        <f t="shared" si="546"/>
        <v>0</v>
      </c>
      <c r="P1008" s="269">
        <f t="shared" si="546"/>
        <v>0</v>
      </c>
      <c r="Q1008" s="279">
        <f t="shared" si="546"/>
        <v>7290000</v>
      </c>
      <c r="R1008" s="198" t="s">
        <v>799</v>
      </c>
      <c r="S1008" s="197" t="s">
        <v>670</v>
      </c>
      <c r="T1008" s="51"/>
    </row>
    <row r="1009" spans="1:20" x14ac:dyDescent="0.2">
      <c r="A1009" s="95">
        <v>2</v>
      </c>
      <c r="B1009" s="108" t="str">
        <f>IF(A1009&lt;&gt;0,INDEX(Coûts,'PA-Détails'!A1009, 2),)</f>
        <v>Assistance technique nationale (consultants)</v>
      </c>
      <c r="C1009" s="51"/>
      <c r="D1009" s="94" t="str">
        <f>IF(A1009&lt;&gt;0,INDEX(Coûts, 'PA-Détails'!A1009, 5),)</f>
        <v>Pers / j</v>
      </c>
      <c r="E1009" s="96"/>
      <c r="F1009" s="100">
        <v>50</v>
      </c>
      <c r="G1009" s="100">
        <v>50</v>
      </c>
      <c r="H1009" s="100"/>
      <c r="I1009" s="100"/>
      <c r="J1009" s="101">
        <f t="shared" si="533"/>
        <v>100</v>
      </c>
      <c r="K1009" s="115">
        <f>IF(A1009&lt;&gt;0,INDEX(Coûts, 'PA-Détails'!A1009, 3),)</f>
        <v>300</v>
      </c>
      <c r="L1009" s="37">
        <f t="shared" ref="L1009:P1011" si="547">ROUND(+$K1009*E1009,0)</f>
        <v>0</v>
      </c>
      <c r="M1009" s="36">
        <f t="shared" si="547"/>
        <v>15000</v>
      </c>
      <c r="N1009" s="36">
        <f t="shared" si="547"/>
        <v>15000</v>
      </c>
      <c r="O1009" s="36">
        <f t="shared" si="547"/>
        <v>0</v>
      </c>
      <c r="P1009" s="268">
        <f t="shared" si="547"/>
        <v>0</v>
      </c>
      <c r="Q1009" s="281">
        <f>SUM(L1009:P1009)</f>
        <v>30000</v>
      </c>
      <c r="R1009" s="22"/>
      <c r="S1009" s="21"/>
      <c r="T1009" s="51"/>
    </row>
    <row r="1010" spans="1:20" x14ac:dyDescent="0.2">
      <c r="A1010" s="95">
        <v>8</v>
      </c>
      <c r="B1010" s="108" t="str">
        <f>IF(A1010&lt;&gt;0,INDEX(Coûts,'PA-Détails'!A1010, 2),)</f>
        <v>Formation</v>
      </c>
      <c r="C1010" s="51"/>
      <c r="D1010" s="94" t="str">
        <f>IF(A1010&lt;&gt;0,INDEX(Coûts, 'PA-Détails'!A1010, 5),)</f>
        <v>Pers / j</v>
      </c>
      <c r="E1010" s="96"/>
      <c r="F1010" s="100">
        <f>(22000/2)*3</f>
        <v>33000</v>
      </c>
      <c r="G1010" s="100">
        <f>F1010</f>
        <v>33000</v>
      </c>
      <c r="H1010" s="100"/>
      <c r="I1010" s="100"/>
      <c r="J1010" s="101">
        <f t="shared" ref="J1010:J1041" si="548">SUM(E1010:I1010)</f>
        <v>66000</v>
      </c>
      <c r="K1010" s="115">
        <f>IF(A1010&lt;&gt;0,INDEX(Coûts, 'PA-Détails'!A1010, 3),)</f>
        <v>110</v>
      </c>
      <c r="L1010" s="37">
        <f t="shared" si="547"/>
        <v>0</v>
      </c>
      <c r="M1010" s="36">
        <f t="shared" si="547"/>
        <v>3630000</v>
      </c>
      <c r="N1010" s="36">
        <f t="shared" si="547"/>
        <v>3630000</v>
      </c>
      <c r="O1010" s="36">
        <f t="shared" si="547"/>
        <v>0</v>
      </c>
      <c r="P1010" s="268">
        <f t="shared" si="547"/>
        <v>0</v>
      </c>
      <c r="Q1010" s="281">
        <f>SUM(L1010:P1010)</f>
        <v>7260000</v>
      </c>
      <c r="R1010" s="22"/>
      <c r="S1010" s="21"/>
      <c r="T1010" s="51"/>
    </row>
    <row r="1011" spans="1:20" x14ac:dyDescent="0.2">
      <c r="A1011" s="17" t="s">
        <v>1115</v>
      </c>
      <c r="B1011" s="45"/>
      <c r="C1011" s="51" t="s">
        <v>536</v>
      </c>
      <c r="D1011" s="18"/>
      <c r="E1011" s="97"/>
      <c r="F1011" s="98"/>
      <c r="G1011" s="98"/>
      <c r="H1011" s="98"/>
      <c r="I1011" s="98"/>
      <c r="J1011" s="99">
        <f t="shared" si="548"/>
        <v>0</v>
      </c>
      <c r="K1011" s="116"/>
      <c r="L1011" s="35">
        <f t="shared" si="547"/>
        <v>0</v>
      </c>
      <c r="M1011" s="34">
        <f t="shared" si="547"/>
        <v>0</v>
      </c>
      <c r="N1011" s="34">
        <f t="shared" si="547"/>
        <v>0</v>
      </c>
      <c r="O1011" s="34">
        <f t="shared" si="547"/>
        <v>0</v>
      </c>
      <c r="P1011" s="269">
        <f t="shared" si="547"/>
        <v>0</v>
      </c>
      <c r="Q1011" s="279">
        <f>SUM(L1011:P1011)</f>
        <v>0</v>
      </c>
      <c r="R1011" s="514"/>
      <c r="T1011" s="51"/>
    </row>
    <row r="1012" spans="1:20" x14ac:dyDescent="0.2">
      <c r="A1012" s="20" t="s">
        <v>537</v>
      </c>
      <c r="B1012" s="46"/>
      <c r="C1012" s="51"/>
      <c r="D1012" s="21"/>
      <c r="E1012" s="96"/>
      <c r="F1012" s="100"/>
      <c r="G1012" s="100"/>
      <c r="H1012" s="100"/>
      <c r="I1012" s="100"/>
      <c r="J1012" s="101">
        <f t="shared" si="548"/>
        <v>0</v>
      </c>
      <c r="K1012" s="115"/>
      <c r="L1012" s="161">
        <f t="shared" ref="L1012:Q1012" si="549">SUM(L1013:L1014)</f>
        <v>10000</v>
      </c>
      <c r="M1012" s="34">
        <f t="shared" si="549"/>
        <v>240000</v>
      </c>
      <c r="N1012" s="34">
        <f t="shared" si="549"/>
        <v>240000</v>
      </c>
      <c r="O1012" s="34">
        <f t="shared" si="549"/>
        <v>240000</v>
      </c>
      <c r="P1012" s="269">
        <f t="shared" si="549"/>
        <v>240000</v>
      </c>
      <c r="Q1012" s="279">
        <f t="shared" si="549"/>
        <v>970000</v>
      </c>
      <c r="R1012" s="198" t="s">
        <v>800</v>
      </c>
      <c r="S1012" s="197" t="s">
        <v>663</v>
      </c>
      <c r="T1012" s="51"/>
    </row>
    <row r="1013" spans="1:20" x14ac:dyDescent="0.2">
      <c r="A1013" s="95">
        <v>105</v>
      </c>
      <c r="B1013" s="108" t="str">
        <f>IF(A1013&lt;&gt;0,INDEX(Coûts,'PA-Détails'!A1013, 2),)</f>
        <v>Enveloppe pour réhabilitation et équipement de la CPE</v>
      </c>
      <c r="C1013" s="51"/>
      <c r="D1013" s="94" t="str">
        <f>IF(A1013&lt;&gt;0,INDEX(Coûts, 'PA-Détails'!A1013, 5),)</f>
        <v>Forfait</v>
      </c>
      <c r="E1013" s="96">
        <v>1</v>
      </c>
      <c r="F1013" s="100"/>
      <c r="G1013" s="100"/>
      <c r="H1013" s="100"/>
      <c r="I1013" s="100"/>
      <c r="J1013" s="101">
        <f t="shared" si="548"/>
        <v>1</v>
      </c>
      <c r="K1013" s="115">
        <f>IF(A1013&lt;&gt;0,INDEX(Coûts, 'PA-Détails'!A1013, 3),)</f>
        <v>10000</v>
      </c>
      <c r="L1013" s="37">
        <f t="shared" ref="L1013:P1015" si="550">ROUND(+$K1013*E1013,0)</f>
        <v>10000</v>
      </c>
      <c r="M1013" s="36">
        <f t="shared" si="550"/>
        <v>0</v>
      </c>
      <c r="N1013" s="36">
        <f t="shared" si="550"/>
        <v>0</v>
      </c>
      <c r="O1013" s="36">
        <f t="shared" si="550"/>
        <v>0</v>
      </c>
      <c r="P1013" s="268">
        <f t="shared" si="550"/>
        <v>0</v>
      </c>
      <c r="Q1013" s="281">
        <f>SUM(L1013:P1013)</f>
        <v>10000</v>
      </c>
      <c r="R1013" s="22"/>
      <c r="S1013" s="21"/>
      <c r="T1013" s="51"/>
    </row>
    <row r="1014" spans="1:20" x14ac:dyDescent="0.2">
      <c r="A1014" s="95">
        <v>106</v>
      </c>
      <c r="B1014" s="108" t="str">
        <f>IF(A1014&lt;&gt;0,INDEX(Coûts,'PA-Détails'!A1014, 2),)</f>
        <v>Budget de fonctionnement de la CPE</v>
      </c>
      <c r="C1014" s="51"/>
      <c r="D1014" s="94" t="str">
        <f>IF(A1014&lt;&gt;0,INDEX(Coûts, 'PA-Détails'!A1014, 5),)</f>
        <v>Forfait</v>
      </c>
      <c r="E1014" s="96"/>
      <c r="F1014" s="100">
        <v>1</v>
      </c>
      <c r="G1014" s="100">
        <f>F1014</f>
        <v>1</v>
      </c>
      <c r="H1014" s="100">
        <v>1</v>
      </c>
      <c r="I1014" s="100">
        <v>1</v>
      </c>
      <c r="J1014" s="101">
        <f t="shared" si="548"/>
        <v>4</v>
      </c>
      <c r="K1014" s="115">
        <f>IF(A1014&lt;&gt;0,INDEX(Coûts, 'PA-Détails'!A1014, 3),)</f>
        <v>240000</v>
      </c>
      <c r="L1014" s="37">
        <f t="shared" si="550"/>
        <v>0</v>
      </c>
      <c r="M1014" s="36">
        <f t="shared" si="550"/>
        <v>240000</v>
      </c>
      <c r="N1014" s="36">
        <f t="shared" si="550"/>
        <v>240000</v>
      </c>
      <c r="O1014" s="36">
        <f t="shared" si="550"/>
        <v>240000</v>
      </c>
      <c r="P1014" s="268">
        <f t="shared" si="550"/>
        <v>240000</v>
      </c>
      <c r="Q1014" s="281">
        <f>SUM(L1014:P1014)</f>
        <v>960000</v>
      </c>
      <c r="R1014" s="22"/>
      <c r="S1014" s="21"/>
      <c r="T1014" s="51"/>
    </row>
    <row r="1015" spans="1:20" x14ac:dyDescent="0.2">
      <c r="A1015" s="17" t="s">
        <v>1116</v>
      </c>
      <c r="B1015" s="45"/>
      <c r="C1015" s="51" t="s">
        <v>536</v>
      </c>
      <c r="D1015" s="18"/>
      <c r="E1015" s="97"/>
      <c r="F1015" s="98"/>
      <c r="G1015" s="98"/>
      <c r="H1015" s="98"/>
      <c r="I1015" s="98"/>
      <c r="J1015" s="99">
        <f t="shared" si="548"/>
        <v>0</v>
      </c>
      <c r="K1015" s="116"/>
      <c r="L1015" s="35">
        <f t="shared" si="550"/>
        <v>0</v>
      </c>
      <c r="M1015" s="34">
        <f t="shared" si="550"/>
        <v>0</v>
      </c>
      <c r="N1015" s="34">
        <f t="shared" si="550"/>
        <v>0</v>
      </c>
      <c r="O1015" s="34">
        <f t="shared" si="550"/>
        <v>0</v>
      </c>
      <c r="P1015" s="269">
        <f t="shared" si="550"/>
        <v>0</v>
      </c>
      <c r="Q1015" s="279">
        <f>SUM(L1015:P1015)</f>
        <v>0</v>
      </c>
      <c r="R1015" s="19"/>
      <c r="S1015" s="18"/>
      <c r="T1015" s="51"/>
    </row>
    <row r="1016" spans="1:20" x14ac:dyDescent="0.2">
      <c r="A1016" s="20" t="s">
        <v>538</v>
      </c>
      <c r="B1016" s="46"/>
      <c r="C1016" s="51"/>
      <c r="D1016" s="21"/>
      <c r="E1016" s="96"/>
      <c r="F1016" s="100"/>
      <c r="G1016" s="100"/>
      <c r="H1016" s="100"/>
      <c r="I1016" s="100"/>
      <c r="J1016" s="101">
        <f t="shared" si="548"/>
        <v>0</v>
      </c>
      <c r="K1016" s="115"/>
      <c r="L1016" s="161">
        <f t="shared" ref="L1016:Q1016" si="551">SUM(L1017:L1017)</f>
        <v>0</v>
      </c>
      <c r="M1016" s="157">
        <f t="shared" si="551"/>
        <v>500000</v>
      </c>
      <c r="N1016" s="157">
        <f t="shared" si="551"/>
        <v>500000</v>
      </c>
      <c r="O1016" s="157">
        <f t="shared" si="551"/>
        <v>500000</v>
      </c>
      <c r="P1016" s="270">
        <f t="shared" si="551"/>
        <v>500000</v>
      </c>
      <c r="Q1016" s="284">
        <f t="shared" si="551"/>
        <v>2000000</v>
      </c>
      <c r="R1016" s="198" t="s">
        <v>796</v>
      </c>
      <c r="S1016" s="197" t="s">
        <v>801</v>
      </c>
      <c r="T1016" s="51"/>
    </row>
    <row r="1017" spans="1:20" x14ac:dyDescent="0.2">
      <c r="A1017" s="95">
        <v>104</v>
      </c>
      <c r="B1017" s="108" t="str">
        <f>IF(A1017&lt;&gt;0,INDEX(Coûts,'PA-Détails'!A1017, 2),)</f>
        <v>Enveloppe pour mobilité des enseignants et chercheurs</v>
      </c>
      <c r="C1017" s="51"/>
      <c r="D1017" s="94" t="str">
        <f>IF(A1017&lt;&gt;0,INDEX(Coûts, 'PA-Détails'!A1017, 5),)</f>
        <v>Forfait</v>
      </c>
      <c r="E1017" s="96"/>
      <c r="F1017" s="100">
        <v>1</v>
      </c>
      <c r="G1017" s="100">
        <f>F1017</f>
        <v>1</v>
      </c>
      <c r="H1017" s="100">
        <v>1</v>
      </c>
      <c r="I1017" s="100">
        <v>1</v>
      </c>
      <c r="J1017" s="101">
        <f t="shared" si="548"/>
        <v>4</v>
      </c>
      <c r="K1017" s="115">
        <f>IF(A1017&lt;&gt;0,INDEX(Coûts, 'PA-Détails'!A1017, 3),)</f>
        <v>500000</v>
      </c>
      <c r="L1017" s="37">
        <f t="shared" ref="L1017:P1019" si="552">ROUND(+$K1017*E1017,0)</f>
        <v>0</v>
      </c>
      <c r="M1017" s="36">
        <f t="shared" si="552"/>
        <v>500000</v>
      </c>
      <c r="N1017" s="36">
        <f t="shared" si="552"/>
        <v>500000</v>
      </c>
      <c r="O1017" s="36">
        <f t="shared" si="552"/>
        <v>500000</v>
      </c>
      <c r="P1017" s="268">
        <f t="shared" si="552"/>
        <v>500000</v>
      </c>
      <c r="Q1017" s="281">
        <f>SUM(L1017:P1017)</f>
        <v>2000000</v>
      </c>
      <c r="R1017" s="22"/>
      <c r="S1017" s="21"/>
      <c r="T1017" s="51"/>
    </row>
    <row r="1018" spans="1:20" x14ac:dyDescent="0.2">
      <c r="A1018" s="14" t="s">
        <v>539</v>
      </c>
      <c r="B1018" s="44"/>
      <c r="C1018" s="112"/>
      <c r="D1018" s="15"/>
      <c r="E1018" s="102"/>
      <c r="F1018" s="103"/>
      <c r="G1018" s="103"/>
      <c r="H1018" s="103"/>
      <c r="I1018" s="103"/>
      <c r="J1018" s="104">
        <f t="shared" si="548"/>
        <v>0</v>
      </c>
      <c r="K1018" s="145"/>
      <c r="L1018" s="33">
        <f t="shared" si="552"/>
        <v>0</v>
      </c>
      <c r="M1018" s="32">
        <f t="shared" si="552"/>
        <v>0</v>
      </c>
      <c r="N1018" s="32">
        <f t="shared" si="552"/>
        <v>0</v>
      </c>
      <c r="O1018" s="32">
        <f t="shared" si="552"/>
        <v>0</v>
      </c>
      <c r="P1018" s="267">
        <f t="shared" si="552"/>
        <v>0</v>
      </c>
      <c r="Q1018" s="278">
        <f>SUM(L1018:P1018)</f>
        <v>0</v>
      </c>
      <c r="R1018" s="16"/>
      <c r="S1018" s="15"/>
      <c r="T1018" s="112">
        <v>2</v>
      </c>
    </row>
    <row r="1019" spans="1:20" x14ac:dyDescent="0.2">
      <c r="A1019" s="17" t="s">
        <v>117</v>
      </c>
      <c r="B1019" s="45"/>
      <c r="C1019" s="51"/>
      <c r="D1019" s="18"/>
      <c r="E1019" s="97"/>
      <c r="F1019" s="98"/>
      <c r="G1019" s="98"/>
      <c r="H1019" s="98"/>
      <c r="I1019" s="98"/>
      <c r="J1019" s="99">
        <f t="shared" si="548"/>
        <v>0</v>
      </c>
      <c r="K1019" s="116"/>
      <c r="L1019" s="35">
        <f t="shared" si="552"/>
        <v>0</v>
      </c>
      <c r="M1019" s="34">
        <f t="shared" si="552"/>
        <v>0</v>
      </c>
      <c r="N1019" s="34">
        <f t="shared" si="552"/>
        <v>0</v>
      </c>
      <c r="O1019" s="34">
        <f t="shared" si="552"/>
        <v>0</v>
      </c>
      <c r="P1019" s="269">
        <f t="shared" si="552"/>
        <v>0</v>
      </c>
      <c r="Q1019" s="279">
        <f>SUM(L1019:P1019)</f>
        <v>0</v>
      </c>
      <c r="R1019" s="19"/>
      <c r="S1019" s="18"/>
      <c r="T1019" s="51" t="s">
        <v>540</v>
      </c>
    </row>
    <row r="1020" spans="1:20" x14ac:dyDescent="0.2">
      <c r="A1020" s="20" t="s">
        <v>541</v>
      </c>
      <c r="B1020" s="46"/>
      <c r="C1020" s="51"/>
      <c r="D1020" s="21"/>
      <c r="E1020" s="96"/>
      <c r="F1020" s="100"/>
      <c r="G1020" s="100"/>
      <c r="H1020" s="100"/>
      <c r="I1020" s="100"/>
      <c r="J1020" s="101">
        <f t="shared" si="548"/>
        <v>0</v>
      </c>
      <c r="K1020" s="115"/>
      <c r="L1020" s="161">
        <f t="shared" ref="L1020:Q1020" si="553">SUM(L1021:L1023)</f>
        <v>167500</v>
      </c>
      <c r="M1020" s="34">
        <f t="shared" si="553"/>
        <v>0</v>
      </c>
      <c r="N1020" s="34">
        <f t="shared" si="553"/>
        <v>0</v>
      </c>
      <c r="O1020" s="34">
        <f t="shared" si="553"/>
        <v>0</v>
      </c>
      <c r="P1020" s="269">
        <f t="shared" si="553"/>
        <v>0</v>
      </c>
      <c r="Q1020" s="279">
        <f t="shared" si="553"/>
        <v>167500</v>
      </c>
      <c r="R1020" s="198" t="s">
        <v>802</v>
      </c>
      <c r="S1020" s="197" t="s">
        <v>801</v>
      </c>
      <c r="T1020" s="51"/>
    </row>
    <row r="1021" spans="1:20" x14ac:dyDescent="0.2">
      <c r="A1021" s="95">
        <v>1</v>
      </c>
      <c r="B1021" s="108" t="str">
        <f>IF(A1021&lt;&gt;0,INDEX(Coûts,'PA-Détails'!A1021, 2),)</f>
        <v>Assistance technique internationale (consultants)</v>
      </c>
      <c r="C1021" s="51"/>
      <c r="D1021" s="94" t="str">
        <f>IF(A1021&lt;&gt;0,INDEX(Coûts, 'PA-Détails'!A1021, 5),)</f>
        <v>Pers / j</v>
      </c>
      <c r="E1021" s="96">
        <v>50</v>
      </c>
      <c r="F1021" s="100"/>
      <c r="G1021" s="100"/>
      <c r="H1021" s="100"/>
      <c r="I1021" s="100"/>
      <c r="J1021" s="101">
        <f t="shared" si="548"/>
        <v>50</v>
      </c>
      <c r="K1021" s="115">
        <f>IF(A1021&lt;&gt;0,INDEX(Coûts, 'PA-Détails'!A1021, 3),)</f>
        <v>1150</v>
      </c>
      <c r="L1021" s="37">
        <f t="shared" ref="L1021:P1023" si="554">ROUND(+$K1021*E1021,0)</f>
        <v>57500</v>
      </c>
      <c r="M1021" s="36">
        <f t="shared" si="554"/>
        <v>0</v>
      </c>
      <c r="N1021" s="36">
        <f t="shared" si="554"/>
        <v>0</v>
      </c>
      <c r="O1021" s="36">
        <f t="shared" si="554"/>
        <v>0</v>
      </c>
      <c r="P1021" s="268">
        <f t="shared" si="554"/>
        <v>0</v>
      </c>
      <c r="Q1021" s="281">
        <f>SUM(L1021:P1021)</f>
        <v>57500</v>
      </c>
      <c r="R1021" s="22"/>
      <c r="S1021" s="21"/>
      <c r="T1021" s="51"/>
    </row>
    <row r="1022" spans="1:20" x14ac:dyDescent="0.2">
      <c r="A1022" s="95">
        <v>5</v>
      </c>
      <c r="B1022" s="108" t="str">
        <f>IF(A1022&lt;&gt;0,INDEX(Coûts,'PA-Détails'!A1022, 2),)</f>
        <v>Atelier de validation</v>
      </c>
      <c r="C1022" s="51"/>
      <c r="D1022" s="94" t="str">
        <f>IF(A1022&lt;&gt;0,INDEX(Coûts, 'PA-Détails'!A1022, 5),)</f>
        <v>Pers / j</v>
      </c>
      <c r="E1022" s="96">
        <v>300</v>
      </c>
      <c r="F1022" s="100"/>
      <c r="G1022" s="100"/>
      <c r="H1022" s="100"/>
      <c r="I1022" s="100"/>
      <c r="J1022" s="101">
        <f t="shared" si="548"/>
        <v>300</v>
      </c>
      <c r="K1022" s="115">
        <f>IF(A1022&lt;&gt;0,INDEX(Coûts, 'PA-Détails'!A1022, 3),)</f>
        <v>50</v>
      </c>
      <c r="L1022" s="37">
        <f t="shared" si="554"/>
        <v>15000</v>
      </c>
      <c r="M1022" s="36">
        <f t="shared" si="554"/>
        <v>0</v>
      </c>
      <c r="N1022" s="36">
        <f t="shared" si="554"/>
        <v>0</v>
      </c>
      <c r="O1022" s="36">
        <f t="shared" si="554"/>
        <v>0</v>
      </c>
      <c r="P1022" s="268">
        <f t="shared" si="554"/>
        <v>0</v>
      </c>
      <c r="Q1022" s="281">
        <f>SUM(L1022:P1022)</f>
        <v>15000</v>
      </c>
      <c r="R1022" s="22"/>
      <c r="S1022" s="21"/>
      <c r="T1022" s="51"/>
    </row>
    <row r="1023" spans="1:20" x14ac:dyDescent="0.2">
      <c r="A1023" s="95">
        <v>7</v>
      </c>
      <c r="B1023" s="108" t="str">
        <f>IF(A1023&lt;&gt;0,INDEX(Coûts,'PA-Détails'!A1023, 2),)</f>
        <v>Séminaire</v>
      </c>
      <c r="C1023" s="51"/>
      <c r="D1023" s="94" t="str">
        <f>IF(A1023&lt;&gt;0,INDEX(Coûts, 'PA-Détails'!A1023, 5),)</f>
        <v>Pers / j</v>
      </c>
      <c r="E1023" s="96">
        <v>500</v>
      </c>
      <c r="F1023" s="100"/>
      <c r="G1023" s="100"/>
      <c r="H1023" s="100"/>
      <c r="I1023" s="100"/>
      <c r="J1023" s="101">
        <f t="shared" si="548"/>
        <v>500</v>
      </c>
      <c r="K1023" s="115">
        <f>IF(A1023&lt;&gt;0,INDEX(Coûts, 'PA-Détails'!A1023, 3),)</f>
        <v>190</v>
      </c>
      <c r="L1023" s="37">
        <f t="shared" si="554"/>
        <v>95000</v>
      </c>
      <c r="M1023" s="36">
        <f t="shared" si="554"/>
        <v>0</v>
      </c>
      <c r="N1023" s="36">
        <f t="shared" si="554"/>
        <v>0</v>
      </c>
      <c r="O1023" s="36">
        <f t="shared" si="554"/>
        <v>0</v>
      </c>
      <c r="P1023" s="268">
        <f t="shared" si="554"/>
        <v>0</v>
      </c>
      <c r="Q1023" s="281">
        <f>SUM(L1023:P1023)</f>
        <v>95000</v>
      </c>
      <c r="R1023" s="22"/>
      <c r="S1023" s="21"/>
      <c r="T1023" s="51"/>
    </row>
    <row r="1024" spans="1:20" x14ac:dyDescent="0.2">
      <c r="A1024" s="20" t="s">
        <v>542</v>
      </c>
      <c r="B1024" s="46"/>
      <c r="C1024" s="51"/>
      <c r="D1024" s="21"/>
      <c r="E1024" s="96"/>
      <c r="F1024" s="100"/>
      <c r="G1024" s="100"/>
      <c r="H1024" s="100"/>
      <c r="I1024" s="100"/>
      <c r="J1024" s="101">
        <f t="shared" si="548"/>
        <v>0</v>
      </c>
      <c r="K1024" s="115"/>
      <c r="L1024" s="161">
        <f t="shared" ref="L1024:Q1024" si="555">SUM(L1025:L1026)</f>
        <v>0</v>
      </c>
      <c r="M1024" s="34">
        <f t="shared" si="555"/>
        <v>40075000</v>
      </c>
      <c r="N1024" s="34">
        <f t="shared" si="555"/>
        <v>40075000</v>
      </c>
      <c r="O1024" s="34">
        <f t="shared" si="555"/>
        <v>40075000</v>
      </c>
      <c r="P1024" s="269">
        <f t="shared" si="555"/>
        <v>40075000</v>
      </c>
      <c r="Q1024" s="279">
        <f t="shared" si="555"/>
        <v>160300000</v>
      </c>
      <c r="R1024" s="198" t="s">
        <v>802</v>
      </c>
      <c r="S1024" s="197" t="s">
        <v>801</v>
      </c>
      <c r="T1024" s="51"/>
    </row>
    <row r="1025" spans="1:20" x14ac:dyDescent="0.2">
      <c r="A1025" s="95">
        <v>107</v>
      </c>
      <c r="B1025" s="108" t="str">
        <f>IF(A1025&lt;&gt;0,INDEX(Coûts,'PA-Détails'!A1025, 2),)</f>
        <v>Enveloppe pour équipement du Plan Numérique</v>
      </c>
      <c r="C1025" s="51"/>
      <c r="D1025" s="94" t="str">
        <f>IF(A1025&lt;&gt;0,INDEX(Coûts, 'PA-Détails'!A1025, 5),)</f>
        <v>Forfait/ESS</v>
      </c>
      <c r="E1025" s="96"/>
      <c r="F1025" s="100">
        <v>100</v>
      </c>
      <c r="G1025" s="100">
        <f t="shared" ref="G1025:I1026" si="556">F1025</f>
        <v>100</v>
      </c>
      <c r="H1025" s="100">
        <f t="shared" si="556"/>
        <v>100</v>
      </c>
      <c r="I1025" s="100">
        <f t="shared" si="556"/>
        <v>100</v>
      </c>
      <c r="J1025" s="101">
        <f t="shared" si="548"/>
        <v>400</v>
      </c>
      <c r="K1025" s="115">
        <f>IF(A1025&lt;&gt;0,INDEX(Coûts, 'PA-Détails'!A1025, 3),)</f>
        <v>400000</v>
      </c>
      <c r="L1025" s="37">
        <f t="shared" ref="L1025:P1026" si="557">ROUND(+$K1025*E1025,0)</f>
        <v>0</v>
      </c>
      <c r="M1025" s="36">
        <f t="shared" si="557"/>
        <v>40000000</v>
      </c>
      <c r="N1025" s="36">
        <f t="shared" si="557"/>
        <v>40000000</v>
      </c>
      <c r="O1025" s="36">
        <f t="shared" si="557"/>
        <v>40000000</v>
      </c>
      <c r="P1025" s="268">
        <f t="shared" si="557"/>
        <v>40000000</v>
      </c>
      <c r="Q1025" s="281">
        <f>SUM(L1025:P1025)</f>
        <v>160000000</v>
      </c>
      <c r="R1025" s="22"/>
      <c r="S1025" s="21"/>
      <c r="T1025" s="51"/>
    </row>
    <row r="1026" spans="1:20" x14ac:dyDescent="0.2">
      <c r="A1026" s="95">
        <v>12</v>
      </c>
      <c r="B1026" s="108" t="str">
        <f>IF(A1026&lt;&gt;0,INDEX(Coûts,'PA-Détails'!A1026, 2),)</f>
        <v>Formation - Action et Formation de formateurs</v>
      </c>
      <c r="C1026" s="51"/>
      <c r="D1026" s="94" t="str">
        <f>IF(A1026&lt;&gt;0,INDEX(Coûts, 'PA-Détails'!A1026, 5),)</f>
        <v>Pers / j</v>
      </c>
      <c r="E1026" s="96"/>
      <c r="F1026" s="100">
        <f>F1025*5</f>
        <v>500</v>
      </c>
      <c r="G1026" s="100">
        <f t="shared" si="556"/>
        <v>500</v>
      </c>
      <c r="H1026" s="100">
        <f t="shared" si="556"/>
        <v>500</v>
      </c>
      <c r="I1026" s="100">
        <f t="shared" si="556"/>
        <v>500</v>
      </c>
      <c r="J1026" s="101">
        <f t="shared" si="548"/>
        <v>2000</v>
      </c>
      <c r="K1026" s="115">
        <f>IF(A1026&lt;&gt;0,INDEX(Coûts, 'PA-Détails'!A1026, 3),)</f>
        <v>150</v>
      </c>
      <c r="L1026" s="37">
        <f t="shared" si="557"/>
        <v>0</v>
      </c>
      <c r="M1026" s="36">
        <f t="shared" si="557"/>
        <v>75000</v>
      </c>
      <c r="N1026" s="36">
        <f t="shared" si="557"/>
        <v>75000</v>
      </c>
      <c r="O1026" s="36">
        <f t="shared" si="557"/>
        <v>75000</v>
      </c>
      <c r="P1026" s="268">
        <f t="shared" si="557"/>
        <v>75000</v>
      </c>
      <c r="Q1026" s="281">
        <f>SUM(L1026:P1026)</f>
        <v>300000</v>
      </c>
      <c r="R1026" s="22"/>
      <c r="S1026" s="21"/>
      <c r="T1026" s="51"/>
    </row>
    <row r="1027" spans="1:20" x14ac:dyDescent="0.2">
      <c r="A1027" s="20" t="s">
        <v>543</v>
      </c>
      <c r="B1027" s="46"/>
      <c r="C1027" s="51"/>
      <c r="D1027" s="21"/>
      <c r="E1027" s="96"/>
      <c r="F1027" s="100"/>
      <c r="G1027" s="100"/>
      <c r="H1027" s="100"/>
      <c r="I1027" s="100"/>
      <c r="J1027" s="101">
        <f t="shared" si="548"/>
        <v>0</v>
      </c>
      <c r="K1027" s="115"/>
      <c r="L1027" s="161">
        <f t="shared" ref="L1027:Q1027" si="558">SUM(L1028:L1030)</f>
        <v>23000</v>
      </c>
      <c r="M1027" s="34">
        <f t="shared" si="558"/>
        <v>220000</v>
      </c>
      <c r="N1027" s="34">
        <f t="shared" si="558"/>
        <v>120000</v>
      </c>
      <c r="O1027" s="34">
        <f t="shared" si="558"/>
        <v>120000</v>
      </c>
      <c r="P1027" s="269">
        <f t="shared" si="558"/>
        <v>120000</v>
      </c>
      <c r="Q1027" s="279">
        <f t="shared" si="558"/>
        <v>603000</v>
      </c>
      <c r="R1027" s="198" t="s">
        <v>802</v>
      </c>
      <c r="S1027" s="197" t="s">
        <v>801</v>
      </c>
      <c r="T1027" s="51"/>
    </row>
    <row r="1028" spans="1:20" x14ac:dyDescent="0.2">
      <c r="A1028" s="95">
        <v>1</v>
      </c>
      <c r="B1028" s="108" t="str">
        <f>IF(A1028&lt;&gt;0,INDEX(Coûts,'PA-Détails'!A1028, 2),)</f>
        <v>Assistance technique internationale (consultants)</v>
      </c>
      <c r="C1028" s="51"/>
      <c r="D1028" s="94" t="str">
        <f>IF(A1028&lt;&gt;0,INDEX(Coûts, 'PA-Détails'!A1028, 5),)</f>
        <v>Pers / j</v>
      </c>
      <c r="E1028" s="96">
        <v>20</v>
      </c>
      <c r="F1028" s="100"/>
      <c r="G1028" s="100"/>
      <c r="H1028" s="100"/>
      <c r="I1028" s="100"/>
      <c r="J1028" s="101">
        <f t="shared" si="548"/>
        <v>20</v>
      </c>
      <c r="K1028" s="115">
        <f>IF(A1028&lt;&gt;0,INDEX(Coûts, 'PA-Détails'!A1028, 3),)</f>
        <v>1150</v>
      </c>
      <c r="L1028" s="37">
        <f t="shared" ref="L1028:P1031" si="559">ROUND(+$K1028*E1028,0)</f>
        <v>23000</v>
      </c>
      <c r="M1028" s="36">
        <f t="shared" si="559"/>
        <v>0</v>
      </c>
      <c r="N1028" s="36">
        <f t="shared" si="559"/>
        <v>0</v>
      </c>
      <c r="O1028" s="36">
        <f t="shared" si="559"/>
        <v>0</v>
      </c>
      <c r="P1028" s="268">
        <f t="shared" si="559"/>
        <v>0</v>
      </c>
      <c r="Q1028" s="281">
        <f>SUM(L1028:P1028)</f>
        <v>23000</v>
      </c>
      <c r="R1028" s="22"/>
      <c r="S1028" s="21"/>
      <c r="T1028" s="51"/>
    </row>
    <row r="1029" spans="1:20" x14ac:dyDescent="0.2">
      <c r="A1029" s="95">
        <v>108</v>
      </c>
      <c r="B1029" s="108" t="str">
        <f>IF(A1029&lt;&gt;0,INDEX(Coûts,'PA-Détails'!A1029, 2),)</f>
        <v>Enveloppe pour installation et équipement du CUI</v>
      </c>
      <c r="C1029" s="51"/>
      <c r="D1029" s="94" t="str">
        <f>IF(A1029&lt;&gt;0,INDEX(Coûts, 'PA-Détails'!A1029, 5),)</f>
        <v>Forfait</v>
      </c>
      <c r="E1029" s="96"/>
      <c r="F1029" s="100">
        <v>1</v>
      </c>
      <c r="G1029" s="100"/>
      <c r="H1029" s="100"/>
      <c r="I1029" s="100"/>
      <c r="J1029" s="101">
        <f t="shared" si="548"/>
        <v>1</v>
      </c>
      <c r="K1029" s="115">
        <f>IF(A1029&lt;&gt;0,INDEX(Coûts, 'PA-Détails'!A1029, 3),)</f>
        <v>100000</v>
      </c>
      <c r="L1029" s="37">
        <f t="shared" si="559"/>
        <v>0</v>
      </c>
      <c r="M1029" s="36">
        <f t="shared" si="559"/>
        <v>100000</v>
      </c>
      <c r="N1029" s="36">
        <f t="shared" si="559"/>
        <v>0</v>
      </c>
      <c r="O1029" s="36">
        <f t="shared" si="559"/>
        <v>0</v>
      </c>
      <c r="P1029" s="268">
        <f t="shared" si="559"/>
        <v>0</v>
      </c>
      <c r="Q1029" s="281">
        <f>SUM(L1029:P1029)</f>
        <v>100000</v>
      </c>
      <c r="R1029" s="22"/>
      <c r="S1029" s="21"/>
      <c r="T1029" s="51"/>
    </row>
    <row r="1030" spans="1:20" x14ac:dyDescent="0.2">
      <c r="A1030" s="95">
        <v>109</v>
      </c>
      <c r="B1030" s="108" t="str">
        <f>IF(A1030&lt;&gt;0,INDEX(Coûts,'PA-Détails'!A1030, 2),)</f>
        <v>Budget de fonctionnement du CUI</v>
      </c>
      <c r="C1030" s="51"/>
      <c r="D1030" s="94" t="str">
        <f>IF(A1030&lt;&gt;0,INDEX(Coûts, 'PA-Détails'!A1030, 5),)</f>
        <v>Forfait</v>
      </c>
      <c r="E1030" s="96"/>
      <c r="F1030" s="100">
        <v>1</v>
      </c>
      <c r="G1030" s="100">
        <v>1</v>
      </c>
      <c r="H1030" s="100">
        <v>1</v>
      </c>
      <c r="I1030" s="100">
        <v>1</v>
      </c>
      <c r="J1030" s="101">
        <f t="shared" si="548"/>
        <v>4</v>
      </c>
      <c r="K1030" s="115">
        <f>IF(A1030&lt;&gt;0,INDEX(Coûts, 'PA-Détails'!A1030, 3),)</f>
        <v>120000</v>
      </c>
      <c r="L1030" s="37">
        <f t="shared" si="559"/>
        <v>0</v>
      </c>
      <c r="M1030" s="36">
        <f t="shared" si="559"/>
        <v>120000</v>
      </c>
      <c r="N1030" s="36">
        <f t="shared" si="559"/>
        <v>120000</v>
      </c>
      <c r="O1030" s="36">
        <f t="shared" si="559"/>
        <v>120000</v>
      </c>
      <c r="P1030" s="268">
        <f t="shared" si="559"/>
        <v>120000</v>
      </c>
      <c r="Q1030" s="281">
        <f>SUM(L1030:P1030)</f>
        <v>480000</v>
      </c>
      <c r="R1030" s="22"/>
      <c r="S1030" s="21"/>
      <c r="T1030" s="51"/>
    </row>
    <row r="1031" spans="1:20" x14ac:dyDescent="0.2">
      <c r="A1031" s="17" t="s">
        <v>118</v>
      </c>
      <c r="B1031" s="45"/>
      <c r="C1031" s="51"/>
      <c r="D1031" s="18"/>
      <c r="E1031" s="97"/>
      <c r="F1031" s="98"/>
      <c r="G1031" s="98"/>
      <c r="H1031" s="98"/>
      <c r="I1031" s="98"/>
      <c r="J1031" s="99">
        <f t="shared" si="548"/>
        <v>0</v>
      </c>
      <c r="K1031" s="116"/>
      <c r="L1031" s="35">
        <f t="shared" si="559"/>
        <v>0</v>
      </c>
      <c r="M1031" s="34">
        <f t="shared" si="559"/>
        <v>0</v>
      </c>
      <c r="N1031" s="34">
        <f t="shared" si="559"/>
        <v>0</v>
      </c>
      <c r="O1031" s="34">
        <f t="shared" si="559"/>
        <v>0</v>
      </c>
      <c r="P1031" s="269">
        <f t="shared" si="559"/>
        <v>0</v>
      </c>
      <c r="Q1031" s="279">
        <f>SUM(L1031:P1031)</f>
        <v>0</v>
      </c>
      <c r="R1031" s="19"/>
      <c r="S1031" s="18"/>
      <c r="T1031" s="51" t="s">
        <v>544</v>
      </c>
    </row>
    <row r="1032" spans="1:20" x14ac:dyDescent="0.2">
      <c r="A1032" s="20" t="s">
        <v>545</v>
      </c>
      <c r="B1032" s="46"/>
      <c r="C1032" s="51"/>
      <c r="D1032" s="21"/>
      <c r="E1032" s="96"/>
      <c r="F1032" s="100"/>
      <c r="G1032" s="100"/>
      <c r="H1032" s="100"/>
      <c r="I1032" s="100"/>
      <c r="J1032" s="101">
        <f t="shared" si="548"/>
        <v>0</v>
      </c>
      <c r="K1032" s="115"/>
      <c r="L1032" s="161">
        <f t="shared" ref="L1032:Q1032" si="560">SUM(L1033:L1034)</f>
        <v>62500</v>
      </c>
      <c r="M1032" s="157">
        <f t="shared" si="560"/>
        <v>0</v>
      </c>
      <c r="N1032" s="157">
        <f t="shared" si="560"/>
        <v>0</v>
      </c>
      <c r="O1032" s="157">
        <f t="shared" si="560"/>
        <v>0</v>
      </c>
      <c r="P1032" s="270">
        <f t="shared" si="560"/>
        <v>0</v>
      </c>
      <c r="Q1032" s="284">
        <f t="shared" si="560"/>
        <v>62500</v>
      </c>
      <c r="R1032" s="198" t="s">
        <v>802</v>
      </c>
      <c r="S1032" s="197" t="s">
        <v>801</v>
      </c>
      <c r="T1032" s="51"/>
    </row>
    <row r="1033" spans="1:20" x14ac:dyDescent="0.2">
      <c r="A1033" s="95">
        <v>1</v>
      </c>
      <c r="B1033" s="108" t="str">
        <f>IF(A1033&lt;&gt;0,INDEX(Coûts,'PA-Détails'!A1033, 2),)</f>
        <v>Assistance technique internationale (consultants)</v>
      </c>
      <c r="C1033" s="51"/>
      <c r="D1033" s="94" t="str">
        <f>IF(A1033&lt;&gt;0,INDEX(Coûts, 'PA-Détails'!A1033, 5),)</f>
        <v>Pers / j</v>
      </c>
      <c r="E1033" s="96">
        <v>50</v>
      </c>
      <c r="F1033" s="100"/>
      <c r="G1033" s="100"/>
      <c r="H1033" s="100"/>
      <c r="I1033" s="100"/>
      <c r="J1033" s="101">
        <f t="shared" si="548"/>
        <v>50</v>
      </c>
      <c r="K1033" s="115">
        <f>IF(A1033&lt;&gt;0,INDEX(Coûts, 'PA-Détails'!A1033, 3),)</f>
        <v>1150</v>
      </c>
      <c r="L1033" s="37">
        <f t="shared" ref="L1033:P1034" si="561">ROUND(+$K1033*E1033,0)</f>
        <v>57500</v>
      </c>
      <c r="M1033" s="36">
        <f t="shared" si="561"/>
        <v>0</v>
      </c>
      <c r="N1033" s="36">
        <f t="shared" si="561"/>
        <v>0</v>
      </c>
      <c r="O1033" s="36">
        <f t="shared" si="561"/>
        <v>0</v>
      </c>
      <c r="P1033" s="268">
        <f t="shared" si="561"/>
        <v>0</v>
      </c>
      <c r="Q1033" s="281">
        <f>SUM(L1033:P1033)</f>
        <v>57500</v>
      </c>
      <c r="R1033" s="22"/>
      <c r="S1033" s="21"/>
      <c r="T1033" s="51"/>
    </row>
    <row r="1034" spans="1:20" x14ac:dyDescent="0.2">
      <c r="A1034" s="95">
        <v>5</v>
      </c>
      <c r="B1034" s="108" t="str">
        <f>IF(A1034&lt;&gt;0,INDEX(Coûts,'PA-Détails'!A1034, 2),)</f>
        <v>Atelier de validation</v>
      </c>
      <c r="C1034" s="51"/>
      <c r="D1034" s="94" t="str">
        <f>IF(A1034&lt;&gt;0,INDEX(Coûts, 'PA-Détails'!A1034, 5),)</f>
        <v>Pers / j</v>
      </c>
      <c r="E1034" s="96">
        <v>100</v>
      </c>
      <c r="F1034" s="100"/>
      <c r="G1034" s="100"/>
      <c r="H1034" s="100"/>
      <c r="I1034" s="100"/>
      <c r="J1034" s="101">
        <f t="shared" si="548"/>
        <v>100</v>
      </c>
      <c r="K1034" s="115">
        <f>IF(A1034&lt;&gt;0,INDEX(Coûts, 'PA-Détails'!A1034, 3),)</f>
        <v>50</v>
      </c>
      <c r="L1034" s="37">
        <f t="shared" si="561"/>
        <v>5000</v>
      </c>
      <c r="M1034" s="36">
        <f t="shared" si="561"/>
        <v>0</v>
      </c>
      <c r="N1034" s="36">
        <f t="shared" si="561"/>
        <v>0</v>
      </c>
      <c r="O1034" s="36">
        <f t="shared" si="561"/>
        <v>0</v>
      </c>
      <c r="P1034" s="268">
        <f t="shared" si="561"/>
        <v>0</v>
      </c>
      <c r="Q1034" s="281">
        <f>SUM(L1034:P1034)</f>
        <v>5000</v>
      </c>
      <c r="R1034" s="22"/>
      <c r="S1034" s="21"/>
      <c r="T1034" s="51"/>
    </row>
    <row r="1035" spans="1:20" x14ac:dyDescent="0.2">
      <c r="A1035" s="20" t="s">
        <v>546</v>
      </c>
      <c r="B1035" s="46"/>
      <c r="C1035" s="51"/>
      <c r="D1035" s="21"/>
      <c r="E1035" s="96"/>
      <c r="F1035" s="100"/>
      <c r="G1035" s="100"/>
      <c r="H1035" s="100"/>
      <c r="I1035" s="100"/>
      <c r="J1035" s="101">
        <f t="shared" si="548"/>
        <v>0</v>
      </c>
      <c r="K1035" s="115"/>
      <c r="L1035" s="161">
        <f t="shared" ref="L1035:Q1035" si="562">SUM(L1036:L1037)</f>
        <v>0</v>
      </c>
      <c r="M1035" s="157">
        <f t="shared" si="562"/>
        <v>1500000</v>
      </c>
      <c r="N1035" s="157">
        <f t="shared" si="562"/>
        <v>500000</v>
      </c>
      <c r="O1035" s="157">
        <f t="shared" si="562"/>
        <v>500000</v>
      </c>
      <c r="P1035" s="270">
        <f t="shared" si="562"/>
        <v>500000</v>
      </c>
      <c r="Q1035" s="284">
        <f t="shared" si="562"/>
        <v>3000000</v>
      </c>
      <c r="R1035" s="198" t="s">
        <v>802</v>
      </c>
      <c r="S1035" s="197" t="s">
        <v>801</v>
      </c>
      <c r="T1035" s="51"/>
    </row>
    <row r="1036" spans="1:20" x14ac:dyDescent="0.2">
      <c r="A1036" s="95">
        <v>110</v>
      </c>
      <c r="B1036" s="108" t="str">
        <f>IF(A1036&lt;&gt;0,INDEX(Coûts,'PA-Détails'!A1036, 2),)</f>
        <v>Enveloppe pour installation et équipement de la BVN</v>
      </c>
      <c r="C1036" s="51"/>
      <c r="D1036" s="94" t="str">
        <f>IF(A1036&lt;&gt;0,INDEX(Coûts, 'PA-Détails'!A1036, 5),)</f>
        <v>Forfait</v>
      </c>
      <c r="E1036" s="96"/>
      <c r="F1036" s="100">
        <v>1</v>
      </c>
      <c r="G1036" s="100"/>
      <c r="H1036" s="100"/>
      <c r="I1036" s="100"/>
      <c r="J1036" s="101">
        <f t="shared" si="548"/>
        <v>1</v>
      </c>
      <c r="K1036" s="115">
        <f>IF(A1036&lt;&gt;0,INDEX(Coûts, 'PA-Détails'!A1036, 3),)</f>
        <v>1000000</v>
      </c>
      <c r="L1036" s="37">
        <f t="shared" ref="L1036:P1039" si="563">ROUND(+$K1036*E1036,0)</f>
        <v>0</v>
      </c>
      <c r="M1036" s="36">
        <f t="shared" si="563"/>
        <v>1000000</v>
      </c>
      <c r="N1036" s="36">
        <f t="shared" si="563"/>
        <v>0</v>
      </c>
      <c r="O1036" s="36">
        <f t="shared" si="563"/>
        <v>0</v>
      </c>
      <c r="P1036" s="268">
        <f t="shared" si="563"/>
        <v>0</v>
      </c>
      <c r="Q1036" s="281">
        <f>SUM(L1036:P1036)</f>
        <v>1000000</v>
      </c>
      <c r="R1036" s="22"/>
      <c r="S1036" s="21"/>
      <c r="T1036" s="51"/>
    </row>
    <row r="1037" spans="1:20" x14ac:dyDescent="0.2">
      <c r="A1037" s="95">
        <v>111</v>
      </c>
      <c r="B1037" s="108" t="str">
        <f>IF(A1037&lt;&gt;0,INDEX(Coûts,'PA-Détails'!A1037, 2),)</f>
        <v>Budget de fonctionnement de la BVN</v>
      </c>
      <c r="C1037" s="51"/>
      <c r="D1037" s="94" t="str">
        <f>IF(A1037&lt;&gt;0,INDEX(Coûts, 'PA-Détails'!A1037, 5),)</f>
        <v>Forfait</v>
      </c>
      <c r="E1037" s="96"/>
      <c r="F1037" s="100">
        <v>1</v>
      </c>
      <c r="G1037" s="100">
        <v>1</v>
      </c>
      <c r="H1037" s="100">
        <v>1</v>
      </c>
      <c r="I1037" s="100">
        <v>1</v>
      </c>
      <c r="J1037" s="101">
        <f t="shared" si="548"/>
        <v>4</v>
      </c>
      <c r="K1037" s="115">
        <f>IF(A1037&lt;&gt;0,INDEX(Coûts, 'PA-Détails'!A1037, 3),)</f>
        <v>500000</v>
      </c>
      <c r="L1037" s="37">
        <f t="shared" si="563"/>
        <v>0</v>
      </c>
      <c r="M1037" s="36">
        <f t="shared" si="563"/>
        <v>500000</v>
      </c>
      <c r="N1037" s="36">
        <f t="shared" si="563"/>
        <v>500000</v>
      </c>
      <c r="O1037" s="36">
        <f t="shared" si="563"/>
        <v>500000</v>
      </c>
      <c r="P1037" s="268">
        <f t="shared" si="563"/>
        <v>500000</v>
      </c>
      <c r="Q1037" s="281">
        <f>SUM(L1037:P1037)</f>
        <v>2000000</v>
      </c>
      <c r="R1037" s="22"/>
      <c r="S1037" s="21"/>
      <c r="T1037" s="51"/>
    </row>
    <row r="1038" spans="1:20" x14ac:dyDescent="0.2">
      <c r="A1038" s="14" t="s">
        <v>547</v>
      </c>
      <c r="B1038" s="44"/>
      <c r="C1038" s="112"/>
      <c r="D1038" s="15"/>
      <c r="E1038" s="102"/>
      <c r="F1038" s="103"/>
      <c r="G1038" s="103"/>
      <c r="H1038" s="103"/>
      <c r="I1038" s="103"/>
      <c r="J1038" s="104">
        <f t="shared" si="548"/>
        <v>0</v>
      </c>
      <c r="K1038" s="145"/>
      <c r="L1038" s="33">
        <f t="shared" si="563"/>
        <v>0</v>
      </c>
      <c r="M1038" s="32">
        <f t="shared" si="563"/>
        <v>0</v>
      </c>
      <c r="N1038" s="32">
        <f t="shared" si="563"/>
        <v>0</v>
      </c>
      <c r="O1038" s="32">
        <f t="shared" si="563"/>
        <v>0</v>
      </c>
      <c r="P1038" s="267">
        <f t="shared" si="563"/>
        <v>0</v>
      </c>
      <c r="Q1038" s="278">
        <f>SUM(L1038:P1038)</f>
        <v>0</v>
      </c>
      <c r="R1038" s="16"/>
      <c r="S1038" s="15"/>
      <c r="T1038" s="112">
        <v>2</v>
      </c>
    </row>
    <row r="1039" spans="1:20" x14ac:dyDescent="0.2">
      <c r="A1039" s="17" t="s">
        <v>119</v>
      </c>
      <c r="B1039" s="45"/>
      <c r="C1039" s="51"/>
      <c r="D1039" s="18"/>
      <c r="E1039" s="97"/>
      <c r="F1039" s="98"/>
      <c r="G1039" s="98"/>
      <c r="H1039" s="98"/>
      <c r="I1039" s="98"/>
      <c r="J1039" s="99">
        <f t="shared" si="548"/>
        <v>0</v>
      </c>
      <c r="K1039" s="116"/>
      <c r="L1039" s="35">
        <f t="shared" si="563"/>
        <v>0</v>
      </c>
      <c r="M1039" s="34">
        <f t="shared" si="563"/>
        <v>0</v>
      </c>
      <c r="N1039" s="34">
        <f t="shared" si="563"/>
        <v>0</v>
      </c>
      <c r="O1039" s="34">
        <f t="shared" si="563"/>
        <v>0</v>
      </c>
      <c r="P1039" s="269">
        <f t="shared" si="563"/>
        <v>0</v>
      </c>
      <c r="Q1039" s="279">
        <f>SUM(L1039:P1039)</f>
        <v>0</v>
      </c>
      <c r="R1039" s="19"/>
      <c r="S1039" s="18"/>
      <c r="T1039" s="51"/>
    </row>
    <row r="1040" spans="1:20" x14ac:dyDescent="0.2">
      <c r="A1040" s="20" t="s">
        <v>548</v>
      </c>
      <c r="B1040" s="46"/>
      <c r="C1040" s="51"/>
      <c r="D1040" s="21"/>
      <c r="E1040" s="96"/>
      <c r="F1040" s="100"/>
      <c r="G1040" s="100"/>
      <c r="H1040" s="100"/>
      <c r="I1040" s="100"/>
      <c r="J1040" s="101">
        <f t="shared" si="548"/>
        <v>0</v>
      </c>
      <c r="K1040" s="115"/>
      <c r="L1040" s="161">
        <f t="shared" ref="L1040:Q1040" si="564">SUM(L1041:L1042)</f>
        <v>62500</v>
      </c>
      <c r="M1040" s="157">
        <f t="shared" si="564"/>
        <v>0</v>
      </c>
      <c r="N1040" s="157">
        <f t="shared" si="564"/>
        <v>0</v>
      </c>
      <c r="O1040" s="157">
        <f t="shared" si="564"/>
        <v>0</v>
      </c>
      <c r="P1040" s="270">
        <f t="shared" si="564"/>
        <v>0</v>
      </c>
      <c r="Q1040" s="284">
        <f t="shared" si="564"/>
        <v>62500</v>
      </c>
      <c r="R1040" s="198" t="s">
        <v>802</v>
      </c>
      <c r="S1040" s="197" t="s">
        <v>801</v>
      </c>
      <c r="T1040" s="51"/>
    </row>
    <row r="1041" spans="1:20" x14ac:dyDescent="0.2">
      <c r="A1041" s="95">
        <v>1</v>
      </c>
      <c r="B1041" s="108" t="str">
        <f>IF(A1041&lt;&gt;0,INDEX(Coûts,'PA-Détails'!A1041, 2),)</f>
        <v>Assistance technique internationale (consultants)</v>
      </c>
      <c r="C1041" s="51"/>
      <c r="D1041" s="94" t="str">
        <f>IF(A1041&lt;&gt;0,INDEX(Coûts, 'PA-Détails'!A1041, 5),)</f>
        <v>Pers / j</v>
      </c>
      <c r="E1041" s="96">
        <v>50</v>
      </c>
      <c r="F1041" s="100"/>
      <c r="G1041" s="100"/>
      <c r="H1041" s="100"/>
      <c r="I1041" s="100"/>
      <c r="J1041" s="101">
        <f t="shared" si="548"/>
        <v>50</v>
      </c>
      <c r="K1041" s="115">
        <f>IF(A1041&lt;&gt;0,INDEX(Coûts, 'PA-Détails'!A1041, 3),)</f>
        <v>1150</v>
      </c>
      <c r="L1041" s="37">
        <f t="shared" ref="L1041:P1042" si="565">ROUND(+$K1041*E1041,0)</f>
        <v>57500</v>
      </c>
      <c r="M1041" s="36">
        <f t="shared" si="565"/>
        <v>0</v>
      </c>
      <c r="N1041" s="36">
        <f t="shared" si="565"/>
        <v>0</v>
      </c>
      <c r="O1041" s="36">
        <f t="shared" si="565"/>
        <v>0</v>
      </c>
      <c r="P1041" s="268">
        <f t="shared" si="565"/>
        <v>0</v>
      </c>
      <c r="Q1041" s="281">
        <f>SUM(L1041:P1041)</f>
        <v>57500</v>
      </c>
      <c r="R1041" s="22"/>
      <c r="S1041" s="21"/>
      <c r="T1041" s="51"/>
    </row>
    <row r="1042" spans="1:20" x14ac:dyDescent="0.2">
      <c r="A1042" s="95">
        <v>5</v>
      </c>
      <c r="B1042" s="108" t="str">
        <f>IF(A1042&lt;&gt;0,INDEX(Coûts,'PA-Détails'!A1042, 2),)</f>
        <v>Atelier de validation</v>
      </c>
      <c r="C1042" s="51"/>
      <c r="D1042" s="94" t="str">
        <f>IF(A1042&lt;&gt;0,INDEX(Coûts, 'PA-Détails'!A1042, 5),)</f>
        <v>Pers / j</v>
      </c>
      <c r="E1042" s="96">
        <v>100</v>
      </c>
      <c r="F1042" s="100"/>
      <c r="G1042" s="100"/>
      <c r="H1042" s="100"/>
      <c r="I1042" s="100"/>
      <c r="J1042" s="101">
        <f t="shared" ref="J1042:J1073" si="566">SUM(E1042:I1042)</f>
        <v>100</v>
      </c>
      <c r="K1042" s="115">
        <f>IF(A1042&lt;&gt;0,INDEX(Coûts, 'PA-Détails'!A1042, 3),)</f>
        <v>50</v>
      </c>
      <c r="L1042" s="37">
        <f t="shared" si="565"/>
        <v>5000</v>
      </c>
      <c r="M1042" s="36">
        <f t="shared" si="565"/>
        <v>0</v>
      </c>
      <c r="N1042" s="36">
        <f t="shared" si="565"/>
        <v>0</v>
      </c>
      <c r="O1042" s="36">
        <f t="shared" si="565"/>
        <v>0</v>
      </c>
      <c r="P1042" s="268">
        <f t="shared" si="565"/>
        <v>0</v>
      </c>
      <c r="Q1042" s="281">
        <f>SUM(L1042:P1042)</f>
        <v>5000</v>
      </c>
      <c r="R1042" s="22"/>
      <c r="S1042" s="21"/>
      <c r="T1042" s="51"/>
    </row>
    <row r="1043" spans="1:20" x14ac:dyDescent="0.2">
      <c r="A1043" s="20" t="s">
        <v>549</v>
      </c>
      <c r="B1043" s="46"/>
      <c r="C1043" s="51"/>
      <c r="D1043" s="21"/>
      <c r="E1043" s="96"/>
      <c r="F1043" s="100"/>
      <c r="G1043" s="100"/>
      <c r="H1043" s="100"/>
      <c r="I1043" s="100"/>
      <c r="J1043" s="101">
        <f t="shared" si="566"/>
        <v>0</v>
      </c>
      <c r="K1043" s="115"/>
      <c r="L1043" s="161">
        <f t="shared" ref="L1043:Q1043" si="567">SUM(L1044:L1045)</f>
        <v>0</v>
      </c>
      <c r="M1043" s="157">
        <f t="shared" si="567"/>
        <v>800000</v>
      </c>
      <c r="N1043" s="157">
        <f t="shared" si="567"/>
        <v>2500000</v>
      </c>
      <c r="O1043" s="157">
        <f t="shared" si="567"/>
        <v>2500000</v>
      </c>
      <c r="P1043" s="270">
        <f t="shared" si="567"/>
        <v>5000000</v>
      </c>
      <c r="Q1043" s="284">
        <f t="shared" si="567"/>
        <v>10800000</v>
      </c>
      <c r="R1043" s="198" t="s">
        <v>802</v>
      </c>
      <c r="S1043" s="197" t="s">
        <v>801</v>
      </c>
      <c r="T1043" s="51"/>
    </row>
    <row r="1044" spans="1:20" x14ac:dyDescent="0.2">
      <c r="A1044" s="95">
        <v>45</v>
      </c>
      <c r="B1044" s="108" t="str">
        <f>IF(A1044&lt;&gt;0,INDEX(Coûts,'PA-Détails'!A1044, 2),)</f>
        <v>Équipement informatique (lot PC, logiciel,  imprimante, photocopieuse, scanner)</v>
      </c>
      <c r="C1044" s="51"/>
      <c r="D1044" s="94" t="str">
        <f>IF(A1044&lt;&gt;0,INDEX(Coûts, 'PA-Détails'!A1044, 5),)</f>
        <v>Forfait</v>
      </c>
      <c r="E1044" s="96"/>
      <c r="F1044" s="100">
        <f>F1045*20</f>
        <v>320</v>
      </c>
      <c r="G1044" s="100">
        <f>G1045*20</f>
        <v>1000</v>
      </c>
      <c r="H1044" s="100">
        <f>H1045*20</f>
        <v>1000</v>
      </c>
      <c r="I1044" s="100">
        <f>I1045*20</f>
        <v>2000</v>
      </c>
      <c r="J1044" s="101">
        <f t="shared" si="566"/>
        <v>4320</v>
      </c>
      <c r="K1044" s="115">
        <f>IF(A1044&lt;&gt;0,INDEX(Coûts, 'PA-Détails'!A1044, 3),)</f>
        <v>1500</v>
      </c>
      <c r="L1044" s="37">
        <f t="shared" ref="L1044:P1046" si="568">ROUND(+$K1044*E1044,0)</f>
        <v>0</v>
      </c>
      <c r="M1044" s="36">
        <f t="shared" si="568"/>
        <v>480000</v>
      </c>
      <c r="N1044" s="36">
        <f t="shared" si="568"/>
        <v>1500000</v>
      </c>
      <c r="O1044" s="36">
        <f t="shared" si="568"/>
        <v>1500000</v>
      </c>
      <c r="P1044" s="268">
        <f t="shared" si="568"/>
        <v>3000000</v>
      </c>
      <c r="Q1044" s="281">
        <f>SUM(L1044:P1044)</f>
        <v>6480000</v>
      </c>
      <c r="R1044" s="22"/>
      <c r="S1044" s="21"/>
      <c r="T1044" s="51"/>
    </row>
    <row r="1045" spans="1:20" x14ac:dyDescent="0.2">
      <c r="A1045" s="95">
        <v>112</v>
      </c>
      <c r="B1045" s="108" t="str">
        <f>IF(A1045&lt;&gt;0,INDEX(Coûts,'PA-Détails'!A1045, 2),)</f>
        <v>Budget de fonctionnement du réseau numérique</v>
      </c>
      <c r="C1045" s="51"/>
      <c r="D1045" s="94" t="str">
        <f>IF(A1045&lt;&gt;0,INDEX(Coûts, 'PA-Détails'!A1045, 5),)</f>
        <v>Forfait/ESS</v>
      </c>
      <c r="E1045" s="96"/>
      <c r="F1045" s="100">
        <v>16</v>
      </c>
      <c r="G1045" s="100">
        <v>50</v>
      </c>
      <c r="H1045" s="100">
        <v>50</v>
      </c>
      <c r="I1045" s="100">
        <v>100</v>
      </c>
      <c r="J1045" s="101">
        <f t="shared" si="566"/>
        <v>216</v>
      </c>
      <c r="K1045" s="115">
        <f>IF(A1045&lt;&gt;0,INDEX(Coûts, 'PA-Détails'!A1045, 3),)</f>
        <v>20000</v>
      </c>
      <c r="L1045" s="37">
        <f t="shared" si="568"/>
        <v>0</v>
      </c>
      <c r="M1045" s="36">
        <f t="shared" si="568"/>
        <v>320000</v>
      </c>
      <c r="N1045" s="36">
        <f t="shared" si="568"/>
        <v>1000000</v>
      </c>
      <c r="O1045" s="36">
        <f t="shared" si="568"/>
        <v>1000000</v>
      </c>
      <c r="P1045" s="268">
        <f t="shared" si="568"/>
        <v>2000000</v>
      </c>
      <c r="Q1045" s="281">
        <f>SUM(L1045:P1045)</f>
        <v>4320000</v>
      </c>
      <c r="R1045" s="22"/>
      <c r="S1045" s="21"/>
      <c r="T1045" s="51"/>
    </row>
    <row r="1046" spans="1:20" x14ac:dyDescent="0.2">
      <c r="A1046" s="17" t="s">
        <v>1117</v>
      </c>
      <c r="B1046" s="45"/>
      <c r="C1046" s="51"/>
      <c r="D1046" s="18"/>
      <c r="E1046" s="97"/>
      <c r="F1046" s="98"/>
      <c r="G1046" s="98"/>
      <c r="H1046" s="98"/>
      <c r="I1046" s="98"/>
      <c r="J1046" s="99">
        <f t="shared" si="566"/>
        <v>0</v>
      </c>
      <c r="K1046" s="116"/>
      <c r="L1046" s="35">
        <f t="shared" si="568"/>
        <v>0</v>
      </c>
      <c r="M1046" s="34">
        <f t="shared" si="568"/>
        <v>0</v>
      </c>
      <c r="N1046" s="34">
        <f t="shared" si="568"/>
        <v>0</v>
      </c>
      <c r="O1046" s="34">
        <f t="shared" si="568"/>
        <v>0</v>
      </c>
      <c r="P1046" s="269">
        <f t="shared" si="568"/>
        <v>0</v>
      </c>
      <c r="Q1046" s="279">
        <f>SUM(L1046:P1046)</f>
        <v>0</v>
      </c>
      <c r="R1046" s="19"/>
      <c r="S1046" s="18"/>
      <c r="T1046" s="51"/>
    </row>
    <row r="1047" spans="1:20" x14ac:dyDescent="0.2">
      <c r="A1047" s="20" t="s">
        <v>550</v>
      </c>
      <c r="B1047" s="46"/>
      <c r="C1047" s="51"/>
      <c r="D1047" s="21"/>
      <c r="E1047" s="96"/>
      <c r="F1047" s="100"/>
      <c r="G1047" s="100"/>
      <c r="H1047" s="100"/>
      <c r="I1047" s="100"/>
      <c r="J1047" s="101">
        <f t="shared" si="566"/>
        <v>0</v>
      </c>
      <c r="K1047" s="115"/>
      <c r="L1047" s="161">
        <f t="shared" ref="L1047:Q1047" si="569">SUM(L1048:L1049)</f>
        <v>62500</v>
      </c>
      <c r="M1047" s="157">
        <f t="shared" si="569"/>
        <v>0</v>
      </c>
      <c r="N1047" s="157">
        <f t="shared" si="569"/>
        <v>0</v>
      </c>
      <c r="O1047" s="157">
        <f t="shared" si="569"/>
        <v>0</v>
      </c>
      <c r="P1047" s="270">
        <f t="shared" si="569"/>
        <v>0</v>
      </c>
      <c r="Q1047" s="284">
        <f t="shared" si="569"/>
        <v>62500</v>
      </c>
      <c r="R1047" s="198" t="s">
        <v>803</v>
      </c>
      <c r="S1047" s="197" t="s">
        <v>801</v>
      </c>
      <c r="T1047" s="51"/>
    </row>
    <row r="1048" spans="1:20" x14ac:dyDescent="0.2">
      <c r="A1048" s="95">
        <v>1</v>
      </c>
      <c r="B1048" s="108" t="str">
        <f>IF(A1048&lt;&gt;0,INDEX(Coûts,'PA-Détails'!A1048, 2),)</f>
        <v>Assistance technique internationale (consultants)</v>
      </c>
      <c r="C1048" s="51"/>
      <c r="D1048" s="94" t="str">
        <f>IF(A1048&lt;&gt;0,INDEX(Coûts, 'PA-Détails'!A1048, 5),)</f>
        <v>Pers / j</v>
      </c>
      <c r="E1048" s="96">
        <v>50</v>
      </c>
      <c r="F1048" s="100"/>
      <c r="G1048" s="100"/>
      <c r="H1048" s="100"/>
      <c r="I1048" s="100"/>
      <c r="J1048" s="101">
        <f t="shared" si="566"/>
        <v>50</v>
      </c>
      <c r="K1048" s="115">
        <f>IF(A1048&lt;&gt;0,INDEX(Coûts, 'PA-Détails'!A1048, 3),)</f>
        <v>1150</v>
      </c>
      <c r="L1048" s="37">
        <f t="shared" ref="L1048:P1049" si="570">ROUND(+$K1048*E1048,0)</f>
        <v>57500</v>
      </c>
      <c r="M1048" s="36">
        <f t="shared" si="570"/>
        <v>0</v>
      </c>
      <c r="N1048" s="36">
        <f t="shared" si="570"/>
        <v>0</v>
      </c>
      <c r="O1048" s="36">
        <f t="shared" si="570"/>
        <v>0</v>
      </c>
      <c r="P1048" s="268">
        <f t="shared" si="570"/>
        <v>0</v>
      </c>
      <c r="Q1048" s="281">
        <f>SUM(L1048:P1048)</f>
        <v>57500</v>
      </c>
      <c r="R1048" s="22"/>
      <c r="S1048" s="21"/>
      <c r="T1048" s="51"/>
    </row>
    <row r="1049" spans="1:20" x14ac:dyDescent="0.2">
      <c r="A1049" s="95">
        <v>5</v>
      </c>
      <c r="B1049" s="108" t="str">
        <f>IF(A1049&lt;&gt;0,INDEX(Coûts,'PA-Détails'!A1049, 2),)</f>
        <v>Atelier de validation</v>
      </c>
      <c r="C1049" s="51"/>
      <c r="D1049" s="94" t="str">
        <f>IF(A1049&lt;&gt;0,INDEX(Coûts, 'PA-Détails'!A1049, 5),)</f>
        <v>Pers / j</v>
      </c>
      <c r="E1049" s="96">
        <v>100</v>
      </c>
      <c r="F1049" s="100"/>
      <c r="G1049" s="100"/>
      <c r="H1049" s="100"/>
      <c r="I1049" s="100"/>
      <c r="J1049" s="101">
        <f t="shared" si="566"/>
        <v>100</v>
      </c>
      <c r="K1049" s="115">
        <f>IF(A1049&lt;&gt;0,INDEX(Coûts, 'PA-Détails'!A1049, 3),)</f>
        <v>50</v>
      </c>
      <c r="L1049" s="37">
        <f t="shared" si="570"/>
        <v>5000</v>
      </c>
      <c r="M1049" s="36">
        <f t="shared" si="570"/>
        <v>0</v>
      </c>
      <c r="N1049" s="36">
        <f t="shared" si="570"/>
        <v>0</v>
      </c>
      <c r="O1049" s="36">
        <f t="shared" si="570"/>
        <v>0</v>
      </c>
      <c r="P1049" s="268">
        <f t="shared" si="570"/>
        <v>0</v>
      </c>
      <c r="Q1049" s="281">
        <f>SUM(L1049:P1049)</f>
        <v>5000</v>
      </c>
      <c r="R1049" s="22"/>
      <c r="S1049" s="21"/>
      <c r="T1049" s="51"/>
    </row>
    <row r="1050" spans="1:20" x14ac:dyDescent="0.2">
      <c r="A1050" s="20" t="s">
        <v>551</v>
      </c>
      <c r="B1050" s="46"/>
      <c r="C1050" s="51"/>
      <c r="D1050" s="21"/>
      <c r="E1050" s="96"/>
      <c r="F1050" s="100"/>
      <c r="G1050" s="100"/>
      <c r="H1050" s="100"/>
      <c r="I1050" s="100"/>
      <c r="J1050" s="101">
        <f t="shared" si="566"/>
        <v>0</v>
      </c>
      <c r="K1050" s="115"/>
      <c r="L1050" s="161">
        <f t="shared" ref="L1050:Q1050" si="571">SUM(L1051:L1051)</f>
        <v>0</v>
      </c>
      <c r="M1050" s="157">
        <f t="shared" si="571"/>
        <v>0</v>
      </c>
      <c r="N1050" s="157">
        <f t="shared" si="571"/>
        <v>500000</v>
      </c>
      <c r="O1050" s="157">
        <f t="shared" si="571"/>
        <v>500000</v>
      </c>
      <c r="P1050" s="270">
        <f t="shared" si="571"/>
        <v>500000</v>
      </c>
      <c r="Q1050" s="284">
        <f t="shared" si="571"/>
        <v>1500000</v>
      </c>
      <c r="R1050" s="198" t="s">
        <v>803</v>
      </c>
      <c r="S1050" s="197" t="s">
        <v>801</v>
      </c>
      <c r="T1050" s="51"/>
    </row>
    <row r="1051" spans="1:20" x14ac:dyDescent="0.2">
      <c r="A1051" s="95">
        <v>113</v>
      </c>
      <c r="B1051" s="108" t="str">
        <f>IF(A1051&lt;&gt;0,INDEX(Coûts,'PA-Détails'!A1051, 2),)</f>
        <v>Budget de fonctionnement de l'université virtuelle</v>
      </c>
      <c r="C1051" s="51"/>
      <c r="D1051" s="94" t="str">
        <f>IF(A1051&lt;&gt;0,INDEX(Coûts, 'PA-Détails'!A1051, 5),)</f>
        <v>Forfait</v>
      </c>
      <c r="E1051" s="96"/>
      <c r="F1051" s="100"/>
      <c r="G1051" s="100">
        <v>1</v>
      </c>
      <c r="H1051" s="100">
        <v>1</v>
      </c>
      <c r="I1051" s="100">
        <v>1</v>
      </c>
      <c r="J1051" s="101">
        <f t="shared" si="566"/>
        <v>3</v>
      </c>
      <c r="K1051" s="115">
        <f>IF(A1051&lt;&gt;0,INDEX(Coûts, 'PA-Détails'!A1051, 3),)</f>
        <v>500000</v>
      </c>
      <c r="L1051" s="37">
        <f>ROUND(+$K1051*E1051,0)</f>
        <v>0</v>
      </c>
      <c r="M1051" s="36">
        <f>ROUND(+$K1051*F1051,0)</f>
        <v>0</v>
      </c>
      <c r="N1051" s="36">
        <f>ROUND(+$K1051*G1051,0)</f>
        <v>500000</v>
      </c>
      <c r="O1051" s="36">
        <f>ROUND(+$K1051*H1051,0)</f>
        <v>500000</v>
      </c>
      <c r="P1051" s="268">
        <f>ROUND(+$K1051*I1051,0)</f>
        <v>500000</v>
      </c>
      <c r="Q1051" s="281">
        <f>SUM(L1051:P1051)</f>
        <v>1500000</v>
      </c>
      <c r="R1051" s="22"/>
      <c r="S1051" s="21"/>
      <c r="T1051" s="51"/>
    </row>
    <row r="1052" spans="1:20" x14ac:dyDescent="0.2">
      <c r="A1052" s="20" t="s">
        <v>859</v>
      </c>
      <c r="B1052" s="46"/>
      <c r="C1052" s="51"/>
      <c r="D1052" s="21"/>
      <c r="E1052" s="96"/>
      <c r="F1052" s="100"/>
      <c r="G1052" s="100"/>
      <c r="H1052" s="100"/>
      <c r="I1052" s="100"/>
      <c r="J1052" s="101">
        <f t="shared" si="566"/>
        <v>0</v>
      </c>
      <c r="K1052" s="115"/>
      <c r="L1052" s="161">
        <f t="shared" ref="L1052:Q1052" si="572">SUM(L1053:L1053)</f>
        <v>5000000</v>
      </c>
      <c r="M1052" s="157">
        <f t="shared" si="572"/>
        <v>5000000</v>
      </c>
      <c r="N1052" s="157">
        <f t="shared" si="572"/>
        <v>5000000</v>
      </c>
      <c r="O1052" s="157">
        <f t="shared" si="572"/>
        <v>5000000</v>
      </c>
      <c r="P1052" s="270">
        <f t="shared" si="572"/>
        <v>0</v>
      </c>
      <c r="Q1052" s="284">
        <f t="shared" si="572"/>
        <v>20000000</v>
      </c>
      <c r="R1052" s="198" t="s">
        <v>796</v>
      </c>
      <c r="S1052" s="197" t="s">
        <v>670</v>
      </c>
      <c r="T1052" s="51"/>
    </row>
    <row r="1053" spans="1:20" x14ac:dyDescent="0.2">
      <c r="A1053" s="95">
        <v>55</v>
      </c>
      <c r="B1053" s="108" t="str">
        <f>IF(A1053&lt;&gt;0,INDEX(Coûts,'PA-Détails'!A1053, 2),)</f>
        <v>Ordinateur portable</v>
      </c>
      <c r="C1053" s="51"/>
      <c r="D1053" s="94" t="str">
        <f>IF(A1053&lt;&gt;0,INDEX(Coûts, 'PA-Détails'!A1053, 5),)</f>
        <v>Unité</v>
      </c>
      <c r="E1053" s="96">
        <v>5000</v>
      </c>
      <c r="F1053" s="100">
        <v>5000</v>
      </c>
      <c r="G1053" s="100">
        <v>5000</v>
      </c>
      <c r="H1053" s="100">
        <v>5000</v>
      </c>
      <c r="I1053" s="100"/>
      <c r="J1053" s="101">
        <f t="shared" si="566"/>
        <v>20000</v>
      </c>
      <c r="K1053" s="115">
        <f>IF(A1053&lt;&gt;0,INDEX(Coûts, 'PA-Détails'!A1053, 3),)</f>
        <v>1000</v>
      </c>
      <c r="L1053" s="37">
        <f>ROUND(+$K1053*E1053,0)</f>
        <v>5000000</v>
      </c>
      <c r="M1053" s="36">
        <f>ROUND(+$K1053*F1053,0)</f>
        <v>5000000</v>
      </c>
      <c r="N1053" s="36">
        <f>ROUND(+$K1053*G1053,0)</f>
        <v>5000000</v>
      </c>
      <c r="O1053" s="36">
        <f>ROUND(+$K1053*H1053,0)</f>
        <v>5000000</v>
      </c>
      <c r="P1053" s="268">
        <f>ROUND(+$K1053*I1053,0)</f>
        <v>0</v>
      </c>
      <c r="Q1053" s="281">
        <f>SUM(L1053:P1053)</f>
        <v>20000000</v>
      </c>
      <c r="R1053" s="22"/>
      <c r="S1053" s="21"/>
      <c r="T1053" s="51"/>
    </row>
    <row r="1054" spans="1:20" x14ac:dyDescent="0.2">
      <c r="A1054" s="20" t="s">
        <v>860</v>
      </c>
      <c r="B1054" s="46"/>
      <c r="C1054" s="51"/>
      <c r="D1054" s="21"/>
      <c r="E1054" s="96"/>
      <c r="F1054" s="100"/>
      <c r="G1054" s="100"/>
      <c r="H1054" s="100"/>
      <c r="I1054" s="100"/>
      <c r="J1054" s="101">
        <f t="shared" si="566"/>
        <v>0</v>
      </c>
      <c r="K1054" s="115"/>
      <c r="L1054" s="161">
        <f t="shared" ref="L1054:Q1054" si="573">SUM(L1055:L1055)</f>
        <v>44000</v>
      </c>
      <c r="M1054" s="157">
        <f t="shared" si="573"/>
        <v>44000</v>
      </c>
      <c r="N1054" s="157">
        <f t="shared" si="573"/>
        <v>66000</v>
      </c>
      <c r="O1054" s="157">
        <f t="shared" si="573"/>
        <v>0</v>
      </c>
      <c r="P1054" s="270">
        <f t="shared" si="573"/>
        <v>0</v>
      </c>
      <c r="Q1054" s="284">
        <f t="shared" si="573"/>
        <v>154000</v>
      </c>
      <c r="R1054" s="198" t="s">
        <v>796</v>
      </c>
      <c r="S1054" s="197" t="s">
        <v>670</v>
      </c>
      <c r="T1054" s="51"/>
    </row>
    <row r="1055" spans="1:20" x14ac:dyDescent="0.2">
      <c r="A1055" s="95">
        <v>8</v>
      </c>
      <c r="B1055" s="108" t="str">
        <f>IF(A1055&lt;&gt;0,INDEX(Coûts,'PA-Détails'!A1055, 2),)</f>
        <v>Formation</v>
      </c>
      <c r="C1055" s="51"/>
      <c r="D1055" s="94" t="str">
        <f>IF(A1055&lt;&gt;0,INDEX(Coûts, 'PA-Détails'!A1055, 5),)</f>
        <v>Pers / j</v>
      </c>
      <c r="E1055" s="96">
        <v>400</v>
      </c>
      <c r="F1055" s="100">
        <v>400</v>
      </c>
      <c r="G1055" s="100">
        <v>600</v>
      </c>
      <c r="H1055" s="100"/>
      <c r="I1055" s="100"/>
      <c r="J1055" s="101">
        <f t="shared" si="566"/>
        <v>1400</v>
      </c>
      <c r="K1055" s="115">
        <f>IF(A1055&lt;&gt;0,INDEX(Coûts, 'PA-Détails'!A1055, 3),)</f>
        <v>110</v>
      </c>
      <c r="L1055" s="37">
        <f t="shared" ref="L1055:P1057" si="574">ROUND(+$K1055*E1055,0)</f>
        <v>44000</v>
      </c>
      <c r="M1055" s="36">
        <f t="shared" si="574"/>
        <v>44000</v>
      </c>
      <c r="N1055" s="36">
        <f t="shared" si="574"/>
        <v>66000</v>
      </c>
      <c r="O1055" s="36">
        <f t="shared" si="574"/>
        <v>0</v>
      </c>
      <c r="P1055" s="268">
        <f t="shared" si="574"/>
        <v>0</v>
      </c>
      <c r="Q1055" s="281">
        <f>SUM(L1055:P1055)</f>
        <v>154000</v>
      </c>
      <c r="R1055" s="22"/>
      <c r="S1055" s="21"/>
      <c r="T1055" s="51"/>
    </row>
    <row r="1056" spans="1:20" x14ac:dyDescent="0.2">
      <c r="A1056" s="14" t="s">
        <v>1118</v>
      </c>
      <c r="B1056" s="44"/>
      <c r="C1056" s="112"/>
      <c r="D1056" s="15"/>
      <c r="E1056" s="102"/>
      <c r="F1056" s="103"/>
      <c r="G1056" s="103"/>
      <c r="H1056" s="103"/>
      <c r="I1056" s="103"/>
      <c r="J1056" s="104">
        <f t="shared" si="566"/>
        <v>0</v>
      </c>
      <c r="K1056" s="145"/>
      <c r="L1056" s="33">
        <f t="shared" si="574"/>
        <v>0</v>
      </c>
      <c r="M1056" s="32">
        <f t="shared" si="574"/>
        <v>0</v>
      </c>
      <c r="N1056" s="32">
        <f t="shared" si="574"/>
        <v>0</v>
      </c>
      <c r="O1056" s="32">
        <f t="shared" si="574"/>
        <v>0</v>
      </c>
      <c r="P1056" s="267">
        <f t="shared" si="574"/>
        <v>0</v>
      </c>
      <c r="Q1056" s="278">
        <f>SUM(L1056:P1056)</f>
        <v>0</v>
      </c>
      <c r="R1056" s="16"/>
      <c r="S1056" s="15"/>
      <c r="T1056" s="112">
        <v>2</v>
      </c>
    </row>
    <row r="1057" spans="1:20" x14ac:dyDescent="0.2">
      <c r="A1057" s="17" t="s">
        <v>552</v>
      </c>
      <c r="B1057" s="45"/>
      <c r="C1057" s="51"/>
      <c r="D1057" s="18"/>
      <c r="E1057" s="97"/>
      <c r="F1057" s="98"/>
      <c r="G1057" s="98"/>
      <c r="H1057" s="98"/>
      <c r="I1057" s="98"/>
      <c r="J1057" s="99">
        <f t="shared" si="566"/>
        <v>0</v>
      </c>
      <c r="K1057" s="116"/>
      <c r="L1057" s="35">
        <f t="shared" si="574"/>
        <v>0</v>
      </c>
      <c r="M1057" s="34">
        <f t="shared" si="574"/>
        <v>0</v>
      </c>
      <c r="N1057" s="34">
        <f t="shared" si="574"/>
        <v>0</v>
      </c>
      <c r="O1057" s="34">
        <f t="shared" si="574"/>
        <v>0</v>
      </c>
      <c r="P1057" s="269">
        <f t="shared" si="574"/>
        <v>0</v>
      </c>
      <c r="Q1057" s="279">
        <f>SUM(L1057:P1057)</f>
        <v>0</v>
      </c>
      <c r="R1057" s="19"/>
      <c r="S1057" s="18"/>
      <c r="T1057" s="51"/>
    </row>
    <row r="1058" spans="1:20" x14ac:dyDescent="0.2">
      <c r="A1058" s="20" t="s">
        <v>553</v>
      </c>
      <c r="B1058" s="46"/>
      <c r="C1058" s="51"/>
      <c r="D1058" s="21"/>
      <c r="E1058" s="96"/>
      <c r="F1058" s="100"/>
      <c r="G1058" s="100"/>
      <c r="H1058" s="100"/>
      <c r="I1058" s="100"/>
      <c r="J1058" s="101">
        <f t="shared" si="566"/>
        <v>0</v>
      </c>
      <c r="K1058" s="115"/>
      <c r="L1058" s="161">
        <f t="shared" ref="L1058:Q1058" si="575">SUM(L1059:L1059)</f>
        <v>400000</v>
      </c>
      <c r="M1058" s="157">
        <f t="shared" si="575"/>
        <v>400000</v>
      </c>
      <c r="N1058" s="157">
        <f t="shared" si="575"/>
        <v>400000</v>
      </c>
      <c r="O1058" s="157">
        <f t="shared" si="575"/>
        <v>400000</v>
      </c>
      <c r="P1058" s="270">
        <f t="shared" si="575"/>
        <v>400000</v>
      </c>
      <c r="Q1058" s="284">
        <f t="shared" si="575"/>
        <v>2000000</v>
      </c>
      <c r="R1058" s="198" t="s">
        <v>804</v>
      </c>
      <c r="S1058" s="197" t="s">
        <v>663</v>
      </c>
      <c r="T1058" s="51"/>
    </row>
    <row r="1059" spans="1:20" x14ac:dyDescent="0.2">
      <c r="A1059" s="95">
        <v>114</v>
      </c>
      <c r="B1059" s="108" t="str">
        <f>IF(A1059&lt;&gt;0,INDEX(Coûts,'PA-Détails'!A1059, 2),)</f>
        <v>Budget des exposition des Résultats de Recherche</v>
      </c>
      <c r="C1059" s="51"/>
      <c r="D1059" s="94" t="str">
        <f>IF(A1059&lt;&gt;0,INDEX(Coûts, 'PA-Détails'!A1059, 5),)</f>
        <v>Forfait</v>
      </c>
      <c r="E1059" s="96">
        <v>1</v>
      </c>
      <c r="F1059" s="100">
        <v>1</v>
      </c>
      <c r="G1059" s="100">
        <v>1</v>
      </c>
      <c r="H1059" s="100">
        <v>1</v>
      </c>
      <c r="I1059" s="100">
        <v>1</v>
      </c>
      <c r="J1059" s="101">
        <f t="shared" si="566"/>
        <v>5</v>
      </c>
      <c r="K1059" s="115">
        <f>IF(A1059&lt;&gt;0,INDEX(Coûts, 'PA-Détails'!A1059, 3),)</f>
        <v>400000</v>
      </c>
      <c r="L1059" s="37">
        <f>ROUND(+$K1059*E1059,0)</f>
        <v>400000</v>
      </c>
      <c r="M1059" s="36">
        <f>ROUND(+$K1059*F1059,0)</f>
        <v>400000</v>
      </c>
      <c r="N1059" s="36">
        <f>ROUND(+$K1059*G1059,0)</f>
        <v>400000</v>
      </c>
      <c r="O1059" s="36">
        <f>ROUND(+$K1059*H1059,0)</f>
        <v>400000</v>
      </c>
      <c r="P1059" s="268">
        <f>ROUND(+$K1059*I1059,0)</f>
        <v>400000</v>
      </c>
      <c r="Q1059" s="281">
        <f>SUM(L1059:P1059)</f>
        <v>2000000</v>
      </c>
      <c r="R1059" s="22"/>
      <c r="S1059" s="21"/>
      <c r="T1059" s="51"/>
    </row>
    <row r="1060" spans="1:20" x14ac:dyDescent="0.2">
      <c r="A1060" s="20" t="s">
        <v>554</v>
      </c>
      <c r="B1060" s="46"/>
      <c r="C1060" s="51"/>
      <c r="D1060" s="21"/>
      <c r="E1060" s="96"/>
      <c r="F1060" s="100"/>
      <c r="G1060" s="100"/>
      <c r="H1060" s="100"/>
      <c r="I1060" s="100"/>
      <c r="J1060" s="101">
        <f t="shared" si="566"/>
        <v>0</v>
      </c>
      <c r="K1060" s="115"/>
      <c r="L1060" s="161">
        <f t="shared" ref="L1060:Q1060" si="576">SUM(L1061:L1061)</f>
        <v>75000</v>
      </c>
      <c r="M1060" s="157">
        <f t="shared" si="576"/>
        <v>75000</v>
      </c>
      <c r="N1060" s="157">
        <f t="shared" si="576"/>
        <v>75000</v>
      </c>
      <c r="O1060" s="157">
        <f t="shared" si="576"/>
        <v>75000</v>
      </c>
      <c r="P1060" s="270">
        <f t="shared" si="576"/>
        <v>75000</v>
      </c>
      <c r="Q1060" s="284">
        <f t="shared" si="576"/>
        <v>375000</v>
      </c>
      <c r="R1060" s="198" t="s">
        <v>796</v>
      </c>
      <c r="S1060" s="197" t="s">
        <v>805</v>
      </c>
      <c r="T1060" s="51"/>
    </row>
    <row r="1061" spans="1:20" x14ac:dyDescent="0.2">
      <c r="A1061" s="95">
        <v>115</v>
      </c>
      <c r="B1061" s="108" t="str">
        <f>IF(A1061&lt;&gt;0,INDEX(Coûts,'PA-Détails'!A1061, 2),)</f>
        <v>Prix aux Résultats de Recherche</v>
      </c>
      <c r="C1061" s="51"/>
      <c r="D1061" s="94" t="str">
        <f>IF(A1061&lt;&gt;0,INDEX(Coûts, 'PA-Détails'!A1061, 5),)</f>
        <v>Forfait</v>
      </c>
      <c r="E1061" s="96">
        <v>15</v>
      </c>
      <c r="F1061" s="100">
        <f>E1061</f>
        <v>15</v>
      </c>
      <c r="G1061" s="100">
        <f>F1061</f>
        <v>15</v>
      </c>
      <c r="H1061" s="100">
        <f>G1061</f>
        <v>15</v>
      </c>
      <c r="I1061" s="100">
        <f>H1061</f>
        <v>15</v>
      </c>
      <c r="J1061" s="101">
        <f t="shared" si="566"/>
        <v>75</v>
      </c>
      <c r="K1061" s="115">
        <f>IF(A1061&lt;&gt;0,INDEX(Coûts, 'PA-Détails'!A1061, 3),)</f>
        <v>5000</v>
      </c>
      <c r="L1061" s="37">
        <f t="shared" ref="L1061:P1062" si="577">ROUND(+$K1061*E1061,0)</f>
        <v>75000</v>
      </c>
      <c r="M1061" s="36">
        <f t="shared" si="577"/>
        <v>75000</v>
      </c>
      <c r="N1061" s="36">
        <f t="shared" si="577"/>
        <v>75000</v>
      </c>
      <c r="O1061" s="36">
        <f t="shared" si="577"/>
        <v>75000</v>
      </c>
      <c r="P1061" s="268">
        <f t="shared" si="577"/>
        <v>75000</v>
      </c>
      <c r="Q1061" s="281">
        <f>SUM(L1061:P1061)</f>
        <v>375000</v>
      </c>
      <c r="R1061" s="22"/>
      <c r="S1061" s="21"/>
      <c r="T1061" s="51"/>
    </row>
    <row r="1062" spans="1:20" x14ac:dyDescent="0.2">
      <c r="A1062" s="17" t="s">
        <v>120</v>
      </c>
      <c r="B1062" s="45"/>
      <c r="C1062" s="51"/>
      <c r="D1062" s="18"/>
      <c r="E1062" s="97"/>
      <c r="F1062" s="98"/>
      <c r="G1062" s="98"/>
      <c r="H1062" s="98"/>
      <c r="I1062" s="98"/>
      <c r="J1062" s="99">
        <f t="shared" si="566"/>
        <v>0</v>
      </c>
      <c r="K1062" s="116"/>
      <c r="L1062" s="35">
        <f t="shared" si="577"/>
        <v>0</v>
      </c>
      <c r="M1062" s="34">
        <f t="shared" si="577"/>
        <v>0</v>
      </c>
      <c r="N1062" s="34">
        <f t="shared" si="577"/>
        <v>0</v>
      </c>
      <c r="O1062" s="34">
        <f t="shared" si="577"/>
        <v>0</v>
      </c>
      <c r="P1062" s="269">
        <f t="shared" si="577"/>
        <v>0</v>
      </c>
      <c r="Q1062" s="279">
        <f>SUM(L1062:P1062)</f>
        <v>0</v>
      </c>
      <c r="R1062" s="19"/>
      <c r="S1062" s="18"/>
      <c r="T1062" s="51"/>
    </row>
    <row r="1063" spans="1:20" x14ac:dyDescent="0.2">
      <c r="A1063" s="20" t="s">
        <v>555</v>
      </c>
      <c r="B1063" s="46"/>
      <c r="C1063" s="51"/>
      <c r="D1063" s="21"/>
      <c r="E1063" s="96"/>
      <c r="F1063" s="100"/>
      <c r="G1063" s="100"/>
      <c r="H1063" s="100"/>
      <c r="I1063" s="100"/>
      <c r="J1063" s="101">
        <f t="shared" si="566"/>
        <v>0</v>
      </c>
      <c r="K1063" s="115"/>
      <c r="L1063" s="161">
        <f t="shared" ref="L1063:Q1063" si="578">SUM(L1064:L1066)</f>
        <v>51500</v>
      </c>
      <c r="M1063" s="34">
        <f t="shared" si="578"/>
        <v>0</v>
      </c>
      <c r="N1063" s="34">
        <f t="shared" si="578"/>
        <v>0</v>
      </c>
      <c r="O1063" s="34">
        <f t="shared" si="578"/>
        <v>0</v>
      </c>
      <c r="P1063" s="269">
        <f t="shared" si="578"/>
        <v>0</v>
      </c>
      <c r="Q1063" s="279">
        <f t="shared" si="578"/>
        <v>51500</v>
      </c>
      <c r="R1063" s="198" t="s">
        <v>796</v>
      </c>
      <c r="S1063" s="197" t="s">
        <v>665</v>
      </c>
      <c r="T1063" s="51"/>
    </row>
    <row r="1064" spans="1:20" x14ac:dyDescent="0.2">
      <c r="A1064" s="95">
        <v>1</v>
      </c>
      <c r="B1064" s="108" t="str">
        <f>IF(A1064&lt;&gt;0,INDEX(Coûts,'PA-Détails'!A1064, 2),)</f>
        <v>Assistance technique internationale (consultants)</v>
      </c>
      <c r="C1064" s="51"/>
      <c r="D1064" s="94" t="str">
        <f>IF(A1064&lt;&gt;0,INDEX(Coûts, 'PA-Détails'!A1064, 5),)</f>
        <v>Pers / j</v>
      </c>
      <c r="E1064" s="96">
        <v>30</v>
      </c>
      <c r="F1064" s="100"/>
      <c r="G1064" s="100"/>
      <c r="H1064" s="100"/>
      <c r="I1064" s="100"/>
      <c r="J1064" s="101">
        <f t="shared" si="566"/>
        <v>30</v>
      </c>
      <c r="K1064" s="115">
        <f>IF(A1064&lt;&gt;0,INDEX(Coûts, 'PA-Détails'!A1064, 3),)</f>
        <v>1150</v>
      </c>
      <c r="L1064" s="37">
        <f t="shared" ref="L1064:P1066" si="579">ROUND(+$K1064*E1064,0)</f>
        <v>34500</v>
      </c>
      <c r="M1064" s="36">
        <f t="shared" si="579"/>
        <v>0</v>
      </c>
      <c r="N1064" s="36">
        <f t="shared" si="579"/>
        <v>0</v>
      </c>
      <c r="O1064" s="36">
        <f t="shared" si="579"/>
        <v>0</v>
      </c>
      <c r="P1064" s="268">
        <f t="shared" si="579"/>
        <v>0</v>
      </c>
      <c r="Q1064" s="281">
        <f>SUM(L1064:P1064)</f>
        <v>34500</v>
      </c>
      <c r="R1064" s="22"/>
      <c r="S1064" s="21"/>
      <c r="T1064" s="51"/>
    </row>
    <row r="1065" spans="1:20" x14ac:dyDescent="0.2">
      <c r="A1065" s="95">
        <v>2</v>
      </c>
      <c r="B1065" s="108" t="str">
        <f>IF(A1065&lt;&gt;0,INDEX(Coûts,'PA-Détails'!A1065, 2),)</f>
        <v>Assistance technique nationale (consultants)</v>
      </c>
      <c r="C1065" s="51"/>
      <c r="D1065" s="94" t="str">
        <f>IF(A1065&lt;&gt;0,INDEX(Coûts, 'PA-Détails'!A1065, 5),)</f>
        <v>Pers / j</v>
      </c>
      <c r="E1065" s="96">
        <v>40</v>
      </c>
      <c r="F1065" s="100"/>
      <c r="G1065" s="100"/>
      <c r="H1065" s="100"/>
      <c r="I1065" s="100"/>
      <c r="J1065" s="101">
        <f t="shared" si="566"/>
        <v>40</v>
      </c>
      <c r="K1065" s="115">
        <f>IF(A1065&lt;&gt;0,INDEX(Coûts, 'PA-Détails'!A1065, 3),)</f>
        <v>300</v>
      </c>
      <c r="L1065" s="37">
        <f t="shared" si="579"/>
        <v>12000</v>
      </c>
      <c r="M1065" s="36">
        <f t="shared" si="579"/>
        <v>0</v>
      </c>
      <c r="N1065" s="36">
        <f t="shared" si="579"/>
        <v>0</v>
      </c>
      <c r="O1065" s="36">
        <f t="shared" si="579"/>
        <v>0</v>
      </c>
      <c r="P1065" s="268">
        <f t="shared" si="579"/>
        <v>0</v>
      </c>
      <c r="Q1065" s="281">
        <f>SUM(L1065:P1065)</f>
        <v>12000</v>
      </c>
      <c r="R1065" s="22"/>
      <c r="S1065" s="21"/>
      <c r="T1065" s="51"/>
    </row>
    <row r="1066" spans="1:20" x14ac:dyDescent="0.2">
      <c r="A1066" s="95">
        <v>5</v>
      </c>
      <c r="B1066" s="108" t="str">
        <f>IF(A1066&lt;&gt;0,INDEX(Coûts,'PA-Détails'!A1066, 2),)</f>
        <v>Atelier de validation</v>
      </c>
      <c r="C1066" s="51"/>
      <c r="D1066" s="94" t="str">
        <f>IF(A1066&lt;&gt;0,INDEX(Coûts, 'PA-Détails'!A1066, 5),)</f>
        <v>Pers / j</v>
      </c>
      <c r="E1066" s="96">
        <v>100</v>
      </c>
      <c r="F1066" s="100"/>
      <c r="G1066" s="100"/>
      <c r="H1066" s="100"/>
      <c r="I1066" s="100"/>
      <c r="J1066" s="101">
        <f t="shared" si="566"/>
        <v>100</v>
      </c>
      <c r="K1066" s="115">
        <f>IF(A1066&lt;&gt;0,INDEX(Coûts, 'PA-Détails'!A1066, 3),)</f>
        <v>50</v>
      </c>
      <c r="L1066" s="37">
        <f t="shared" si="579"/>
        <v>5000</v>
      </c>
      <c r="M1066" s="36">
        <f t="shared" si="579"/>
        <v>0</v>
      </c>
      <c r="N1066" s="36">
        <f t="shared" si="579"/>
        <v>0</v>
      </c>
      <c r="O1066" s="36">
        <f t="shared" si="579"/>
        <v>0</v>
      </c>
      <c r="P1066" s="268">
        <f t="shared" si="579"/>
        <v>0</v>
      </c>
      <c r="Q1066" s="281">
        <f>SUM(L1066:P1066)</f>
        <v>5000</v>
      </c>
      <c r="R1066" s="22"/>
      <c r="S1066" s="21"/>
      <c r="T1066" s="51"/>
    </row>
    <row r="1067" spans="1:20" x14ac:dyDescent="0.2">
      <c r="A1067" s="20" t="s">
        <v>556</v>
      </c>
      <c r="B1067" s="46"/>
      <c r="C1067" s="51"/>
      <c r="D1067" s="21"/>
      <c r="E1067" s="96"/>
      <c r="F1067" s="100"/>
      <c r="G1067" s="100"/>
      <c r="H1067" s="100"/>
      <c r="I1067" s="100"/>
      <c r="J1067" s="101">
        <f t="shared" si="566"/>
        <v>0</v>
      </c>
      <c r="K1067" s="115"/>
      <c r="L1067" s="161">
        <f t="shared" ref="L1067:Q1067" si="580">SUM(L1068:L1069)</f>
        <v>0</v>
      </c>
      <c r="M1067" s="157">
        <f t="shared" si="580"/>
        <v>806000</v>
      </c>
      <c r="N1067" s="157">
        <f t="shared" si="580"/>
        <v>1007500</v>
      </c>
      <c r="O1067" s="157">
        <f t="shared" si="580"/>
        <v>1007500</v>
      </c>
      <c r="P1067" s="270">
        <f t="shared" si="580"/>
        <v>1007500</v>
      </c>
      <c r="Q1067" s="284">
        <f t="shared" si="580"/>
        <v>3828500</v>
      </c>
      <c r="R1067" s="198" t="s">
        <v>804</v>
      </c>
      <c r="S1067" s="197" t="s">
        <v>665</v>
      </c>
      <c r="T1067" s="51"/>
    </row>
    <row r="1068" spans="1:20" x14ac:dyDescent="0.2">
      <c r="A1068" s="95">
        <v>2</v>
      </c>
      <c r="B1068" s="108" t="str">
        <f>IF(A1068&lt;&gt;0,INDEX(Coûts,'PA-Détails'!A1068, 2),)</f>
        <v>Assistance technique nationale (consultants)</v>
      </c>
      <c r="C1068" s="51"/>
      <c r="D1068" s="94" t="str">
        <f>IF(A1068&lt;&gt;0,INDEX(Coûts, 'PA-Détails'!A1068, 5),)</f>
        <v>Pers / j</v>
      </c>
      <c r="E1068" s="96"/>
      <c r="F1068" s="100">
        <f>4*5</f>
        <v>20</v>
      </c>
      <c r="G1068" s="100">
        <f>5*5</f>
        <v>25</v>
      </c>
      <c r="H1068" s="100">
        <f>G1068</f>
        <v>25</v>
      </c>
      <c r="I1068" s="100">
        <f>H1068</f>
        <v>25</v>
      </c>
      <c r="J1068" s="101">
        <f t="shared" si="566"/>
        <v>95</v>
      </c>
      <c r="K1068" s="115">
        <f>IF(A1068&lt;&gt;0,INDEX(Coûts, 'PA-Détails'!A1068, 3),)</f>
        <v>300</v>
      </c>
      <c r="L1068" s="37">
        <f t="shared" ref="L1068:P1070" si="581">ROUND(+$K1068*E1068,0)</f>
        <v>0</v>
      </c>
      <c r="M1068" s="36">
        <f t="shared" si="581"/>
        <v>6000</v>
      </c>
      <c r="N1068" s="36">
        <f t="shared" si="581"/>
        <v>7500</v>
      </c>
      <c r="O1068" s="36">
        <f t="shared" si="581"/>
        <v>7500</v>
      </c>
      <c r="P1068" s="268">
        <f t="shared" si="581"/>
        <v>7500</v>
      </c>
      <c r="Q1068" s="281">
        <f>SUM(L1068:P1068)</f>
        <v>28500</v>
      </c>
      <c r="R1068" s="22"/>
      <c r="S1068" s="21"/>
      <c r="T1068" s="51"/>
    </row>
    <row r="1069" spans="1:20" x14ac:dyDescent="0.2">
      <c r="A1069" s="95">
        <v>116</v>
      </c>
      <c r="B1069" s="108" t="str">
        <f>IF(A1069&lt;&gt;0,INDEX(Coûts,'PA-Détails'!A1069, 2),)</f>
        <v>Subvention du Fonds compétif de la recherche</v>
      </c>
      <c r="C1069" s="51"/>
      <c r="D1069" s="94" t="str">
        <f>IF(A1069&lt;&gt;0,INDEX(Coûts, 'PA-Détails'!A1069, 5),)</f>
        <v>Forfait</v>
      </c>
      <c r="E1069" s="96"/>
      <c r="F1069" s="100">
        <v>4</v>
      </c>
      <c r="G1069" s="100">
        <v>5</v>
      </c>
      <c r="H1069" s="100">
        <f>G1069</f>
        <v>5</v>
      </c>
      <c r="I1069" s="100">
        <f>H1069</f>
        <v>5</v>
      </c>
      <c r="J1069" s="101">
        <f t="shared" si="566"/>
        <v>19</v>
      </c>
      <c r="K1069" s="115">
        <f>IF(A1069&lt;&gt;0,INDEX(Coûts, 'PA-Détails'!A1069, 3),)</f>
        <v>200000</v>
      </c>
      <c r="L1069" s="37">
        <f t="shared" si="581"/>
        <v>0</v>
      </c>
      <c r="M1069" s="36">
        <f t="shared" si="581"/>
        <v>800000</v>
      </c>
      <c r="N1069" s="36">
        <f t="shared" si="581"/>
        <v>1000000</v>
      </c>
      <c r="O1069" s="36">
        <f t="shared" si="581"/>
        <v>1000000</v>
      </c>
      <c r="P1069" s="268">
        <f t="shared" si="581"/>
        <v>1000000</v>
      </c>
      <c r="Q1069" s="281">
        <f>SUM(L1069:P1069)</f>
        <v>3800000</v>
      </c>
      <c r="R1069" s="22"/>
      <c r="S1069" s="21"/>
      <c r="T1069" s="51"/>
    </row>
    <row r="1070" spans="1:20" x14ac:dyDescent="0.2">
      <c r="A1070" s="17" t="s">
        <v>121</v>
      </c>
      <c r="B1070" s="45"/>
      <c r="C1070" s="51"/>
      <c r="D1070" s="18"/>
      <c r="E1070" s="97"/>
      <c r="F1070" s="98"/>
      <c r="G1070" s="98"/>
      <c r="H1070" s="98"/>
      <c r="I1070" s="98"/>
      <c r="J1070" s="99">
        <f t="shared" si="566"/>
        <v>0</v>
      </c>
      <c r="K1070" s="116"/>
      <c r="L1070" s="35">
        <f t="shared" si="581"/>
        <v>0</v>
      </c>
      <c r="M1070" s="34">
        <f t="shared" si="581"/>
        <v>0</v>
      </c>
      <c r="N1070" s="34">
        <f t="shared" si="581"/>
        <v>0</v>
      </c>
      <c r="O1070" s="34">
        <f t="shared" si="581"/>
        <v>0</v>
      </c>
      <c r="P1070" s="269">
        <f t="shared" si="581"/>
        <v>0</v>
      </c>
      <c r="Q1070" s="279">
        <f>SUM(L1070:P1070)</f>
        <v>0</v>
      </c>
      <c r="R1070" s="19"/>
      <c r="S1070" s="18"/>
      <c r="T1070" s="51"/>
    </row>
    <row r="1071" spans="1:20" x14ac:dyDescent="0.2">
      <c r="A1071" s="20" t="s">
        <v>557</v>
      </c>
      <c r="B1071" s="46"/>
      <c r="C1071" s="51"/>
      <c r="D1071" s="21"/>
      <c r="E1071" s="96"/>
      <c r="F1071" s="100"/>
      <c r="G1071" s="100"/>
      <c r="H1071" s="100"/>
      <c r="I1071" s="100"/>
      <c r="J1071" s="101">
        <f t="shared" si="566"/>
        <v>0</v>
      </c>
      <c r="K1071" s="115"/>
      <c r="L1071" s="161">
        <f t="shared" ref="L1071:Q1071" si="582">SUM(L1072:L1074)</f>
        <v>51500</v>
      </c>
      <c r="M1071" s="34">
        <f t="shared" si="582"/>
        <v>0</v>
      </c>
      <c r="N1071" s="34">
        <f t="shared" si="582"/>
        <v>0</v>
      </c>
      <c r="O1071" s="34">
        <f t="shared" si="582"/>
        <v>0</v>
      </c>
      <c r="P1071" s="269">
        <f t="shared" si="582"/>
        <v>0</v>
      </c>
      <c r="Q1071" s="279">
        <f t="shared" si="582"/>
        <v>51500</v>
      </c>
      <c r="R1071" s="198" t="s">
        <v>806</v>
      </c>
      <c r="S1071" s="197" t="s">
        <v>663</v>
      </c>
      <c r="T1071" s="51"/>
    </row>
    <row r="1072" spans="1:20" x14ac:dyDescent="0.2">
      <c r="A1072" s="95">
        <v>1</v>
      </c>
      <c r="B1072" s="108" t="str">
        <f>IF(A1072&lt;&gt;0,INDEX(Coûts,'PA-Détails'!A1072, 2),)</f>
        <v>Assistance technique internationale (consultants)</v>
      </c>
      <c r="C1072" s="51"/>
      <c r="D1072" s="94" t="str">
        <f>IF(A1072&lt;&gt;0,INDEX(Coûts, 'PA-Détails'!A1072, 5),)</f>
        <v>Pers / j</v>
      </c>
      <c r="E1072" s="96">
        <v>30</v>
      </c>
      <c r="F1072" s="100"/>
      <c r="G1072" s="100"/>
      <c r="H1072" s="100"/>
      <c r="I1072" s="100"/>
      <c r="J1072" s="101">
        <f t="shared" si="566"/>
        <v>30</v>
      </c>
      <c r="K1072" s="115">
        <f>IF(A1072&lt;&gt;0,INDEX(Coûts, 'PA-Détails'!A1072, 3),)</f>
        <v>1150</v>
      </c>
      <c r="L1072" s="37">
        <f t="shared" ref="L1072:P1074" si="583">ROUND(+$K1072*E1072,0)</f>
        <v>34500</v>
      </c>
      <c r="M1072" s="36">
        <f t="shared" si="583"/>
        <v>0</v>
      </c>
      <c r="N1072" s="36">
        <f t="shared" si="583"/>
        <v>0</v>
      </c>
      <c r="O1072" s="36">
        <f t="shared" si="583"/>
        <v>0</v>
      </c>
      <c r="P1072" s="268">
        <f t="shared" si="583"/>
        <v>0</v>
      </c>
      <c r="Q1072" s="281">
        <f>SUM(L1072:P1072)</f>
        <v>34500</v>
      </c>
      <c r="R1072" s="22"/>
      <c r="S1072" s="21"/>
      <c r="T1072" s="51"/>
    </row>
    <row r="1073" spans="1:20" x14ac:dyDescent="0.2">
      <c r="A1073" s="95">
        <v>2</v>
      </c>
      <c r="B1073" s="108" t="str">
        <f>IF(A1073&lt;&gt;0,INDEX(Coûts,'PA-Détails'!A1073, 2),)</f>
        <v>Assistance technique nationale (consultants)</v>
      </c>
      <c r="C1073" s="51"/>
      <c r="D1073" s="94" t="str">
        <f>IF(A1073&lt;&gt;0,INDEX(Coûts, 'PA-Détails'!A1073, 5),)</f>
        <v>Pers / j</v>
      </c>
      <c r="E1073" s="96">
        <v>40</v>
      </c>
      <c r="F1073" s="100"/>
      <c r="G1073" s="100"/>
      <c r="H1073" s="100"/>
      <c r="I1073" s="100"/>
      <c r="J1073" s="101">
        <f t="shared" si="566"/>
        <v>40</v>
      </c>
      <c r="K1073" s="115">
        <f>IF(A1073&lt;&gt;0,INDEX(Coûts, 'PA-Détails'!A1073, 3),)</f>
        <v>300</v>
      </c>
      <c r="L1073" s="37">
        <f t="shared" si="583"/>
        <v>12000</v>
      </c>
      <c r="M1073" s="36">
        <f t="shared" si="583"/>
        <v>0</v>
      </c>
      <c r="N1073" s="36">
        <f t="shared" si="583"/>
        <v>0</v>
      </c>
      <c r="O1073" s="36">
        <f t="shared" si="583"/>
        <v>0</v>
      </c>
      <c r="P1073" s="268">
        <f t="shared" si="583"/>
        <v>0</v>
      </c>
      <c r="Q1073" s="281">
        <f>SUM(L1073:P1073)</f>
        <v>12000</v>
      </c>
      <c r="R1073" s="22"/>
      <c r="S1073" s="21"/>
      <c r="T1073" s="51"/>
    </row>
    <row r="1074" spans="1:20" x14ac:dyDescent="0.2">
      <c r="A1074" s="95">
        <v>5</v>
      </c>
      <c r="B1074" s="108" t="str">
        <f>IF(A1074&lt;&gt;0,INDEX(Coûts,'PA-Détails'!A1074, 2),)</f>
        <v>Atelier de validation</v>
      </c>
      <c r="C1074" s="51"/>
      <c r="D1074" s="94" t="str">
        <f>IF(A1074&lt;&gt;0,INDEX(Coûts, 'PA-Détails'!A1074, 5),)</f>
        <v>Pers / j</v>
      </c>
      <c r="E1074" s="96">
        <v>100</v>
      </c>
      <c r="F1074" s="100"/>
      <c r="G1074" s="100"/>
      <c r="H1074" s="100"/>
      <c r="I1074" s="100"/>
      <c r="J1074" s="101">
        <f t="shared" ref="J1074:J1105" si="584">SUM(E1074:I1074)</f>
        <v>100</v>
      </c>
      <c r="K1074" s="115">
        <f>IF(A1074&lt;&gt;0,INDEX(Coûts, 'PA-Détails'!A1074, 3),)</f>
        <v>50</v>
      </c>
      <c r="L1074" s="37">
        <f t="shared" si="583"/>
        <v>5000</v>
      </c>
      <c r="M1074" s="36">
        <f t="shared" si="583"/>
        <v>0</v>
      </c>
      <c r="N1074" s="36">
        <f t="shared" si="583"/>
        <v>0</v>
      </c>
      <c r="O1074" s="36">
        <f t="shared" si="583"/>
        <v>0</v>
      </c>
      <c r="P1074" s="268">
        <f t="shared" si="583"/>
        <v>0</v>
      </c>
      <c r="Q1074" s="281">
        <f>SUM(L1074:P1074)</f>
        <v>5000</v>
      </c>
      <c r="R1074" s="22"/>
      <c r="S1074" s="21"/>
      <c r="T1074" s="51"/>
    </row>
    <row r="1075" spans="1:20" x14ac:dyDescent="0.2">
      <c r="A1075" s="20" t="s">
        <v>558</v>
      </c>
      <c r="B1075" s="46"/>
      <c r="C1075" s="51"/>
      <c r="D1075" s="21"/>
      <c r="E1075" s="96"/>
      <c r="F1075" s="100"/>
      <c r="G1075" s="100"/>
      <c r="H1075" s="100"/>
      <c r="I1075" s="100"/>
      <c r="J1075" s="101">
        <f t="shared" si="584"/>
        <v>0</v>
      </c>
      <c r="K1075" s="115"/>
      <c r="L1075" s="161">
        <f t="shared" ref="L1075:Q1075" si="585">SUM(L1076:L1077)</f>
        <v>0</v>
      </c>
      <c r="M1075" s="157">
        <f t="shared" si="585"/>
        <v>400000</v>
      </c>
      <c r="N1075" s="157">
        <f t="shared" si="585"/>
        <v>300000</v>
      </c>
      <c r="O1075" s="157">
        <f t="shared" si="585"/>
        <v>300000</v>
      </c>
      <c r="P1075" s="270">
        <f t="shared" si="585"/>
        <v>300000</v>
      </c>
      <c r="Q1075" s="284">
        <f t="shared" si="585"/>
        <v>1300000</v>
      </c>
      <c r="R1075" s="198" t="s">
        <v>806</v>
      </c>
      <c r="S1075" s="197" t="s">
        <v>663</v>
      </c>
      <c r="T1075" s="51"/>
    </row>
    <row r="1076" spans="1:20" x14ac:dyDescent="0.2">
      <c r="A1076" s="95">
        <v>117</v>
      </c>
      <c r="B1076" s="108" t="str">
        <f>IF(A1076&lt;&gt;0,INDEX(Coûts,'PA-Détails'!A1076, 2),)</f>
        <v>Enveloppe pour réhabilitation et équipement des PUC</v>
      </c>
      <c r="C1076" s="51"/>
      <c r="D1076" s="94" t="str">
        <f>IF(A1076&lt;&gt;0,INDEX(Coûts, 'PA-Détails'!A1076, 5),)</f>
        <v>Forfait</v>
      </c>
      <c r="E1076" s="96"/>
      <c r="F1076" s="100">
        <v>1</v>
      </c>
      <c r="G1076" s="100"/>
      <c r="H1076" s="100"/>
      <c r="I1076" s="100"/>
      <c r="J1076" s="101">
        <f t="shared" si="584"/>
        <v>1</v>
      </c>
      <c r="K1076" s="115">
        <f>IF(A1076&lt;&gt;0,INDEX(Coûts, 'PA-Détails'!A1076, 3),)</f>
        <v>100000</v>
      </c>
      <c r="L1076" s="37">
        <f t="shared" ref="L1076:P1078" si="586">ROUND(+$K1076*E1076,0)</f>
        <v>0</v>
      </c>
      <c r="M1076" s="36">
        <f t="shared" si="586"/>
        <v>100000</v>
      </c>
      <c r="N1076" s="36">
        <f t="shared" si="586"/>
        <v>0</v>
      </c>
      <c r="O1076" s="36">
        <f t="shared" si="586"/>
        <v>0</v>
      </c>
      <c r="P1076" s="268">
        <f t="shared" si="586"/>
        <v>0</v>
      </c>
      <c r="Q1076" s="281">
        <f>SUM(L1076:P1076)</f>
        <v>100000</v>
      </c>
      <c r="R1076" s="22"/>
      <c r="S1076" s="21"/>
      <c r="T1076" s="51"/>
    </row>
    <row r="1077" spans="1:20" x14ac:dyDescent="0.2">
      <c r="A1077" s="95">
        <v>118</v>
      </c>
      <c r="B1077" s="108" t="str">
        <f>IF(A1077&lt;&gt;0,INDEX(Coûts,'PA-Détails'!A1077, 2),)</f>
        <v>Budget de fonctionnement du PUC</v>
      </c>
      <c r="C1077" s="51"/>
      <c r="D1077" s="94" t="str">
        <f>IF(A1077&lt;&gt;0,INDEX(Coûts, 'PA-Détails'!A1077, 5),)</f>
        <v>Forfait</v>
      </c>
      <c r="E1077" s="96"/>
      <c r="F1077" s="100">
        <v>1</v>
      </c>
      <c r="G1077" s="100">
        <v>1</v>
      </c>
      <c r="H1077" s="100">
        <v>1</v>
      </c>
      <c r="I1077" s="100">
        <v>1</v>
      </c>
      <c r="J1077" s="101">
        <f t="shared" si="584"/>
        <v>4</v>
      </c>
      <c r="K1077" s="115">
        <f>IF(A1077&lt;&gt;0,INDEX(Coûts, 'PA-Détails'!A1077, 3),)</f>
        <v>300000</v>
      </c>
      <c r="L1077" s="37">
        <f t="shared" si="586"/>
        <v>0</v>
      </c>
      <c r="M1077" s="36">
        <f t="shared" si="586"/>
        <v>300000</v>
      </c>
      <c r="N1077" s="36">
        <f t="shared" si="586"/>
        <v>300000</v>
      </c>
      <c r="O1077" s="36">
        <f t="shared" si="586"/>
        <v>300000</v>
      </c>
      <c r="P1077" s="268">
        <f t="shared" si="586"/>
        <v>300000</v>
      </c>
      <c r="Q1077" s="281">
        <f>SUM(L1077:P1077)</f>
        <v>1200000</v>
      </c>
      <c r="R1077" s="22"/>
      <c r="S1077" s="21"/>
      <c r="T1077" s="51"/>
    </row>
    <row r="1078" spans="1:20" x14ac:dyDescent="0.2">
      <c r="A1078" s="17" t="s">
        <v>122</v>
      </c>
      <c r="B1078" s="45"/>
      <c r="C1078" s="51"/>
      <c r="D1078" s="18"/>
      <c r="E1078" s="97"/>
      <c r="F1078" s="98"/>
      <c r="G1078" s="98"/>
      <c r="H1078" s="98"/>
      <c r="I1078" s="98"/>
      <c r="J1078" s="99">
        <f t="shared" si="584"/>
        <v>0</v>
      </c>
      <c r="K1078" s="116"/>
      <c r="L1078" s="35">
        <f t="shared" si="586"/>
        <v>0</v>
      </c>
      <c r="M1078" s="34">
        <f t="shared" si="586"/>
        <v>0</v>
      </c>
      <c r="N1078" s="34">
        <f t="shared" si="586"/>
        <v>0</v>
      </c>
      <c r="O1078" s="34">
        <f t="shared" si="586"/>
        <v>0</v>
      </c>
      <c r="P1078" s="269">
        <f t="shared" si="586"/>
        <v>0</v>
      </c>
      <c r="Q1078" s="279">
        <f>SUM(L1078:P1078)</f>
        <v>0</v>
      </c>
      <c r="R1078" s="19"/>
      <c r="S1078" s="18"/>
      <c r="T1078" s="51"/>
    </row>
    <row r="1079" spans="1:20" x14ac:dyDescent="0.2">
      <c r="A1079" s="20" t="s">
        <v>559</v>
      </c>
      <c r="B1079" s="46"/>
      <c r="C1079" s="51"/>
      <c r="D1079" s="21"/>
      <c r="E1079" s="96"/>
      <c r="F1079" s="100"/>
      <c r="G1079" s="100"/>
      <c r="H1079" s="100"/>
      <c r="I1079" s="100"/>
      <c r="J1079" s="101">
        <f t="shared" si="584"/>
        <v>0</v>
      </c>
      <c r="K1079" s="115"/>
      <c r="L1079" s="161">
        <f t="shared" ref="L1079:Q1079" si="587">SUM(L1080:L1082)</f>
        <v>0</v>
      </c>
      <c r="M1079" s="34">
        <f t="shared" si="587"/>
        <v>0</v>
      </c>
      <c r="N1079" s="34">
        <f t="shared" si="587"/>
        <v>51500</v>
      </c>
      <c r="O1079" s="34">
        <f t="shared" si="587"/>
        <v>0</v>
      </c>
      <c r="P1079" s="269">
        <f t="shared" si="587"/>
        <v>0</v>
      </c>
      <c r="Q1079" s="279">
        <f t="shared" si="587"/>
        <v>51500</v>
      </c>
      <c r="R1079" s="198" t="s">
        <v>807</v>
      </c>
      <c r="S1079" s="197" t="s">
        <v>663</v>
      </c>
      <c r="T1079" s="51"/>
    </row>
    <row r="1080" spans="1:20" x14ac:dyDescent="0.2">
      <c r="A1080" s="95">
        <v>1</v>
      </c>
      <c r="B1080" s="108" t="str">
        <f>IF(A1080&lt;&gt;0,INDEX(Coûts,'PA-Détails'!A1080, 2),)</f>
        <v>Assistance technique internationale (consultants)</v>
      </c>
      <c r="C1080" s="51"/>
      <c r="D1080" s="94" t="str">
        <f>IF(A1080&lt;&gt;0,INDEX(Coûts, 'PA-Détails'!A1080, 5),)</f>
        <v>Pers / j</v>
      </c>
      <c r="E1080" s="96"/>
      <c r="F1080" s="100"/>
      <c r="G1080" s="100">
        <v>30</v>
      </c>
      <c r="H1080" s="100"/>
      <c r="I1080" s="100"/>
      <c r="J1080" s="101">
        <f t="shared" si="584"/>
        <v>30</v>
      </c>
      <c r="K1080" s="115">
        <f>IF(A1080&lt;&gt;0,INDEX(Coûts, 'PA-Détails'!A1080, 3),)</f>
        <v>1150</v>
      </c>
      <c r="L1080" s="37">
        <f t="shared" ref="L1080:P1082" si="588">ROUND(+$K1080*E1080,0)</f>
        <v>0</v>
      </c>
      <c r="M1080" s="36">
        <f t="shared" si="588"/>
        <v>0</v>
      </c>
      <c r="N1080" s="36">
        <f t="shared" si="588"/>
        <v>34500</v>
      </c>
      <c r="O1080" s="36">
        <f t="shared" si="588"/>
        <v>0</v>
      </c>
      <c r="P1080" s="268">
        <f t="shared" si="588"/>
        <v>0</v>
      </c>
      <c r="Q1080" s="281">
        <f>SUM(L1080:P1080)</f>
        <v>34500</v>
      </c>
      <c r="R1080" s="22"/>
      <c r="S1080" s="21"/>
      <c r="T1080" s="51"/>
    </row>
    <row r="1081" spans="1:20" x14ac:dyDescent="0.2">
      <c r="A1081" s="95">
        <v>2</v>
      </c>
      <c r="B1081" s="108" t="str">
        <f>IF(A1081&lt;&gt;0,INDEX(Coûts,'PA-Détails'!A1081, 2),)</f>
        <v>Assistance technique nationale (consultants)</v>
      </c>
      <c r="C1081" s="51"/>
      <c r="D1081" s="94" t="str">
        <f>IF(A1081&lt;&gt;0,INDEX(Coûts, 'PA-Détails'!A1081, 5),)</f>
        <v>Pers / j</v>
      </c>
      <c r="E1081" s="96"/>
      <c r="F1081" s="100"/>
      <c r="G1081" s="100">
        <v>40</v>
      </c>
      <c r="H1081" s="100"/>
      <c r="I1081" s="100"/>
      <c r="J1081" s="101">
        <f t="shared" si="584"/>
        <v>40</v>
      </c>
      <c r="K1081" s="115">
        <f>IF(A1081&lt;&gt;0,INDEX(Coûts, 'PA-Détails'!A1081, 3),)</f>
        <v>300</v>
      </c>
      <c r="L1081" s="37">
        <f t="shared" si="588"/>
        <v>0</v>
      </c>
      <c r="M1081" s="36">
        <f t="shared" si="588"/>
        <v>0</v>
      </c>
      <c r="N1081" s="36">
        <f t="shared" si="588"/>
        <v>12000</v>
      </c>
      <c r="O1081" s="36">
        <f t="shared" si="588"/>
        <v>0</v>
      </c>
      <c r="P1081" s="268">
        <f t="shared" si="588"/>
        <v>0</v>
      </c>
      <c r="Q1081" s="281">
        <f>SUM(L1081:P1081)</f>
        <v>12000</v>
      </c>
      <c r="R1081" s="22"/>
      <c r="S1081" s="21"/>
      <c r="T1081" s="51"/>
    </row>
    <row r="1082" spans="1:20" x14ac:dyDescent="0.2">
      <c r="A1082" s="95">
        <v>5</v>
      </c>
      <c r="B1082" s="108" t="str">
        <f>IF(A1082&lt;&gt;0,INDEX(Coûts,'PA-Détails'!A1082, 2),)</f>
        <v>Atelier de validation</v>
      </c>
      <c r="C1082" s="51"/>
      <c r="D1082" s="94" t="str">
        <f>IF(A1082&lt;&gt;0,INDEX(Coûts, 'PA-Détails'!A1082, 5),)</f>
        <v>Pers / j</v>
      </c>
      <c r="E1082" s="96"/>
      <c r="F1082" s="100"/>
      <c r="G1082" s="100">
        <v>100</v>
      </c>
      <c r="H1082" s="100"/>
      <c r="I1082" s="100"/>
      <c r="J1082" s="101">
        <f t="shared" si="584"/>
        <v>100</v>
      </c>
      <c r="K1082" s="115">
        <f>IF(A1082&lt;&gt;0,INDEX(Coûts, 'PA-Détails'!A1082, 3),)</f>
        <v>50</v>
      </c>
      <c r="L1082" s="37">
        <f t="shared" si="588"/>
        <v>0</v>
      </c>
      <c r="M1082" s="36">
        <f t="shared" si="588"/>
        <v>0</v>
      </c>
      <c r="N1082" s="36">
        <f t="shared" si="588"/>
        <v>5000</v>
      </c>
      <c r="O1082" s="36">
        <f t="shared" si="588"/>
        <v>0</v>
      </c>
      <c r="P1082" s="268">
        <f t="shared" si="588"/>
        <v>0</v>
      </c>
      <c r="Q1082" s="281">
        <f>SUM(L1082:P1082)</f>
        <v>5000</v>
      </c>
      <c r="R1082" s="22"/>
      <c r="S1082" s="21"/>
      <c r="T1082" s="51"/>
    </row>
    <row r="1083" spans="1:20" x14ac:dyDescent="0.2">
      <c r="A1083" s="20" t="s">
        <v>560</v>
      </c>
      <c r="B1083" s="46"/>
      <c r="C1083" s="51"/>
      <c r="D1083" s="21"/>
      <c r="E1083" s="96"/>
      <c r="F1083" s="100"/>
      <c r="G1083" s="100"/>
      <c r="H1083" s="100"/>
      <c r="I1083" s="100"/>
      <c r="J1083" s="101">
        <f t="shared" si="584"/>
        <v>0</v>
      </c>
      <c r="K1083" s="115"/>
      <c r="L1083" s="161">
        <f t="shared" ref="L1083:Q1083" si="589">SUM(L1084:L1084)</f>
        <v>0</v>
      </c>
      <c r="M1083" s="157">
        <f t="shared" si="589"/>
        <v>0</v>
      </c>
      <c r="N1083" s="157">
        <f t="shared" si="589"/>
        <v>0</v>
      </c>
      <c r="O1083" s="157">
        <f t="shared" si="589"/>
        <v>800000</v>
      </c>
      <c r="P1083" s="270">
        <f t="shared" si="589"/>
        <v>1600000</v>
      </c>
      <c r="Q1083" s="284">
        <f t="shared" si="589"/>
        <v>2400000</v>
      </c>
      <c r="R1083" s="198" t="s">
        <v>807</v>
      </c>
      <c r="S1083" s="197" t="s">
        <v>663</v>
      </c>
      <c r="T1083" s="51"/>
    </row>
    <row r="1084" spans="1:20" x14ac:dyDescent="0.2">
      <c r="A1084" s="95">
        <v>119</v>
      </c>
      <c r="B1084" s="108" t="str">
        <f>IF(A1084&lt;&gt;0,INDEX(Coûts,'PA-Détails'!A1084, 2),)</f>
        <v>Enveloppe pour installer une ED</v>
      </c>
      <c r="C1084" s="51"/>
      <c r="D1084" s="94" t="str">
        <f>IF(A1084&lt;&gt;0,INDEX(Coûts, 'PA-Détails'!A1084, 5),)</f>
        <v>Forfait</v>
      </c>
      <c r="E1084" s="96"/>
      <c r="F1084" s="100"/>
      <c r="G1084" s="100"/>
      <c r="H1084" s="100">
        <v>2</v>
      </c>
      <c r="I1084" s="100">
        <v>4</v>
      </c>
      <c r="J1084" s="101">
        <f t="shared" si="584"/>
        <v>6</v>
      </c>
      <c r="K1084" s="115">
        <f>IF(A1084&lt;&gt;0,INDEX(Coûts, 'PA-Détails'!A1084, 3),)</f>
        <v>400000</v>
      </c>
      <c r="L1084" s="37">
        <f>ROUND(+$K1084*E1084,0)</f>
        <v>0</v>
      </c>
      <c r="M1084" s="36">
        <f>ROUND(+$K1084*F1084,0)</f>
        <v>0</v>
      </c>
      <c r="N1084" s="36">
        <f>ROUND(+$K1084*G1084,0)</f>
        <v>0</v>
      </c>
      <c r="O1084" s="36">
        <f>ROUND(+$K1084*H1084,0)</f>
        <v>800000</v>
      </c>
      <c r="P1084" s="268">
        <f>ROUND(+$K1084*I1084,0)</f>
        <v>1600000</v>
      </c>
      <c r="Q1084" s="281">
        <f>SUM(L1084:P1084)</f>
        <v>2400000</v>
      </c>
      <c r="R1084" s="22"/>
      <c r="S1084" s="21"/>
      <c r="T1084" s="51"/>
    </row>
    <row r="1085" spans="1:20" x14ac:dyDescent="0.2">
      <c r="A1085" s="20" t="s">
        <v>561</v>
      </c>
      <c r="B1085" s="46"/>
      <c r="C1085" s="51"/>
      <c r="D1085" s="21"/>
      <c r="E1085" s="96"/>
      <c r="F1085" s="100"/>
      <c r="G1085" s="100"/>
      <c r="H1085" s="100"/>
      <c r="I1085" s="100"/>
      <c r="J1085" s="101">
        <f t="shared" si="584"/>
        <v>0</v>
      </c>
      <c r="K1085" s="115"/>
      <c r="L1085" s="161">
        <f t="shared" ref="L1085:Q1085" si="590">SUM(L1086:L1086)</f>
        <v>0</v>
      </c>
      <c r="M1085" s="157">
        <f t="shared" si="590"/>
        <v>0</v>
      </c>
      <c r="N1085" s="157">
        <f t="shared" si="590"/>
        <v>0</v>
      </c>
      <c r="O1085" s="157">
        <f t="shared" si="590"/>
        <v>60000</v>
      </c>
      <c r="P1085" s="270">
        <f t="shared" si="590"/>
        <v>120000</v>
      </c>
      <c r="Q1085" s="284">
        <f t="shared" si="590"/>
        <v>180000</v>
      </c>
      <c r="R1085" s="198" t="s">
        <v>808</v>
      </c>
      <c r="S1085" s="197" t="s">
        <v>663</v>
      </c>
      <c r="T1085" s="51"/>
    </row>
    <row r="1086" spans="1:20" x14ac:dyDescent="0.2">
      <c r="A1086" s="95">
        <v>120</v>
      </c>
      <c r="B1086" s="108" t="str">
        <f>IF(A1086&lt;&gt;0,INDEX(Coûts,'PA-Détails'!A1086, 2),)</f>
        <v>Budget de fonctionnement d'une ED</v>
      </c>
      <c r="C1086" s="51"/>
      <c r="D1086" s="94" t="str">
        <f>IF(A1086&lt;&gt;0,INDEX(Coûts, 'PA-Détails'!A1086, 5),)</f>
        <v>Forfait</v>
      </c>
      <c r="E1086" s="96"/>
      <c r="F1086" s="100"/>
      <c r="G1086" s="100"/>
      <c r="H1086" s="100">
        <v>2</v>
      </c>
      <c r="I1086" s="100">
        <v>4</v>
      </c>
      <c r="J1086" s="101">
        <f t="shared" si="584"/>
        <v>6</v>
      </c>
      <c r="K1086" s="115">
        <f>IF(A1086&lt;&gt;0,INDEX(Coûts, 'PA-Détails'!A1086, 3),)</f>
        <v>30000</v>
      </c>
      <c r="L1086" s="37">
        <f t="shared" ref="L1086:P1088" si="591">ROUND(+$K1086*E1086,0)</f>
        <v>0</v>
      </c>
      <c r="M1086" s="36">
        <f t="shared" si="591"/>
        <v>0</v>
      </c>
      <c r="N1086" s="36">
        <f t="shared" si="591"/>
        <v>0</v>
      </c>
      <c r="O1086" s="36">
        <f t="shared" si="591"/>
        <v>60000</v>
      </c>
      <c r="P1086" s="268">
        <f t="shared" si="591"/>
        <v>120000</v>
      </c>
      <c r="Q1086" s="281">
        <f>SUM(L1086:P1086)</f>
        <v>180000</v>
      </c>
      <c r="R1086" s="22"/>
      <c r="S1086" s="21"/>
      <c r="T1086" s="51"/>
    </row>
    <row r="1087" spans="1:20" x14ac:dyDescent="0.2">
      <c r="A1087" s="14" t="s">
        <v>1119</v>
      </c>
      <c r="B1087" s="44"/>
      <c r="C1087" s="112"/>
      <c r="D1087" s="15"/>
      <c r="E1087" s="102"/>
      <c r="F1087" s="103"/>
      <c r="G1087" s="103"/>
      <c r="H1087" s="103"/>
      <c r="I1087" s="103"/>
      <c r="J1087" s="104">
        <f t="shared" si="584"/>
        <v>0</v>
      </c>
      <c r="K1087" s="145"/>
      <c r="L1087" s="33">
        <f t="shared" si="591"/>
        <v>0</v>
      </c>
      <c r="M1087" s="32">
        <f t="shared" si="591"/>
        <v>0</v>
      </c>
      <c r="N1087" s="32">
        <f t="shared" si="591"/>
        <v>0</v>
      </c>
      <c r="O1087" s="32">
        <f t="shared" si="591"/>
        <v>0</v>
      </c>
      <c r="P1087" s="267">
        <f t="shared" si="591"/>
        <v>0</v>
      </c>
      <c r="Q1087" s="278">
        <f>SUM(L1087:P1087)</f>
        <v>0</v>
      </c>
      <c r="R1087" s="16"/>
      <c r="S1087" s="15"/>
      <c r="T1087" s="112">
        <v>2</v>
      </c>
    </row>
    <row r="1088" spans="1:20" x14ac:dyDescent="0.2">
      <c r="A1088" s="17" t="s">
        <v>123</v>
      </c>
      <c r="B1088" s="45"/>
      <c r="C1088" s="51" t="s">
        <v>969</v>
      </c>
      <c r="D1088" s="18"/>
      <c r="E1088" s="97"/>
      <c r="F1088" s="98"/>
      <c r="G1088" s="98"/>
      <c r="H1088" s="98"/>
      <c r="I1088" s="98"/>
      <c r="J1088" s="99">
        <f t="shared" si="584"/>
        <v>0</v>
      </c>
      <c r="K1088" s="116"/>
      <c r="L1088" s="35">
        <f t="shared" si="591"/>
        <v>0</v>
      </c>
      <c r="M1088" s="34">
        <f t="shared" si="591"/>
        <v>0</v>
      </c>
      <c r="N1088" s="34">
        <f t="shared" si="591"/>
        <v>0</v>
      </c>
      <c r="O1088" s="34">
        <f t="shared" si="591"/>
        <v>0</v>
      </c>
      <c r="P1088" s="269">
        <f t="shared" si="591"/>
        <v>0</v>
      </c>
      <c r="Q1088" s="279">
        <f>SUM(L1088:P1088)</f>
        <v>0</v>
      </c>
      <c r="R1088" s="19"/>
      <c r="S1088" s="18"/>
      <c r="T1088" s="51"/>
    </row>
    <row r="1089" spans="1:20" x14ac:dyDescent="0.2">
      <c r="A1089" s="20" t="s">
        <v>562</v>
      </c>
      <c r="B1089" s="46"/>
      <c r="C1089" s="51"/>
      <c r="D1089" s="21"/>
      <c r="E1089" s="96"/>
      <c r="F1089" s="100"/>
      <c r="G1089" s="100"/>
      <c r="H1089" s="100"/>
      <c r="I1089" s="100"/>
      <c r="J1089" s="101">
        <f t="shared" si="584"/>
        <v>0</v>
      </c>
      <c r="K1089" s="115"/>
      <c r="L1089" s="161">
        <f t="shared" ref="L1089:Q1089" si="592">SUM(L1090:L1090)</f>
        <v>9000</v>
      </c>
      <c r="M1089" s="157">
        <f t="shared" si="592"/>
        <v>0</v>
      </c>
      <c r="N1089" s="157">
        <f t="shared" si="592"/>
        <v>0</v>
      </c>
      <c r="O1089" s="157">
        <f t="shared" si="592"/>
        <v>0</v>
      </c>
      <c r="P1089" s="270">
        <f t="shared" si="592"/>
        <v>0</v>
      </c>
      <c r="Q1089" s="284">
        <f t="shared" si="592"/>
        <v>9000</v>
      </c>
      <c r="R1089" s="198" t="s">
        <v>882</v>
      </c>
      <c r="S1089" s="197" t="s">
        <v>801</v>
      </c>
      <c r="T1089" s="51"/>
    </row>
    <row r="1090" spans="1:20" x14ac:dyDescent="0.2">
      <c r="A1090" s="95">
        <v>2</v>
      </c>
      <c r="B1090" s="108" t="str">
        <f>IF(A1090&lt;&gt;0,INDEX(Coûts,'PA-Détails'!A1090, 2),)</f>
        <v>Assistance technique nationale (consultants)</v>
      </c>
      <c r="C1090" s="51"/>
      <c r="D1090" s="94" t="str">
        <f>IF(A1090&lt;&gt;0,INDEX(Coûts, 'PA-Détails'!A1090, 5),)</f>
        <v>Pers / j</v>
      </c>
      <c r="E1090" s="96">
        <v>30</v>
      </c>
      <c r="F1090" s="100"/>
      <c r="G1090" s="100"/>
      <c r="H1090" s="100"/>
      <c r="I1090" s="100"/>
      <c r="J1090" s="101">
        <f t="shared" si="584"/>
        <v>30</v>
      </c>
      <c r="K1090" s="115">
        <f>IF(A1090&lt;&gt;0,INDEX(Coûts, 'PA-Détails'!A1090, 3),)</f>
        <v>300</v>
      </c>
      <c r="L1090" s="37">
        <f>ROUND(+$K1090*E1090,0)</f>
        <v>9000</v>
      </c>
      <c r="M1090" s="36">
        <f>ROUND(+$K1090*F1090,0)</f>
        <v>0</v>
      </c>
      <c r="N1090" s="36">
        <f>ROUND(+$K1090*G1090,0)</f>
        <v>0</v>
      </c>
      <c r="O1090" s="36">
        <f>ROUND(+$K1090*H1090,0)</f>
        <v>0</v>
      </c>
      <c r="P1090" s="268">
        <f>ROUND(+$K1090*I1090,0)</f>
        <v>0</v>
      </c>
      <c r="Q1090" s="281">
        <f>SUM(L1090:P1090)</f>
        <v>9000</v>
      </c>
      <c r="R1090" s="22"/>
      <c r="S1090" s="21"/>
      <c r="T1090" s="51"/>
    </row>
    <row r="1091" spans="1:20" x14ac:dyDescent="0.2">
      <c r="A1091" s="20" t="s">
        <v>563</v>
      </c>
      <c r="B1091" s="46"/>
      <c r="C1091" s="51"/>
      <c r="D1091" s="21"/>
      <c r="E1091" s="96"/>
      <c r="F1091" s="100"/>
      <c r="G1091" s="100"/>
      <c r="H1091" s="100"/>
      <c r="I1091" s="100"/>
      <c r="J1091" s="101">
        <f t="shared" si="584"/>
        <v>0</v>
      </c>
      <c r="K1091" s="115"/>
      <c r="L1091" s="161">
        <f>SUM(L1092:L1093)</f>
        <v>5360000</v>
      </c>
      <c r="M1091" s="157">
        <f t="shared" ref="M1091:P1091" si="593">SUM(M1092:M1093)</f>
        <v>5360000</v>
      </c>
      <c r="N1091" s="157">
        <f t="shared" si="593"/>
        <v>5360000</v>
      </c>
      <c r="O1091" s="157">
        <f t="shared" si="593"/>
        <v>5360000</v>
      </c>
      <c r="P1091" s="270">
        <f t="shared" si="593"/>
        <v>5360000</v>
      </c>
      <c r="Q1091" s="284">
        <f>SUM(Q1092:Q1093)</f>
        <v>26800000</v>
      </c>
      <c r="R1091" s="196" t="s">
        <v>809</v>
      </c>
      <c r="S1091" s="197" t="s">
        <v>801</v>
      </c>
      <c r="T1091" s="51"/>
    </row>
    <row r="1092" spans="1:20" x14ac:dyDescent="0.2">
      <c r="A1092" s="95">
        <v>122</v>
      </c>
      <c r="B1092" s="108" t="str">
        <f>IF(A1092&lt;&gt;0,INDEX(Coûts,'PA-Détails'!A1092, 2),)</f>
        <v>Budget pour recrutement d'un enseignant</v>
      </c>
      <c r="C1092" s="51"/>
      <c r="D1092" s="94" t="str">
        <f>IF(A1092&lt;&gt;0,INDEX(Coûts, 'PA-Détails'!A1092, 5),)</f>
        <v>Forfait</v>
      </c>
      <c r="E1092" s="96">
        <f>ROUND(2470*4%,-1)</f>
        <v>100</v>
      </c>
      <c r="F1092" s="100">
        <f>E1092</f>
        <v>100</v>
      </c>
      <c r="G1092" s="100">
        <f>F1092</f>
        <v>100</v>
      </c>
      <c r="H1092" s="100">
        <f>G1092</f>
        <v>100</v>
      </c>
      <c r="I1092" s="100">
        <f>H1092</f>
        <v>100</v>
      </c>
      <c r="J1092" s="101">
        <f t="shared" si="584"/>
        <v>500</v>
      </c>
      <c r="K1092" s="115">
        <f>IF(A1092&lt;&gt;0,INDEX(Coûts, 'PA-Détails'!A1092, 3),)</f>
        <v>24000</v>
      </c>
      <c r="L1092" s="37">
        <f t="shared" ref="L1092:P1094" si="594">ROUND(+$K1092*E1092,0)</f>
        <v>2400000</v>
      </c>
      <c r="M1092" s="36">
        <f t="shared" si="594"/>
        <v>2400000</v>
      </c>
      <c r="N1092" s="36">
        <f t="shared" si="594"/>
        <v>2400000</v>
      </c>
      <c r="O1092" s="36">
        <f t="shared" si="594"/>
        <v>2400000</v>
      </c>
      <c r="P1092" s="268">
        <f t="shared" si="594"/>
        <v>2400000</v>
      </c>
      <c r="Q1092" s="281">
        <f>SUM(L1092:P1092)</f>
        <v>12000000</v>
      </c>
      <c r="R1092" s="22"/>
      <c r="S1092" s="21"/>
      <c r="T1092" s="51"/>
    </row>
    <row r="1093" spans="1:20" x14ac:dyDescent="0.2">
      <c r="A1093" s="95">
        <v>121</v>
      </c>
      <c r="B1093" s="108" t="str">
        <f>IF(A1093&lt;&gt;0,INDEX(Coûts,'PA-Détails'!A1093, 2),)</f>
        <v>Budget de vacation</v>
      </c>
      <c r="C1093" s="51"/>
      <c r="D1093" s="94" t="str">
        <f>IF(A1093&lt;&gt;0,INDEX(Coûts, 'PA-Détails'!A1093, 5),)</f>
        <v>Forfait</v>
      </c>
      <c r="E1093" s="96">
        <v>1</v>
      </c>
      <c r="F1093" s="100">
        <v>1</v>
      </c>
      <c r="G1093" s="100">
        <v>1</v>
      </c>
      <c r="H1093" s="100">
        <v>1</v>
      </c>
      <c r="I1093" s="100">
        <v>1</v>
      </c>
      <c r="J1093" s="101">
        <f t="shared" si="584"/>
        <v>5</v>
      </c>
      <c r="K1093" s="115">
        <f>IF(A1093&lt;&gt;0,INDEX(Coûts, 'PA-Détails'!A1093, 3),)</f>
        <v>2960000</v>
      </c>
      <c r="L1093" s="37">
        <f t="shared" si="594"/>
        <v>2960000</v>
      </c>
      <c r="M1093" s="36">
        <f t="shared" si="594"/>
        <v>2960000</v>
      </c>
      <c r="N1093" s="36">
        <f t="shared" si="594"/>
        <v>2960000</v>
      </c>
      <c r="O1093" s="36">
        <f t="shared" si="594"/>
        <v>2960000</v>
      </c>
      <c r="P1093" s="268">
        <f t="shared" si="594"/>
        <v>2960000</v>
      </c>
      <c r="Q1093" s="281">
        <f>SUM(L1093:P1093)</f>
        <v>14800000</v>
      </c>
      <c r="R1093" s="22"/>
      <c r="S1093" s="21"/>
      <c r="T1093" s="51"/>
    </row>
    <row r="1094" spans="1:20" x14ac:dyDescent="0.2">
      <c r="A1094" s="17" t="s">
        <v>124</v>
      </c>
      <c r="B1094" s="45"/>
      <c r="C1094" s="51" t="s">
        <v>564</v>
      </c>
      <c r="D1094" s="18"/>
      <c r="E1094" s="97"/>
      <c r="F1094" s="98"/>
      <c r="G1094" s="98"/>
      <c r="H1094" s="98"/>
      <c r="I1094" s="98"/>
      <c r="J1094" s="99">
        <f t="shared" si="584"/>
        <v>0</v>
      </c>
      <c r="K1094" s="116"/>
      <c r="L1094" s="35">
        <f t="shared" si="594"/>
        <v>0</v>
      </c>
      <c r="M1094" s="34">
        <f t="shared" si="594"/>
        <v>0</v>
      </c>
      <c r="N1094" s="34">
        <f t="shared" si="594"/>
        <v>0</v>
      </c>
      <c r="O1094" s="34">
        <f t="shared" si="594"/>
        <v>0</v>
      </c>
      <c r="P1094" s="269">
        <f t="shared" si="594"/>
        <v>0</v>
      </c>
      <c r="Q1094" s="279">
        <f>SUM(L1094:P1094)</f>
        <v>0</v>
      </c>
      <c r="R1094" s="19"/>
      <c r="S1094" s="18"/>
      <c r="T1094" s="51"/>
    </row>
    <row r="1095" spans="1:20" x14ac:dyDescent="0.2">
      <c r="A1095" s="20" t="s">
        <v>565</v>
      </c>
      <c r="B1095" s="46"/>
      <c r="C1095" s="51"/>
      <c r="D1095" s="21"/>
      <c r="E1095" s="96"/>
      <c r="F1095" s="100"/>
      <c r="G1095" s="100"/>
      <c r="H1095" s="100"/>
      <c r="I1095" s="100"/>
      <c r="J1095" s="101">
        <f t="shared" si="584"/>
        <v>0</v>
      </c>
      <c r="K1095" s="115"/>
      <c r="L1095" s="161">
        <f t="shared" ref="L1095:Q1095" si="595">SUM(L1096:L1097)</f>
        <v>8500</v>
      </c>
      <c r="M1095" s="157">
        <f t="shared" si="595"/>
        <v>0</v>
      </c>
      <c r="N1095" s="157">
        <f t="shared" si="595"/>
        <v>0</v>
      </c>
      <c r="O1095" s="157">
        <f t="shared" si="595"/>
        <v>0</v>
      </c>
      <c r="P1095" s="270">
        <f t="shared" si="595"/>
        <v>0</v>
      </c>
      <c r="Q1095" s="284">
        <f t="shared" si="595"/>
        <v>8500</v>
      </c>
      <c r="R1095" s="196" t="s">
        <v>810</v>
      </c>
      <c r="S1095" s="197" t="s">
        <v>801</v>
      </c>
      <c r="T1095" s="51"/>
    </row>
    <row r="1096" spans="1:20" x14ac:dyDescent="0.2">
      <c r="A1096" s="95">
        <v>2</v>
      </c>
      <c r="B1096" s="108" t="str">
        <f>IF(A1096&lt;&gt;0,INDEX(Coûts,'PA-Détails'!A1096, 2),)</f>
        <v>Assistance technique nationale (consultants)</v>
      </c>
      <c r="C1096" s="51"/>
      <c r="D1096" s="94" t="str">
        <f>IF(A1096&lt;&gt;0,INDEX(Coûts, 'PA-Détails'!A1096, 5),)</f>
        <v>Pers / j</v>
      </c>
      <c r="E1096" s="96">
        <v>20</v>
      </c>
      <c r="F1096" s="100"/>
      <c r="G1096" s="100"/>
      <c r="H1096" s="100"/>
      <c r="I1096" s="100"/>
      <c r="J1096" s="101">
        <f t="shared" si="584"/>
        <v>20</v>
      </c>
      <c r="K1096" s="115">
        <f>IF(A1096&lt;&gt;0,INDEX(Coûts, 'PA-Détails'!A1096, 3),)</f>
        <v>300</v>
      </c>
      <c r="L1096" s="37">
        <f t="shared" ref="L1096:P1097" si="596">ROUND(+$K1096*E1096,0)</f>
        <v>6000</v>
      </c>
      <c r="M1096" s="36">
        <f t="shared" si="596"/>
        <v>0</v>
      </c>
      <c r="N1096" s="36">
        <f t="shared" si="596"/>
        <v>0</v>
      </c>
      <c r="O1096" s="36">
        <f t="shared" si="596"/>
        <v>0</v>
      </c>
      <c r="P1096" s="268">
        <f t="shared" si="596"/>
        <v>0</v>
      </c>
      <c r="Q1096" s="281">
        <f>SUM(L1096:P1096)</f>
        <v>6000</v>
      </c>
      <c r="R1096" s="22"/>
      <c r="S1096" s="21"/>
      <c r="T1096" s="51"/>
    </row>
    <row r="1097" spans="1:20" x14ac:dyDescent="0.2">
      <c r="A1097" s="95">
        <v>5</v>
      </c>
      <c r="B1097" s="108" t="str">
        <f>IF(A1097&lt;&gt;0,INDEX(Coûts,'PA-Détails'!A1097, 2),)</f>
        <v>Atelier de validation</v>
      </c>
      <c r="C1097" s="51"/>
      <c r="D1097" s="94" t="str">
        <f>IF(A1097&lt;&gt;0,INDEX(Coûts, 'PA-Détails'!A1097, 5),)</f>
        <v>Pers / j</v>
      </c>
      <c r="E1097" s="96">
        <v>50</v>
      </c>
      <c r="F1097" s="100"/>
      <c r="G1097" s="100"/>
      <c r="H1097" s="100"/>
      <c r="I1097" s="100"/>
      <c r="J1097" s="101">
        <f t="shared" si="584"/>
        <v>50</v>
      </c>
      <c r="K1097" s="115">
        <f>IF(A1097&lt;&gt;0,INDEX(Coûts, 'PA-Détails'!A1097, 3),)</f>
        <v>50</v>
      </c>
      <c r="L1097" s="37">
        <f t="shared" si="596"/>
        <v>2500</v>
      </c>
      <c r="M1097" s="36">
        <f t="shared" si="596"/>
        <v>0</v>
      </c>
      <c r="N1097" s="36">
        <f t="shared" si="596"/>
        <v>0</v>
      </c>
      <c r="O1097" s="36">
        <f t="shared" si="596"/>
        <v>0</v>
      </c>
      <c r="P1097" s="268">
        <f t="shared" si="596"/>
        <v>0</v>
      </c>
      <c r="Q1097" s="281">
        <f>SUM(L1097:P1097)</f>
        <v>2500</v>
      </c>
      <c r="R1097" s="22"/>
      <c r="S1097" s="21"/>
      <c r="T1097" s="51"/>
    </row>
    <row r="1098" spans="1:20" x14ac:dyDescent="0.2">
      <c r="A1098" s="20" t="s">
        <v>566</v>
      </c>
      <c r="B1098" s="46"/>
      <c r="C1098" s="51"/>
      <c r="D1098" s="21"/>
      <c r="E1098" s="96"/>
      <c r="F1098" s="100"/>
      <c r="G1098" s="100"/>
      <c r="H1098" s="100"/>
      <c r="I1098" s="100"/>
      <c r="J1098" s="101">
        <f t="shared" si="584"/>
        <v>0</v>
      </c>
      <c r="K1098" s="115"/>
      <c r="L1098" s="161">
        <f t="shared" ref="L1098:Q1098" si="597">SUM(L1099:L1099)</f>
        <v>200000</v>
      </c>
      <c r="M1098" s="157">
        <f t="shared" si="597"/>
        <v>250000</v>
      </c>
      <c r="N1098" s="157">
        <f t="shared" si="597"/>
        <v>300000</v>
      </c>
      <c r="O1098" s="157">
        <f t="shared" si="597"/>
        <v>350000</v>
      </c>
      <c r="P1098" s="270">
        <f t="shared" si="597"/>
        <v>400000</v>
      </c>
      <c r="Q1098" s="284">
        <f t="shared" si="597"/>
        <v>1500000</v>
      </c>
      <c r="R1098" s="198" t="s">
        <v>883</v>
      </c>
      <c r="S1098" s="197" t="s">
        <v>801</v>
      </c>
      <c r="T1098" s="51"/>
    </row>
    <row r="1099" spans="1:20" x14ac:dyDescent="0.2">
      <c r="A1099" s="95">
        <v>123</v>
      </c>
      <c r="B1099" s="108" t="str">
        <f>IF(A1099&lt;&gt;0,INDEX(Coûts,'PA-Détails'!A1099, 2),)</f>
        <v>Bourse doctorale</v>
      </c>
      <c r="C1099" s="51"/>
      <c r="D1099" s="94" t="str">
        <f>IF(A1099&lt;&gt;0,INDEX(Coûts, 'PA-Détails'!A1099, 5),)</f>
        <v>Forfait/an</v>
      </c>
      <c r="E1099" s="96">
        <v>400</v>
      </c>
      <c r="F1099" s="100">
        <f>E1099+100</f>
        <v>500</v>
      </c>
      <c r="G1099" s="100">
        <f>F1099+100</f>
        <v>600</v>
      </c>
      <c r="H1099" s="100">
        <f>G1099+100</f>
        <v>700</v>
      </c>
      <c r="I1099" s="100">
        <f>H1099+100</f>
        <v>800</v>
      </c>
      <c r="J1099" s="101">
        <f t="shared" si="584"/>
        <v>3000</v>
      </c>
      <c r="K1099" s="115">
        <f>IF(A1099&lt;&gt;0,INDEX(Coûts, 'PA-Détails'!A1099, 3),)</f>
        <v>500</v>
      </c>
      <c r="L1099" s="37">
        <f t="shared" ref="L1099:P1101" si="598">ROUND(+$K1099*E1099,0)</f>
        <v>200000</v>
      </c>
      <c r="M1099" s="36">
        <f t="shared" si="598"/>
        <v>250000</v>
      </c>
      <c r="N1099" s="36">
        <f t="shared" si="598"/>
        <v>300000</v>
      </c>
      <c r="O1099" s="36">
        <f t="shared" si="598"/>
        <v>350000</v>
      </c>
      <c r="P1099" s="268">
        <f t="shared" si="598"/>
        <v>400000</v>
      </c>
      <c r="Q1099" s="281">
        <f>SUM(L1099:P1099)</f>
        <v>1500000</v>
      </c>
      <c r="R1099" s="22"/>
      <c r="S1099" s="21"/>
      <c r="T1099" s="51"/>
    </row>
    <row r="1100" spans="1:20" x14ac:dyDescent="0.2">
      <c r="A1100" s="14" t="s">
        <v>614</v>
      </c>
      <c r="B1100" s="44"/>
      <c r="C1100" s="112"/>
      <c r="D1100" s="15"/>
      <c r="E1100" s="102"/>
      <c r="F1100" s="103"/>
      <c r="G1100" s="103"/>
      <c r="H1100" s="103"/>
      <c r="I1100" s="103"/>
      <c r="J1100" s="104">
        <f t="shared" si="584"/>
        <v>0</v>
      </c>
      <c r="K1100" s="145"/>
      <c r="L1100" s="33">
        <f t="shared" si="598"/>
        <v>0</v>
      </c>
      <c r="M1100" s="32">
        <f t="shared" si="598"/>
        <v>0</v>
      </c>
      <c r="N1100" s="32">
        <f t="shared" si="598"/>
        <v>0</v>
      </c>
      <c r="O1100" s="32">
        <f t="shared" si="598"/>
        <v>0</v>
      </c>
      <c r="P1100" s="267">
        <f t="shared" si="598"/>
        <v>0</v>
      </c>
      <c r="Q1100" s="278">
        <f>SUM(L1100:P1100)</f>
        <v>0</v>
      </c>
      <c r="R1100" s="40"/>
      <c r="S1100" s="145"/>
      <c r="T1100" s="49">
        <v>3</v>
      </c>
    </row>
    <row r="1101" spans="1:20" x14ac:dyDescent="0.2">
      <c r="A1101" s="17" t="s">
        <v>1120</v>
      </c>
      <c r="B1101" s="45"/>
      <c r="C1101" s="51"/>
      <c r="D1101" s="18"/>
      <c r="E1101" s="97"/>
      <c r="F1101" s="98"/>
      <c r="G1101" s="98"/>
      <c r="H1101" s="98"/>
      <c r="I1101" s="98"/>
      <c r="J1101" s="99">
        <f t="shared" si="584"/>
        <v>0</v>
      </c>
      <c r="K1101" s="116"/>
      <c r="L1101" s="35">
        <f t="shared" si="598"/>
        <v>0</v>
      </c>
      <c r="M1101" s="34">
        <f t="shared" si="598"/>
        <v>0</v>
      </c>
      <c r="N1101" s="34">
        <f t="shared" si="598"/>
        <v>0</v>
      </c>
      <c r="O1101" s="34">
        <f t="shared" si="598"/>
        <v>0</v>
      </c>
      <c r="P1101" s="269">
        <f t="shared" si="598"/>
        <v>0</v>
      </c>
      <c r="Q1101" s="279">
        <f>SUM(L1101:P1101)</f>
        <v>0</v>
      </c>
      <c r="R1101" s="38"/>
      <c r="S1101" s="116"/>
      <c r="T1101" s="50"/>
    </row>
    <row r="1102" spans="1:20" x14ac:dyDescent="0.2">
      <c r="A1102" s="20" t="s">
        <v>615</v>
      </c>
      <c r="B1102" s="149"/>
      <c r="C1102" s="51"/>
      <c r="D1102" s="21"/>
      <c r="E1102" s="96"/>
      <c r="F1102" s="100"/>
      <c r="G1102" s="100"/>
      <c r="H1102" s="100"/>
      <c r="I1102" s="100"/>
      <c r="J1102" s="101">
        <f t="shared" si="584"/>
        <v>0</v>
      </c>
      <c r="K1102" s="115"/>
      <c r="L1102" s="161">
        <f t="shared" ref="L1102:Q1102" si="599">SUM(L1103:L1106)</f>
        <v>47850</v>
      </c>
      <c r="M1102" s="34">
        <f t="shared" si="599"/>
        <v>0</v>
      </c>
      <c r="N1102" s="34">
        <f t="shared" si="599"/>
        <v>0</v>
      </c>
      <c r="O1102" s="34">
        <f t="shared" si="599"/>
        <v>0</v>
      </c>
      <c r="P1102" s="269">
        <f t="shared" si="599"/>
        <v>0</v>
      </c>
      <c r="Q1102" s="279">
        <f t="shared" si="599"/>
        <v>47850</v>
      </c>
      <c r="R1102" s="196" t="s">
        <v>799</v>
      </c>
      <c r="S1102" s="197" t="s">
        <v>811</v>
      </c>
      <c r="T1102" s="51"/>
    </row>
    <row r="1103" spans="1:20" x14ac:dyDescent="0.2">
      <c r="A1103" s="95">
        <v>1</v>
      </c>
      <c r="B1103" s="108" t="str">
        <f>IF(A1103&lt;&gt;0,INDEX(Coûts,'PA-Détails'!A1103, 2),)</f>
        <v>Assistance technique internationale (consultants)</v>
      </c>
      <c r="C1103" s="51"/>
      <c r="D1103" s="94" t="str">
        <f>IF(A1103&lt;&gt;0,INDEX(Coûts, 'PA-Détails'!A1103, 5),)</f>
        <v>Pers / j</v>
      </c>
      <c r="E1103" s="96">
        <f>1*30</f>
        <v>30</v>
      </c>
      <c r="F1103" s="100"/>
      <c r="G1103" s="100"/>
      <c r="H1103" s="100"/>
      <c r="I1103" s="100"/>
      <c r="J1103" s="101">
        <f t="shared" si="584"/>
        <v>30</v>
      </c>
      <c r="K1103" s="115">
        <f>IF(A1103&lt;&gt;0,INDEX(Coûts, 'PA-Détails'!A1103, 3),)</f>
        <v>1150</v>
      </c>
      <c r="L1103" s="37">
        <f t="shared" ref="L1103:P1107" si="600">ROUND(+$K1103*E1103,0)</f>
        <v>34500</v>
      </c>
      <c r="M1103" s="36">
        <f t="shared" si="600"/>
        <v>0</v>
      </c>
      <c r="N1103" s="36">
        <f t="shared" si="600"/>
        <v>0</v>
      </c>
      <c r="O1103" s="36">
        <f t="shared" si="600"/>
        <v>0</v>
      </c>
      <c r="P1103" s="268">
        <f t="shared" si="600"/>
        <v>0</v>
      </c>
      <c r="Q1103" s="281">
        <f>SUM(L1103:P1103)</f>
        <v>34500</v>
      </c>
      <c r="R1103" s="39"/>
      <c r="S1103" s="115"/>
      <c r="T1103" s="51"/>
    </row>
    <row r="1104" spans="1:20" x14ac:dyDescent="0.2">
      <c r="A1104" s="95">
        <v>2</v>
      </c>
      <c r="B1104" s="108" t="str">
        <f>IF(A1104&lt;&gt;0,INDEX(Coûts,'PA-Détails'!A1104, 2),)</f>
        <v>Assistance technique nationale (consultants)</v>
      </c>
      <c r="C1104" s="51"/>
      <c r="D1104" s="94" t="str">
        <f>IF(A1104&lt;&gt;0,INDEX(Coûts, 'PA-Détails'!A1104, 5),)</f>
        <v>Pers / j</v>
      </c>
      <c r="E1104" s="96">
        <f>1*30</f>
        <v>30</v>
      </c>
      <c r="F1104" s="100"/>
      <c r="G1104" s="100"/>
      <c r="H1104" s="100"/>
      <c r="I1104" s="100"/>
      <c r="J1104" s="101">
        <f t="shared" si="584"/>
        <v>30</v>
      </c>
      <c r="K1104" s="115">
        <f>IF(A1104&lt;&gt;0,INDEX(Coûts, 'PA-Détails'!A1104, 3),)</f>
        <v>300</v>
      </c>
      <c r="L1104" s="37">
        <f t="shared" si="600"/>
        <v>9000</v>
      </c>
      <c r="M1104" s="36">
        <f t="shared" si="600"/>
        <v>0</v>
      </c>
      <c r="N1104" s="36">
        <f t="shared" si="600"/>
        <v>0</v>
      </c>
      <c r="O1104" s="36">
        <f t="shared" si="600"/>
        <v>0</v>
      </c>
      <c r="P1104" s="268">
        <f t="shared" si="600"/>
        <v>0</v>
      </c>
      <c r="Q1104" s="281">
        <f>SUM(L1104:P1104)</f>
        <v>9000</v>
      </c>
      <c r="R1104" s="39"/>
      <c r="S1104" s="115"/>
      <c r="T1104" s="51"/>
    </row>
    <row r="1105" spans="1:26" x14ac:dyDescent="0.2">
      <c r="A1105" s="95">
        <v>11</v>
      </c>
      <c r="B1105" s="108" t="str">
        <f>IF(A1105&lt;&gt;0,INDEX(Coûts,'PA-Détails'!A1105, 2),)</f>
        <v>Atelier technique</v>
      </c>
      <c r="C1105" s="51"/>
      <c r="D1105" s="94" t="str">
        <f>IF(A1105&lt;&gt;0,INDEX(Coûts, 'PA-Détails'!A1105, 5),)</f>
        <v>Pers / j</v>
      </c>
      <c r="E1105" s="96">
        <f>2*15</f>
        <v>30</v>
      </c>
      <c r="F1105" s="100"/>
      <c r="G1105" s="100"/>
      <c r="H1105" s="100"/>
      <c r="I1105" s="100"/>
      <c r="J1105" s="101">
        <f t="shared" si="584"/>
        <v>30</v>
      </c>
      <c r="K1105" s="115">
        <f>IF(A1105&lt;&gt;0,INDEX(Coûts, 'PA-Détails'!A1105, 3),)</f>
        <v>70</v>
      </c>
      <c r="L1105" s="37">
        <f t="shared" si="600"/>
        <v>2100</v>
      </c>
      <c r="M1105" s="36">
        <f t="shared" si="600"/>
        <v>0</v>
      </c>
      <c r="N1105" s="36">
        <f t="shared" si="600"/>
        <v>0</v>
      </c>
      <c r="O1105" s="36">
        <f t="shared" si="600"/>
        <v>0</v>
      </c>
      <c r="P1105" s="268">
        <f t="shared" si="600"/>
        <v>0</v>
      </c>
      <c r="Q1105" s="281">
        <f>SUM(L1105:P1105)</f>
        <v>2100</v>
      </c>
      <c r="R1105" s="39"/>
      <c r="S1105" s="115"/>
      <c r="T1105" s="51"/>
    </row>
    <row r="1106" spans="1:26" x14ac:dyDescent="0.2">
      <c r="A1106" s="95">
        <v>5</v>
      </c>
      <c r="B1106" s="108" t="str">
        <f>IF(A1106&lt;&gt;0,INDEX(Coûts,'PA-Détails'!A1106, 2),)</f>
        <v>Atelier de validation</v>
      </c>
      <c r="C1106" s="51"/>
      <c r="D1106" s="94" t="str">
        <f>IF(A1106&lt;&gt;0,INDEX(Coûts, 'PA-Détails'!A1106, 5),)</f>
        <v>Pers / j</v>
      </c>
      <c r="E1106" s="96">
        <f>1*45</f>
        <v>45</v>
      </c>
      <c r="F1106" s="100"/>
      <c r="G1106" s="100"/>
      <c r="H1106" s="100"/>
      <c r="I1106" s="100"/>
      <c r="J1106" s="101">
        <f t="shared" ref="J1106:J1107" si="601">SUM(E1106:I1106)</f>
        <v>45</v>
      </c>
      <c r="K1106" s="115">
        <f>IF(A1106&lt;&gt;0,INDEX(Coûts, 'PA-Détails'!A1106, 3),)</f>
        <v>50</v>
      </c>
      <c r="L1106" s="37">
        <f t="shared" si="600"/>
        <v>2250</v>
      </c>
      <c r="M1106" s="36">
        <f t="shared" si="600"/>
        <v>0</v>
      </c>
      <c r="N1106" s="36">
        <f t="shared" si="600"/>
        <v>0</v>
      </c>
      <c r="O1106" s="36">
        <f t="shared" si="600"/>
        <v>0</v>
      </c>
      <c r="P1106" s="268">
        <f t="shared" si="600"/>
        <v>0</v>
      </c>
      <c r="Q1106" s="281">
        <f>SUM(L1106:P1106)</f>
        <v>2250</v>
      </c>
      <c r="R1106" s="39"/>
      <c r="S1106" s="115"/>
      <c r="T1106" s="51"/>
    </row>
    <row r="1107" spans="1:26" x14ac:dyDescent="0.2">
      <c r="A1107" s="17" t="s">
        <v>616</v>
      </c>
      <c r="B1107" s="45"/>
      <c r="C1107" s="51"/>
      <c r="D1107" s="18"/>
      <c r="E1107" s="97"/>
      <c r="F1107" s="98"/>
      <c r="G1107" s="98"/>
      <c r="H1107" s="98"/>
      <c r="I1107" s="98"/>
      <c r="J1107" s="99">
        <f t="shared" si="601"/>
        <v>0</v>
      </c>
      <c r="K1107" s="116"/>
      <c r="L1107" s="35">
        <f t="shared" si="600"/>
        <v>0</v>
      </c>
      <c r="M1107" s="34">
        <f t="shared" si="600"/>
        <v>0</v>
      </c>
      <c r="N1107" s="34">
        <f t="shared" si="600"/>
        <v>0</v>
      </c>
      <c r="O1107" s="34">
        <f t="shared" si="600"/>
        <v>0</v>
      </c>
      <c r="P1107" s="269">
        <f t="shared" si="600"/>
        <v>0</v>
      </c>
      <c r="Q1107" s="279">
        <f>SUM(L1107:P1107)</f>
        <v>0</v>
      </c>
      <c r="R1107" s="38"/>
      <c r="S1107" s="116"/>
      <c r="T1107" s="50"/>
    </row>
    <row r="1108" spans="1:26" x14ac:dyDescent="0.2">
      <c r="A1108" s="20" t="s">
        <v>1610</v>
      </c>
      <c r="B1108" s="149"/>
      <c r="C1108" s="51"/>
      <c r="D1108" s="115"/>
      <c r="E1108" s="96"/>
      <c r="F1108" s="100"/>
      <c r="G1108" s="100"/>
      <c r="H1108" s="100"/>
      <c r="I1108" s="100"/>
      <c r="J1108" s="101"/>
      <c r="K1108" s="115"/>
      <c r="L1108" s="161">
        <f t="shared" ref="L1108:Q1108" si="602">SUM(L1109:L1112)</f>
        <v>234500</v>
      </c>
      <c r="M1108" s="34">
        <f t="shared" si="602"/>
        <v>0</v>
      </c>
      <c r="N1108" s="34">
        <f t="shared" si="602"/>
        <v>0</v>
      </c>
      <c r="O1108" s="34">
        <f t="shared" si="602"/>
        <v>0</v>
      </c>
      <c r="P1108" s="269">
        <f t="shared" si="602"/>
        <v>0</v>
      </c>
      <c r="Q1108" s="279">
        <f t="shared" si="602"/>
        <v>234500</v>
      </c>
      <c r="R1108" s="198" t="s">
        <v>882</v>
      </c>
      <c r="S1108" s="197" t="s">
        <v>663</v>
      </c>
      <c r="T1108" s="51"/>
    </row>
    <row r="1109" spans="1:26" x14ac:dyDescent="0.2">
      <c r="A1109" s="95">
        <v>1</v>
      </c>
      <c r="B1109" s="151" t="str">
        <f>IF(A1109&lt;&gt;0,INDEX(Coûts,'PA-Détails'!A1109, 2),)</f>
        <v>Assistance technique internationale (consultants)</v>
      </c>
      <c r="C1109" s="51"/>
      <c r="D1109" s="94" t="str">
        <f>IF(A1109&lt;&gt;0,INDEX(Coûts, 'PA-Détails'!A1109, 5),)</f>
        <v>Pers / j</v>
      </c>
      <c r="E1109" s="96">
        <v>10</v>
      </c>
      <c r="F1109" s="100"/>
      <c r="G1109" s="100"/>
      <c r="H1109" s="100"/>
      <c r="I1109" s="100"/>
      <c r="J1109" s="101">
        <f>SUM(E1109:I1109)</f>
        <v>10</v>
      </c>
      <c r="K1109" s="115">
        <f>IF(A1109&lt;&gt;0,INDEX(Coûts, 'PA-Détails'!A1109, 3),)</f>
        <v>1150</v>
      </c>
      <c r="L1109" s="37">
        <f t="shared" ref="L1109:P1113" si="603">ROUND(+$K1109*E1109,0)</f>
        <v>11500</v>
      </c>
      <c r="M1109" s="36">
        <f t="shared" si="603"/>
        <v>0</v>
      </c>
      <c r="N1109" s="36">
        <f t="shared" si="603"/>
        <v>0</v>
      </c>
      <c r="O1109" s="36">
        <f t="shared" si="603"/>
        <v>0</v>
      </c>
      <c r="P1109" s="268">
        <f t="shared" si="603"/>
        <v>0</v>
      </c>
      <c r="Q1109" s="281">
        <f>SUM(L1109:P1109)</f>
        <v>11500</v>
      </c>
      <c r="R1109" s="39"/>
      <c r="S1109" s="115"/>
      <c r="T1109" s="51"/>
    </row>
    <row r="1110" spans="1:26" x14ac:dyDescent="0.2">
      <c r="A1110" s="95">
        <v>2</v>
      </c>
      <c r="B1110" s="151" t="str">
        <f>IF(A1110&lt;&gt;0,INDEX(Coûts,'PA-Détails'!A1110, 2),)</f>
        <v>Assistance technique nationale (consultants)</v>
      </c>
      <c r="C1110" s="51"/>
      <c r="D1110" s="94" t="str">
        <f>IF(A1110&lt;&gt;0,INDEX(Coûts, 'PA-Détails'!A1110, 5),)</f>
        <v>Pers / j</v>
      </c>
      <c r="E1110" s="96">
        <v>40</v>
      </c>
      <c r="F1110" s="100"/>
      <c r="G1110" s="100"/>
      <c r="H1110" s="100"/>
      <c r="I1110" s="100"/>
      <c r="J1110" s="101">
        <f>SUM(E1110:I1110)</f>
        <v>40</v>
      </c>
      <c r="K1110" s="115">
        <f>IF(A1110&lt;&gt;0,INDEX(Coûts, 'PA-Détails'!A1110, 3),)</f>
        <v>300</v>
      </c>
      <c r="L1110" s="37">
        <f t="shared" si="603"/>
        <v>12000</v>
      </c>
      <c r="M1110" s="36">
        <f t="shared" si="603"/>
        <v>0</v>
      </c>
      <c r="N1110" s="36">
        <f t="shared" si="603"/>
        <v>0</v>
      </c>
      <c r="O1110" s="36">
        <f t="shared" si="603"/>
        <v>0</v>
      </c>
      <c r="P1110" s="268">
        <f t="shared" si="603"/>
        <v>0</v>
      </c>
      <c r="Q1110" s="281">
        <f>SUM(L1110:P1110)</f>
        <v>12000</v>
      </c>
      <c r="R1110" s="39"/>
      <c r="S1110" s="115"/>
      <c r="T1110" s="51"/>
    </row>
    <row r="1111" spans="1:26" x14ac:dyDescent="0.2">
      <c r="A1111" s="95">
        <v>11</v>
      </c>
      <c r="B1111" s="108" t="str">
        <f>IF(A1111&lt;&gt;0,INDEX(Coûts,'PA-Détails'!A1111, 2),)</f>
        <v>Atelier technique</v>
      </c>
      <c r="C1111" s="51"/>
      <c r="D1111" s="94" t="str">
        <f>IF(A1111&lt;&gt;0,INDEX(Coûts, 'PA-Détails'!A1111, 5),)</f>
        <v>Pers / j</v>
      </c>
      <c r="E1111" s="96">
        <v>300</v>
      </c>
      <c r="F1111" s="100"/>
      <c r="G1111" s="100"/>
      <c r="H1111" s="100"/>
      <c r="I1111" s="100"/>
      <c r="J1111" s="101">
        <f>SUM(E1111:I1111)</f>
        <v>300</v>
      </c>
      <c r="K1111" s="115">
        <f>IF(A1111&lt;&gt;0,INDEX(Coûts, 'PA-Détails'!A1111, 3),)</f>
        <v>70</v>
      </c>
      <c r="L1111" s="37">
        <f t="shared" si="603"/>
        <v>21000</v>
      </c>
      <c r="M1111" s="36">
        <f t="shared" si="603"/>
        <v>0</v>
      </c>
      <c r="N1111" s="36">
        <f t="shared" si="603"/>
        <v>0</v>
      </c>
      <c r="O1111" s="36">
        <f t="shared" si="603"/>
        <v>0</v>
      </c>
      <c r="P1111" s="268">
        <f t="shared" si="603"/>
        <v>0</v>
      </c>
      <c r="Q1111" s="281">
        <f>SUM(L1111:P1111)</f>
        <v>21000</v>
      </c>
      <c r="R1111" s="39"/>
      <c r="S1111" s="115"/>
      <c r="T1111" s="51"/>
    </row>
    <row r="1112" spans="1:26" x14ac:dyDescent="0.2">
      <c r="A1112" s="95">
        <v>7</v>
      </c>
      <c r="B1112" s="108" t="str">
        <f>IF(A1112&lt;&gt;0,INDEX(Coûts,'PA-Détails'!A1112, 2),)</f>
        <v>Séminaire</v>
      </c>
      <c r="C1112" s="51"/>
      <c r="D1112" s="94" t="str">
        <f>IF(A1112&lt;&gt;0,INDEX(Coûts, 'PA-Détails'!A1112, 5),)</f>
        <v>Pers / j</v>
      </c>
      <c r="E1112" s="96">
        <f>1000</f>
        <v>1000</v>
      </c>
      <c r="F1112" s="100"/>
      <c r="G1112" s="100"/>
      <c r="H1112" s="100"/>
      <c r="I1112" s="100"/>
      <c r="J1112" s="101">
        <f>SUM(E1112:I1112)</f>
        <v>1000</v>
      </c>
      <c r="K1112" s="115">
        <f>IF(A1112&lt;&gt;0,INDEX(Coûts, 'PA-Détails'!A1112, 3),)</f>
        <v>190</v>
      </c>
      <c r="L1112" s="37">
        <f t="shared" si="603"/>
        <v>190000</v>
      </c>
      <c r="M1112" s="36">
        <f t="shared" si="603"/>
        <v>0</v>
      </c>
      <c r="N1112" s="36">
        <f t="shared" si="603"/>
        <v>0</v>
      </c>
      <c r="O1112" s="36">
        <f t="shared" si="603"/>
        <v>0</v>
      </c>
      <c r="P1112" s="268">
        <f t="shared" si="603"/>
        <v>0</v>
      </c>
      <c r="Q1112" s="281">
        <f>SUM(L1112:P1112)</f>
        <v>190000</v>
      </c>
      <c r="R1112" s="39"/>
      <c r="S1112" s="115"/>
      <c r="T1112" s="51"/>
    </row>
    <row r="1113" spans="1:26" x14ac:dyDescent="0.2">
      <c r="A1113" s="17" t="s">
        <v>618</v>
      </c>
      <c r="B1113" s="45"/>
      <c r="C1113" s="51"/>
      <c r="D1113" s="18"/>
      <c r="E1113" s="97"/>
      <c r="F1113" s="98"/>
      <c r="G1113" s="98"/>
      <c r="H1113" s="98"/>
      <c r="I1113" s="98"/>
      <c r="J1113" s="99">
        <f>SUM(E1113:I1113)</f>
        <v>0</v>
      </c>
      <c r="K1113" s="116"/>
      <c r="L1113" s="35">
        <f t="shared" si="603"/>
        <v>0</v>
      </c>
      <c r="M1113" s="34">
        <f t="shared" si="603"/>
        <v>0</v>
      </c>
      <c r="N1113" s="34">
        <f t="shared" si="603"/>
        <v>0</v>
      </c>
      <c r="O1113" s="34">
        <f t="shared" si="603"/>
        <v>0</v>
      </c>
      <c r="P1113" s="269">
        <f t="shared" si="603"/>
        <v>0</v>
      </c>
      <c r="Q1113" s="279">
        <f>SUM(L1113:P1113)</f>
        <v>0</v>
      </c>
      <c r="R1113" s="38"/>
      <c r="S1113" s="116"/>
      <c r="T1113" s="50"/>
    </row>
    <row r="1114" spans="1:26" s="162" customFormat="1" x14ac:dyDescent="0.2">
      <c r="A1114" s="123" t="s">
        <v>1611</v>
      </c>
      <c r="B1114" s="152"/>
      <c r="C1114" s="153"/>
      <c r="D1114" s="155"/>
      <c r="E1114" s="97"/>
      <c r="F1114" s="98"/>
      <c r="G1114" s="98"/>
      <c r="H1114" s="98"/>
      <c r="I1114" s="98"/>
      <c r="J1114" s="99"/>
      <c r="K1114" s="208"/>
      <c r="L1114" s="161">
        <f t="shared" ref="L1114:Q1114" si="604">SUM(L1115:L1117)</f>
        <v>106500</v>
      </c>
      <c r="M1114" s="34">
        <f t="shared" si="604"/>
        <v>0</v>
      </c>
      <c r="N1114" s="34">
        <f t="shared" si="604"/>
        <v>0</v>
      </c>
      <c r="O1114" s="34">
        <f t="shared" si="604"/>
        <v>0</v>
      </c>
      <c r="P1114" s="269">
        <f t="shared" si="604"/>
        <v>0</v>
      </c>
      <c r="Q1114" s="279">
        <f t="shared" si="604"/>
        <v>106500</v>
      </c>
      <c r="R1114" s="198" t="s">
        <v>882</v>
      </c>
      <c r="S1114" s="197" t="s">
        <v>670</v>
      </c>
      <c r="T1114" s="154"/>
      <c r="U1114" s="653"/>
      <c r="V1114" s="572"/>
      <c r="W1114" s="572"/>
      <c r="X1114" s="572"/>
      <c r="Y1114" s="572"/>
      <c r="Z1114" s="572"/>
    </row>
    <row r="1115" spans="1:26" s="162" customFormat="1" x14ac:dyDescent="0.2">
      <c r="A1115" s="95">
        <v>2</v>
      </c>
      <c r="B1115" s="163" t="str">
        <f>IF(A1115&lt;&gt;0,INDEX(Coûts,'PA-Détails'!A1115, 2),)</f>
        <v>Assistance technique nationale (consultants)</v>
      </c>
      <c r="C1115" s="153"/>
      <c r="D1115" s="94" t="str">
        <f>IF(A1115&lt;&gt;0,INDEX(Coûts, 'PA-Détails'!A1115, 5),)</f>
        <v>Pers / j</v>
      </c>
      <c r="E1115" s="96">
        <v>30</v>
      </c>
      <c r="F1115" s="100"/>
      <c r="G1115" s="100"/>
      <c r="H1115" s="100"/>
      <c r="I1115" s="100"/>
      <c r="J1115" s="101">
        <f>SUM(E1115:I1115)</f>
        <v>30</v>
      </c>
      <c r="K1115" s="94">
        <f>IF(A1115&lt;&gt;0,INDEX(Coûts, 'PA-Détails'!A1115, 3),)</f>
        <v>300</v>
      </c>
      <c r="L1115" s="167">
        <f t="shared" ref="L1115:P1118" si="605">ROUND(+$K1115*E1115,0)</f>
        <v>9000</v>
      </c>
      <c r="M1115" s="168">
        <f t="shared" si="605"/>
        <v>0</v>
      </c>
      <c r="N1115" s="168">
        <f t="shared" si="605"/>
        <v>0</v>
      </c>
      <c r="O1115" s="168">
        <f t="shared" si="605"/>
        <v>0</v>
      </c>
      <c r="P1115" s="271">
        <f t="shared" si="605"/>
        <v>0</v>
      </c>
      <c r="Q1115" s="283">
        <f>SUM(L1115:P1115)</f>
        <v>9000</v>
      </c>
      <c r="R1115" s="169"/>
      <c r="S1115" s="94"/>
      <c r="T1115" s="153"/>
      <c r="U1115" s="653"/>
      <c r="V1115" s="572"/>
      <c r="W1115" s="572"/>
      <c r="X1115" s="572"/>
      <c r="Y1115" s="572"/>
      <c r="Z1115" s="572"/>
    </row>
    <row r="1116" spans="1:26" s="162" customFormat="1" x14ac:dyDescent="0.2">
      <c r="A1116" s="95">
        <v>5</v>
      </c>
      <c r="B1116" s="163" t="str">
        <f>IF(A1116&lt;&gt;0,INDEX(Coûts,'PA-Détails'!A1116, 2),)</f>
        <v>Atelier de validation</v>
      </c>
      <c r="C1116" s="153"/>
      <c r="D1116" s="94" t="str">
        <f>IF(A1116&lt;&gt;0,INDEX(Coûts, 'PA-Détails'!A1116, 5),)</f>
        <v>Pers / j</v>
      </c>
      <c r="E1116" s="96">
        <f>50</f>
        <v>50</v>
      </c>
      <c r="F1116" s="100"/>
      <c r="G1116" s="100"/>
      <c r="H1116" s="100"/>
      <c r="I1116" s="100"/>
      <c r="J1116" s="101">
        <f>SUM(E1116:I1116)</f>
        <v>50</v>
      </c>
      <c r="K1116" s="94">
        <f>IF(A1116&lt;&gt;0,INDEX(Coûts, 'PA-Détails'!A1116, 3),)</f>
        <v>50</v>
      </c>
      <c r="L1116" s="167">
        <f t="shared" si="605"/>
        <v>2500</v>
      </c>
      <c r="M1116" s="168">
        <f t="shared" si="605"/>
        <v>0</v>
      </c>
      <c r="N1116" s="168">
        <f t="shared" si="605"/>
        <v>0</v>
      </c>
      <c r="O1116" s="168">
        <f t="shared" si="605"/>
        <v>0</v>
      </c>
      <c r="P1116" s="271">
        <f t="shared" si="605"/>
        <v>0</v>
      </c>
      <c r="Q1116" s="283">
        <f>SUM(L1116:P1116)</f>
        <v>2500</v>
      </c>
      <c r="R1116" s="169"/>
      <c r="S1116" s="94"/>
      <c r="T1116" s="153"/>
      <c r="U1116" s="653"/>
      <c r="V1116" s="572"/>
      <c r="W1116" s="572"/>
      <c r="X1116" s="572"/>
      <c r="Y1116" s="572"/>
      <c r="Z1116" s="572"/>
    </row>
    <row r="1117" spans="1:26" s="162" customFormat="1" x14ac:dyDescent="0.2">
      <c r="A1117" s="95">
        <v>7</v>
      </c>
      <c r="B1117" s="108" t="str">
        <f>IF(A1117&lt;&gt;0,INDEX(Coûts,'PA-Détails'!A1117, 2),)</f>
        <v>Séminaire</v>
      </c>
      <c r="C1117" s="153"/>
      <c r="D1117" s="94" t="str">
        <f>IF(A1117&lt;&gt;0,INDEX(Coûts, 'PA-Détails'!A1117, 5),)</f>
        <v>Pers / j</v>
      </c>
      <c r="E1117" s="96">
        <v>500</v>
      </c>
      <c r="F1117" s="100"/>
      <c r="G1117" s="100"/>
      <c r="H1117" s="100"/>
      <c r="I1117" s="100"/>
      <c r="J1117" s="101">
        <f>SUM(E1117:I1117)</f>
        <v>500</v>
      </c>
      <c r="K1117" s="94">
        <f>IF(A1117&lt;&gt;0,INDEX(Coûts, 'PA-Détails'!A1117, 3),)</f>
        <v>190</v>
      </c>
      <c r="L1117" s="167">
        <f t="shared" si="605"/>
        <v>95000</v>
      </c>
      <c r="M1117" s="168">
        <f t="shared" si="605"/>
        <v>0</v>
      </c>
      <c r="N1117" s="168">
        <f t="shared" si="605"/>
        <v>0</v>
      </c>
      <c r="O1117" s="168">
        <f t="shared" si="605"/>
        <v>0</v>
      </c>
      <c r="P1117" s="271">
        <f t="shared" si="605"/>
        <v>0</v>
      </c>
      <c r="Q1117" s="283">
        <f>SUM(L1117:P1117)</f>
        <v>95000</v>
      </c>
      <c r="R1117" s="169"/>
      <c r="S1117" s="94"/>
      <c r="T1117" s="153"/>
      <c r="U1117" s="653"/>
      <c r="V1117" s="572"/>
      <c r="W1117" s="572"/>
      <c r="X1117" s="572"/>
      <c r="Y1117" s="572"/>
      <c r="Z1117" s="572"/>
    </row>
    <row r="1118" spans="1:26" x14ac:dyDescent="0.2">
      <c r="A1118" s="17" t="s">
        <v>619</v>
      </c>
      <c r="B1118" s="45"/>
      <c r="C1118" s="51"/>
      <c r="D1118" s="18"/>
      <c r="E1118" s="97"/>
      <c r="F1118" s="98"/>
      <c r="G1118" s="98"/>
      <c r="H1118" s="98"/>
      <c r="I1118" s="98"/>
      <c r="J1118" s="99">
        <f>SUM(E1118:I1118)</f>
        <v>0</v>
      </c>
      <c r="K1118" s="116"/>
      <c r="L1118" s="35">
        <f t="shared" si="605"/>
        <v>0</v>
      </c>
      <c r="M1118" s="34">
        <f t="shared" si="605"/>
        <v>0</v>
      </c>
      <c r="N1118" s="34">
        <f t="shared" si="605"/>
        <v>0</v>
      </c>
      <c r="O1118" s="34">
        <f t="shared" si="605"/>
        <v>0</v>
      </c>
      <c r="P1118" s="269">
        <f t="shared" si="605"/>
        <v>0</v>
      </c>
      <c r="Q1118" s="279">
        <f>SUM(L1118:P1118)</f>
        <v>0</v>
      </c>
      <c r="R1118" s="38"/>
      <c r="S1118" s="116"/>
      <c r="T1118" s="50"/>
    </row>
    <row r="1119" spans="1:26" s="162" customFormat="1" x14ac:dyDescent="0.2">
      <c r="A1119" s="123" t="s">
        <v>1612</v>
      </c>
      <c r="B1119" s="152"/>
      <c r="C1119" s="153"/>
      <c r="D1119" s="155"/>
      <c r="E1119" s="97"/>
      <c r="F1119" s="98"/>
      <c r="G1119" s="98"/>
      <c r="H1119" s="98"/>
      <c r="I1119" s="98"/>
      <c r="J1119" s="99"/>
      <c r="K1119" s="208"/>
      <c r="L1119" s="161">
        <f t="shared" ref="L1119:Q1119" si="606">SUM(L1120:L1122)</f>
        <v>13350</v>
      </c>
      <c r="M1119" s="34">
        <f t="shared" si="606"/>
        <v>0</v>
      </c>
      <c r="N1119" s="34">
        <f t="shared" si="606"/>
        <v>0</v>
      </c>
      <c r="O1119" s="34">
        <f t="shared" si="606"/>
        <v>0</v>
      </c>
      <c r="P1119" s="269">
        <f t="shared" si="606"/>
        <v>0</v>
      </c>
      <c r="Q1119" s="279">
        <f t="shared" si="606"/>
        <v>13350</v>
      </c>
      <c r="R1119" s="198" t="s">
        <v>882</v>
      </c>
      <c r="S1119" s="197" t="s">
        <v>663</v>
      </c>
      <c r="T1119" s="154"/>
      <c r="U1119" s="653"/>
      <c r="V1119" s="572"/>
      <c r="W1119" s="572"/>
      <c r="X1119" s="572"/>
      <c r="Y1119" s="572"/>
      <c r="Z1119" s="572"/>
    </row>
    <row r="1120" spans="1:26" x14ac:dyDescent="0.2">
      <c r="A1120" s="95">
        <v>2</v>
      </c>
      <c r="B1120" s="108" t="str">
        <f>IF(A1120&lt;&gt;0,INDEX(Coûts,'PA-Détails'!A1120, 2),)</f>
        <v>Assistance technique nationale (consultants)</v>
      </c>
      <c r="C1120" s="51"/>
      <c r="D1120" s="94" t="str">
        <f>IF(A1120&lt;&gt;0,INDEX(Coûts, 'PA-Détails'!A1120, 5),)</f>
        <v>Pers / j</v>
      </c>
      <c r="E1120" s="96">
        <f>1*30</f>
        <v>30</v>
      </c>
      <c r="F1120" s="100"/>
      <c r="G1120" s="100"/>
      <c r="H1120" s="100"/>
      <c r="I1120" s="100"/>
      <c r="J1120" s="101">
        <f>SUM(E1120:I1120)</f>
        <v>30</v>
      </c>
      <c r="K1120" s="115">
        <f>IF(A1120&lt;&gt;0,INDEX(Coûts, 'PA-Détails'!A1120, 3),)</f>
        <v>300</v>
      </c>
      <c r="L1120" s="37">
        <f t="shared" ref="L1120:P1122" si="607">ROUND(+$K1120*E1120,0)</f>
        <v>9000</v>
      </c>
      <c r="M1120" s="36">
        <f t="shared" si="607"/>
        <v>0</v>
      </c>
      <c r="N1120" s="36">
        <f t="shared" si="607"/>
        <v>0</v>
      </c>
      <c r="O1120" s="36">
        <f t="shared" si="607"/>
        <v>0</v>
      </c>
      <c r="P1120" s="268">
        <f t="shared" si="607"/>
        <v>0</v>
      </c>
      <c r="Q1120" s="281">
        <f>SUM(L1120:P1120)</f>
        <v>9000</v>
      </c>
      <c r="R1120" s="39"/>
      <c r="S1120" s="115"/>
      <c r="T1120" s="51"/>
    </row>
    <row r="1121" spans="1:26" x14ac:dyDescent="0.2">
      <c r="A1121" s="95">
        <v>11</v>
      </c>
      <c r="B1121" s="108" t="str">
        <f>IF(A1121&lt;&gt;0,INDEX(Coûts,'PA-Détails'!A1121, 2),)</f>
        <v>Atelier technique</v>
      </c>
      <c r="C1121" s="51"/>
      <c r="D1121" s="94" t="str">
        <f>IF(A1121&lt;&gt;0,INDEX(Coûts, 'PA-Détails'!A1121, 5),)</f>
        <v>Pers / j</v>
      </c>
      <c r="E1121" s="96">
        <f>2*15</f>
        <v>30</v>
      </c>
      <c r="F1121" s="100"/>
      <c r="G1121" s="100"/>
      <c r="H1121" s="100"/>
      <c r="I1121" s="100"/>
      <c r="J1121" s="101">
        <f>SUM(E1121:I1121)</f>
        <v>30</v>
      </c>
      <c r="K1121" s="115">
        <f>IF(A1121&lt;&gt;0,INDEX(Coûts, 'PA-Détails'!A1121, 3),)</f>
        <v>70</v>
      </c>
      <c r="L1121" s="37">
        <f t="shared" si="607"/>
        <v>2100</v>
      </c>
      <c r="M1121" s="36">
        <f t="shared" si="607"/>
        <v>0</v>
      </c>
      <c r="N1121" s="36">
        <f t="shared" si="607"/>
        <v>0</v>
      </c>
      <c r="O1121" s="36">
        <f t="shared" si="607"/>
        <v>0</v>
      </c>
      <c r="P1121" s="268">
        <f t="shared" si="607"/>
        <v>0</v>
      </c>
      <c r="Q1121" s="281">
        <f>SUM(L1121:P1121)</f>
        <v>2100</v>
      </c>
      <c r="R1121" s="39"/>
      <c r="S1121" s="115"/>
      <c r="T1121" s="51"/>
    </row>
    <row r="1122" spans="1:26" x14ac:dyDescent="0.2">
      <c r="A1122" s="95">
        <v>5</v>
      </c>
      <c r="B1122" s="108" t="str">
        <f>IF(A1122&lt;&gt;0,INDEX(Coûts,'PA-Détails'!A1122, 2),)</f>
        <v>Atelier de validation</v>
      </c>
      <c r="C1122" s="51"/>
      <c r="D1122" s="94" t="str">
        <f>IF(A1122&lt;&gt;0,INDEX(Coûts, 'PA-Détails'!A1122, 5),)</f>
        <v>Pers / j</v>
      </c>
      <c r="E1122" s="96">
        <f>1*45</f>
        <v>45</v>
      </c>
      <c r="F1122" s="100"/>
      <c r="G1122" s="100"/>
      <c r="H1122" s="100"/>
      <c r="I1122" s="100"/>
      <c r="J1122" s="101">
        <f>SUM(E1122:I1122)</f>
        <v>45</v>
      </c>
      <c r="K1122" s="115">
        <f>IF(A1122&lt;&gt;0,INDEX(Coûts, 'PA-Détails'!A1122, 3),)</f>
        <v>50</v>
      </c>
      <c r="L1122" s="37">
        <f t="shared" si="607"/>
        <v>2250</v>
      </c>
      <c r="M1122" s="36">
        <f t="shared" si="607"/>
        <v>0</v>
      </c>
      <c r="N1122" s="36">
        <f t="shared" si="607"/>
        <v>0</v>
      </c>
      <c r="O1122" s="36">
        <f t="shared" si="607"/>
        <v>0</v>
      </c>
      <c r="P1122" s="268">
        <f t="shared" si="607"/>
        <v>0</v>
      </c>
      <c r="Q1122" s="281">
        <f>SUM(L1122:P1122)</f>
        <v>2250</v>
      </c>
      <c r="R1122" s="39"/>
      <c r="S1122" s="115"/>
      <c r="T1122" s="51"/>
    </row>
    <row r="1123" spans="1:26" s="162" customFormat="1" x14ac:dyDescent="0.2">
      <c r="A1123" s="123" t="s">
        <v>1613</v>
      </c>
      <c r="B1123" s="152"/>
      <c r="C1123" s="153"/>
      <c r="D1123" s="155"/>
      <c r="E1123" s="97"/>
      <c r="F1123" s="98"/>
      <c r="G1123" s="98"/>
      <c r="H1123" s="98"/>
      <c r="I1123" s="98"/>
      <c r="J1123" s="99"/>
      <c r="K1123" s="208"/>
      <c r="L1123" s="161">
        <f t="shared" ref="L1123:Q1123" si="608">SUM(L1124:L1126)</f>
        <v>0</v>
      </c>
      <c r="M1123" s="34">
        <f t="shared" si="608"/>
        <v>21000</v>
      </c>
      <c r="N1123" s="34">
        <f t="shared" si="608"/>
        <v>0</v>
      </c>
      <c r="O1123" s="34">
        <f t="shared" si="608"/>
        <v>0</v>
      </c>
      <c r="P1123" s="269">
        <f t="shared" si="608"/>
        <v>0</v>
      </c>
      <c r="Q1123" s="279">
        <f t="shared" si="608"/>
        <v>21000</v>
      </c>
      <c r="R1123" s="198" t="s">
        <v>882</v>
      </c>
      <c r="S1123" s="197" t="s">
        <v>663</v>
      </c>
      <c r="T1123" s="154"/>
      <c r="U1123" s="653"/>
      <c r="V1123" s="572"/>
      <c r="W1123" s="572"/>
      <c r="X1123" s="572"/>
      <c r="Y1123" s="572"/>
      <c r="Z1123" s="572"/>
    </row>
    <row r="1124" spans="1:26" x14ac:dyDescent="0.2">
      <c r="A1124" s="95">
        <v>2</v>
      </c>
      <c r="B1124" s="108" t="str">
        <f>IF(A1124&lt;&gt;0,INDEX(Coûts,'PA-Détails'!A1124, 2),)</f>
        <v>Assistance technique nationale (consultants)</v>
      </c>
      <c r="C1124" s="51"/>
      <c r="D1124" s="94" t="str">
        <f>IF(A1124&lt;&gt;0,INDEX(Coûts, 'PA-Détails'!A1124, 5),)</f>
        <v>Pers / j</v>
      </c>
      <c r="E1124" s="96"/>
      <c r="F1124" s="100">
        <f>1*30</f>
        <v>30</v>
      </c>
      <c r="G1124" s="100"/>
      <c r="H1124" s="100"/>
      <c r="I1124" s="100"/>
      <c r="J1124" s="101">
        <f t="shared" ref="J1124:J1155" si="609">SUM(E1124:I1124)</f>
        <v>30</v>
      </c>
      <c r="K1124" s="115">
        <f>IF(A1124&lt;&gt;0,INDEX(Coûts, 'PA-Détails'!A1124, 3),)</f>
        <v>300</v>
      </c>
      <c r="L1124" s="37">
        <f t="shared" ref="L1124:P1127" si="610">ROUND(+$K1124*E1124,0)</f>
        <v>0</v>
      </c>
      <c r="M1124" s="36">
        <f t="shared" si="610"/>
        <v>9000</v>
      </c>
      <c r="N1124" s="36">
        <f t="shared" si="610"/>
        <v>0</v>
      </c>
      <c r="O1124" s="36">
        <f t="shared" si="610"/>
        <v>0</v>
      </c>
      <c r="P1124" s="268">
        <f t="shared" si="610"/>
        <v>0</v>
      </c>
      <c r="Q1124" s="281">
        <f>SUM(L1124:P1124)</f>
        <v>9000</v>
      </c>
      <c r="R1124" s="39"/>
      <c r="S1124" s="115"/>
      <c r="T1124" s="51"/>
    </row>
    <row r="1125" spans="1:26" x14ac:dyDescent="0.2">
      <c r="A1125" s="95">
        <v>12</v>
      </c>
      <c r="B1125" s="108" t="str">
        <f>IF(A1125&lt;&gt;0,INDEX(Coûts,'PA-Détails'!A1125, 2),)</f>
        <v>Formation - Action et Formation de formateurs</v>
      </c>
      <c r="C1125" s="51"/>
      <c r="D1125" s="94" t="str">
        <f>IF(A1125&lt;&gt;0,INDEX(Coûts, 'PA-Détails'!A1125, 5),)</f>
        <v>Pers / j</v>
      </c>
      <c r="E1125" s="96"/>
      <c r="F1125" s="100">
        <v>40</v>
      </c>
      <c r="G1125" s="100"/>
      <c r="H1125" s="100"/>
      <c r="I1125" s="100"/>
      <c r="J1125" s="101">
        <f t="shared" si="609"/>
        <v>40</v>
      </c>
      <c r="K1125" s="115">
        <f>IF(A1125&lt;&gt;0,INDEX(Coûts, 'PA-Détails'!A1125, 3),)</f>
        <v>150</v>
      </c>
      <c r="L1125" s="37">
        <f t="shared" si="610"/>
        <v>0</v>
      </c>
      <c r="M1125" s="36">
        <f t="shared" si="610"/>
        <v>6000</v>
      </c>
      <c r="N1125" s="36">
        <f t="shared" si="610"/>
        <v>0</v>
      </c>
      <c r="O1125" s="36">
        <f t="shared" si="610"/>
        <v>0</v>
      </c>
      <c r="P1125" s="268">
        <f t="shared" si="610"/>
        <v>0</v>
      </c>
      <c r="Q1125" s="281">
        <f>SUM(L1125:P1125)</f>
        <v>6000</v>
      </c>
      <c r="R1125" s="39"/>
      <c r="S1125" s="115"/>
      <c r="T1125" s="51"/>
    </row>
    <row r="1126" spans="1:26" x14ac:dyDescent="0.2">
      <c r="A1126" s="95">
        <v>13</v>
      </c>
      <c r="B1126" s="108" t="str">
        <f>IF(A1126&lt;&gt;0,INDEX(Coûts,'PA-Détails'!A1126, 2),)</f>
        <v>Formation au niveau local</v>
      </c>
      <c r="C1126" s="51"/>
      <c r="D1126" s="94" t="str">
        <f>IF(A1126&lt;&gt;0,INDEX(Coûts, 'PA-Détails'!A1126, 5),)</f>
        <v>Pers / j</v>
      </c>
      <c r="E1126" s="96"/>
      <c r="F1126" s="100">
        <v>400</v>
      </c>
      <c r="G1126" s="100"/>
      <c r="H1126" s="100"/>
      <c r="I1126" s="100"/>
      <c r="J1126" s="101">
        <f t="shared" si="609"/>
        <v>400</v>
      </c>
      <c r="K1126" s="115">
        <f>IF(A1126&lt;&gt;0,INDEX(Coûts, 'PA-Détails'!A1126, 3),)</f>
        <v>15</v>
      </c>
      <c r="L1126" s="37">
        <f t="shared" si="610"/>
        <v>0</v>
      </c>
      <c r="M1126" s="36">
        <f t="shared" si="610"/>
        <v>6000</v>
      </c>
      <c r="N1126" s="36">
        <f t="shared" si="610"/>
        <v>0</v>
      </c>
      <c r="O1126" s="36">
        <f t="shared" si="610"/>
        <v>0</v>
      </c>
      <c r="P1126" s="268">
        <f t="shared" si="610"/>
        <v>0</v>
      </c>
      <c r="Q1126" s="281">
        <f>SUM(L1126:P1126)</f>
        <v>6000</v>
      </c>
      <c r="R1126" s="39"/>
      <c r="S1126" s="115"/>
      <c r="T1126" s="51"/>
    </row>
    <row r="1127" spans="1:26" x14ac:dyDescent="0.2">
      <c r="A1127" s="17" t="s">
        <v>1006</v>
      </c>
      <c r="B1127" s="45"/>
      <c r="C1127" s="51" t="s">
        <v>621</v>
      </c>
      <c r="D1127" s="18"/>
      <c r="E1127" s="97"/>
      <c r="F1127" s="98"/>
      <c r="G1127" s="98"/>
      <c r="H1127" s="98"/>
      <c r="I1127" s="98"/>
      <c r="J1127" s="99">
        <f t="shared" si="609"/>
        <v>0</v>
      </c>
      <c r="K1127" s="116"/>
      <c r="L1127" s="35">
        <f t="shared" si="610"/>
        <v>0</v>
      </c>
      <c r="M1127" s="34">
        <f t="shared" si="610"/>
        <v>0</v>
      </c>
      <c r="N1127" s="34">
        <f t="shared" si="610"/>
        <v>0</v>
      </c>
      <c r="O1127" s="34">
        <f t="shared" si="610"/>
        <v>0</v>
      </c>
      <c r="P1127" s="269">
        <f t="shared" si="610"/>
        <v>0</v>
      </c>
      <c r="Q1127" s="279">
        <f>SUM(L1127:P1127)</f>
        <v>0</v>
      </c>
      <c r="R1127" s="38"/>
      <c r="S1127" s="116"/>
      <c r="T1127" s="50"/>
    </row>
    <row r="1128" spans="1:26" x14ac:dyDescent="0.2">
      <c r="A1128" s="20" t="s">
        <v>1007</v>
      </c>
      <c r="B1128" s="149"/>
      <c r="C1128" s="51"/>
      <c r="D1128" s="21"/>
      <c r="E1128" s="96"/>
      <c r="F1128" s="100"/>
      <c r="G1128" s="100"/>
      <c r="H1128" s="100"/>
      <c r="I1128" s="100"/>
      <c r="J1128" s="101">
        <f t="shared" si="609"/>
        <v>0</v>
      </c>
      <c r="K1128" s="115"/>
      <c r="L1128" s="161">
        <f t="shared" ref="L1128:Q1128" si="611">SUM(L1129:L1132)</f>
        <v>331500</v>
      </c>
      <c r="M1128" s="34">
        <f t="shared" si="611"/>
        <v>369500</v>
      </c>
      <c r="N1128" s="34">
        <f t="shared" si="611"/>
        <v>0</v>
      </c>
      <c r="O1128" s="34">
        <f t="shared" si="611"/>
        <v>0</v>
      </c>
      <c r="P1128" s="269">
        <f t="shared" si="611"/>
        <v>0</v>
      </c>
      <c r="Q1128" s="279">
        <f t="shared" si="611"/>
        <v>701000</v>
      </c>
      <c r="R1128" s="198" t="s">
        <v>882</v>
      </c>
      <c r="S1128" s="197" t="s">
        <v>663</v>
      </c>
      <c r="T1128" s="51"/>
    </row>
    <row r="1129" spans="1:26" x14ac:dyDescent="0.2">
      <c r="A1129" s="95">
        <v>1</v>
      </c>
      <c r="B1129" s="108" t="str">
        <f>IF(A1129&lt;&gt;0,INDEX(Coûts,'PA-Détails'!A1129, 2),)</f>
        <v>Assistance technique internationale (consultants)</v>
      </c>
      <c r="C1129" s="51"/>
      <c r="D1129" s="94" t="str">
        <f>IF(A1129&lt;&gt;0,INDEX(Coûts, 'PA-Détails'!A1129, 5),)</f>
        <v>Pers / j</v>
      </c>
      <c r="E1129" s="96">
        <v>10</v>
      </c>
      <c r="F1129" s="100">
        <v>10</v>
      </c>
      <c r="G1129" s="100"/>
      <c r="H1129" s="100"/>
      <c r="I1129" s="100"/>
      <c r="J1129" s="101">
        <f t="shared" si="609"/>
        <v>20</v>
      </c>
      <c r="K1129" s="115">
        <f>IF(A1129&lt;&gt;0,INDEX(Coûts, 'PA-Détails'!A1129, 3),)</f>
        <v>1150</v>
      </c>
      <c r="L1129" s="37">
        <f t="shared" ref="L1129:P1132" si="612">ROUND(+$K1129*E1129,0)</f>
        <v>11500</v>
      </c>
      <c r="M1129" s="36">
        <f t="shared" si="612"/>
        <v>11500</v>
      </c>
      <c r="N1129" s="36">
        <f t="shared" si="612"/>
        <v>0</v>
      </c>
      <c r="O1129" s="36">
        <f t="shared" si="612"/>
        <v>0</v>
      </c>
      <c r="P1129" s="268">
        <f t="shared" si="612"/>
        <v>0</v>
      </c>
      <c r="Q1129" s="281">
        <f>SUM(L1129:P1129)</f>
        <v>23000</v>
      </c>
      <c r="R1129" s="39"/>
      <c r="S1129" s="115"/>
      <c r="T1129" s="51"/>
    </row>
    <row r="1130" spans="1:26" x14ac:dyDescent="0.2">
      <c r="A1130" s="95">
        <v>2</v>
      </c>
      <c r="B1130" s="108" t="str">
        <f>IF(A1130&lt;&gt;0,INDEX(Coûts,'PA-Détails'!A1130, 2),)</f>
        <v>Assistance technique nationale (consultants)</v>
      </c>
      <c r="C1130" s="51"/>
      <c r="D1130" s="94" t="str">
        <f>IF(A1130&lt;&gt;0,INDEX(Coûts, 'PA-Détails'!A1130, 5),)</f>
        <v>Pers / j</v>
      </c>
      <c r="E1130" s="96">
        <f>400*5/2</f>
        <v>1000</v>
      </c>
      <c r="F1130" s="100">
        <f>E1130</f>
        <v>1000</v>
      </c>
      <c r="G1130" s="100"/>
      <c r="H1130" s="100"/>
      <c r="I1130" s="100"/>
      <c r="J1130" s="101">
        <f t="shared" si="609"/>
        <v>2000</v>
      </c>
      <c r="K1130" s="115">
        <f>IF(A1130&lt;&gt;0,INDEX(Coûts, 'PA-Détails'!A1130, 3),)</f>
        <v>300</v>
      </c>
      <c r="L1130" s="37">
        <f t="shared" si="612"/>
        <v>300000</v>
      </c>
      <c r="M1130" s="36">
        <f t="shared" si="612"/>
        <v>300000</v>
      </c>
      <c r="N1130" s="36">
        <f t="shared" si="612"/>
        <v>0</v>
      </c>
      <c r="O1130" s="36">
        <f t="shared" si="612"/>
        <v>0</v>
      </c>
      <c r="P1130" s="268">
        <f t="shared" si="612"/>
        <v>0</v>
      </c>
      <c r="Q1130" s="281">
        <f>SUM(L1130:P1130)</f>
        <v>600000</v>
      </c>
      <c r="R1130" s="39"/>
      <c r="S1130" s="115"/>
      <c r="T1130" s="51"/>
    </row>
    <row r="1131" spans="1:26" x14ac:dyDescent="0.2">
      <c r="A1131" s="95">
        <v>5</v>
      </c>
      <c r="B1131" s="108" t="str">
        <f>IF(A1131&lt;&gt;0,INDEX(Coûts,'PA-Détails'!A1131, 2),)</f>
        <v>Atelier de validation</v>
      </c>
      <c r="C1131" s="51"/>
      <c r="D1131" s="94" t="str">
        <f>IF(A1131&lt;&gt;0,INDEX(Coûts, 'PA-Détails'!A1131, 5),)</f>
        <v>Pers / j</v>
      </c>
      <c r="E1131" s="96">
        <v>400</v>
      </c>
      <c r="F1131" s="100">
        <v>400</v>
      </c>
      <c r="G1131" s="100"/>
      <c r="H1131" s="100"/>
      <c r="I1131" s="100"/>
      <c r="J1131" s="101">
        <f t="shared" si="609"/>
        <v>800</v>
      </c>
      <c r="K1131" s="115">
        <f>IF(A1131&lt;&gt;0,INDEX(Coûts, 'PA-Détails'!A1131, 3),)</f>
        <v>50</v>
      </c>
      <c r="L1131" s="37">
        <f t="shared" si="612"/>
        <v>20000</v>
      </c>
      <c r="M1131" s="36">
        <f t="shared" si="612"/>
        <v>20000</v>
      </c>
      <c r="N1131" s="36">
        <f t="shared" si="612"/>
        <v>0</v>
      </c>
      <c r="O1131" s="36">
        <f t="shared" si="612"/>
        <v>0</v>
      </c>
      <c r="P1131" s="268">
        <f t="shared" si="612"/>
        <v>0</v>
      </c>
      <c r="Q1131" s="281">
        <f>SUM(L1131:P1131)</f>
        <v>40000</v>
      </c>
      <c r="R1131" s="39"/>
      <c r="S1131" s="115"/>
      <c r="T1131" s="51"/>
    </row>
    <row r="1132" spans="1:26" x14ac:dyDescent="0.2">
      <c r="A1132" s="95">
        <v>7</v>
      </c>
      <c r="B1132" s="108" t="str">
        <f>IF(A1132&lt;&gt;0,INDEX(Coûts,'PA-Détails'!A1132, 2),)</f>
        <v>Séminaire</v>
      </c>
      <c r="C1132" s="51"/>
      <c r="D1132" s="94" t="str">
        <f>IF(A1132&lt;&gt;0,INDEX(Coûts, 'PA-Détails'!A1132, 5),)</f>
        <v>Pers / j</v>
      </c>
      <c r="E1132" s="96"/>
      <c r="F1132" s="100">
        <v>200</v>
      </c>
      <c r="G1132" s="100"/>
      <c r="H1132" s="100"/>
      <c r="I1132" s="100"/>
      <c r="J1132" s="101">
        <f t="shared" si="609"/>
        <v>200</v>
      </c>
      <c r="K1132" s="115">
        <f>IF(A1132&lt;&gt;0,INDEX(Coûts, 'PA-Détails'!A1132, 3),)</f>
        <v>190</v>
      </c>
      <c r="L1132" s="37">
        <f t="shared" si="612"/>
        <v>0</v>
      </c>
      <c r="M1132" s="36">
        <f t="shared" si="612"/>
        <v>38000</v>
      </c>
      <c r="N1132" s="36">
        <f t="shared" si="612"/>
        <v>0</v>
      </c>
      <c r="O1132" s="36">
        <f t="shared" si="612"/>
        <v>0</v>
      </c>
      <c r="P1132" s="268">
        <f t="shared" si="612"/>
        <v>0</v>
      </c>
      <c r="Q1132" s="281">
        <f>SUM(L1132:P1132)</f>
        <v>38000</v>
      </c>
      <c r="R1132" s="39"/>
      <c r="S1132" s="115"/>
      <c r="T1132" s="51"/>
    </row>
    <row r="1133" spans="1:26" x14ac:dyDescent="0.2">
      <c r="A1133" s="20" t="s">
        <v>1008</v>
      </c>
      <c r="B1133" s="149"/>
      <c r="C1133" s="51"/>
      <c r="D1133" s="21"/>
      <c r="E1133" s="96"/>
      <c r="F1133" s="100"/>
      <c r="G1133" s="100"/>
      <c r="H1133" s="100"/>
      <c r="I1133" s="100"/>
      <c r="J1133" s="101">
        <f t="shared" si="609"/>
        <v>0</v>
      </c>
      <c r="K1133" s="115"/>
      <c r="L1133" s="161">
        <f t="shared" ref="L1133:Q1133" si="613">SUM(L1134:L1136)</f>
        <v>0</v>
      </c>
      <c r="M1133" s="34">
        <f t="shared" si="613"/>
        <v>954500</v>
      </c>
      <c r="N1133" s="34">
        <f t="shared" si="613"/>
        <v>936000</v>
      </c>
      <c r="O1133" s="34">
        <f t="shared" si="613"/>
        <v>936000</v>
      </c>
      <c r="P1133" s="269">
        <f t="shared" si="613"/>
        <v>936000</v>
      </c>
      <c r="Q1133" s="279">
        <f t="shared" si="613"/>
        <v>3762500</v>
      </c>
      <c r="R1133" s="196" t="s">
        <v>812</v>
      </c>
      <c r="S1133" s="197" t="s">
        <v>663</v>
      </c>
      <c r="T1133" s="51"/>
    </row>
    <row r="1134" spans="1:26" x14ac:dyDescent="0.2">
      <c r="A1134" s="95">
        <v>1</v>
      </c>
      <c r="B1134" s="108" t="str">
        <f>IF(A1134&lt;&gt;0,INDEX(Coûts,'PA-Détails'!A1134, 2),)</f>
        <v>Assistance technique internationale (consultants)</v>
      </c>
      <c r="C1134" s="51"/>
      <c r="D1134" s="94" t="str">
        <f>IF(A1134&lt;&gt;0,INDEX(Coûts, 'PA-Détails'!A1134, 5),)</f>
        <v>Pers / j</v>
      </c>
      <c r="E1134" s="96"/>
      <c r="F1134" s="100">
        <v>10</v>
      </c>
      <c r="G1134" s="100"/>
      <c r="H1134" s="100"/>
      <c r="I1134" s="100"/>
      <c r="J1134" s="101">
        <f t="shared" si="609"/>
        <v>10</v>
      </c>
      <c r="K1134" s="115">
        <f>IF(A1134&lt;&gt;0,INDEX(Coûts, 'PA-Détails'!A1134, 3),)</f>
        <v>1150</v>
      </c>
      <c r="L1134" s="37">
        <f t="shared" ref="L1134:P1136" si="614">ROUND(+$K1134*E1134,0)</f>
        <v>0</v>
      </c>
      <c r="M1134" s="36">
        <f t="shared" si="614"/>
        <v>11500</v>
      </c>
      <c r="N1134" s="36">
        <f t="shared" si="614"/>
        <v>0</v>
      </c>
      <c r="O1134" s="36">
        <f t="shared" si="614"/>
        <v>0</v>
      </c>
      <c r="P1134" s="268">
        <f t="shared" si="614"/>
        <v>0</v>
      </c>
      <c r="Q1134" s="281">
        <f>SUM(L1134:P1134)</f>
        <v>11500</v>
      </c>
      <c r="R1134" s="39"/>
      <c r="S1134" s="115"/>
      <c r="T1134" s="51"/>
    </row>
    <row r="1135" spans="1:26" x14ac:dyDescent="0.2">
      <c r="A1135" s="95">
        <v>11</v>
      </c>
      <c r="B1135" s="108" t="str">
        <f>IF(A1135&lt;&gt;0,INDEX(Coûts,'PA-Détails'!A1135, 2),)</f>
        <v>Atelier technique</v>
      </c>
      <c r="C1135" s="51"/>
      <c r="D1135" s="94" t="str">
        <f>IF(A1135&lt;&gt;0,INDEX(Coûts, 'PA-Détails'!A1135, 5),)</f>
        <v>Pers / j</v>
      </c>
      <c r="E1135" s="96"/>
      <c r="F1135" s="100">
        <v>100</v>
      </c>
      <c r="G1135" s="100"/>
      <c r="H1135" s="100"/>
      <c r="I1135" s="100"/>
      <c r="J1135" s="101">
        <f t="shared" si="609"/>
        <v>100</v>
      </c>
      <c r="K1135" s="115">
        <f>IF(A1135&lt;&gt;0,INDEX(Coûts, 'PA-Détails'!A1135, 3),)</f>
        <v>70</v>
      </c>
      <c r="L1135" s="37">
        <f t="shared" si="614"/>
        <v>0</v>
      </c>
      <c r="M1135" s="36">
        <f t="shared" si="614"/>
        <v>7000</v>
      </c>
      <c r="N1135" s="36">
        <f t="shared" si="614"/>
        <v>0</v>
      </c>
      <c r="O1135" s="36">
        <f t="shared" si="614"/>
        <v>0</v>
      </c>
      <c r="P1135" s="268">
        <f t="shared" si="614"/>
        <v>0</v>
      </c>
      <c r="Q1135" s="281">
        <f>SUM(L1135:P1135)</f>
        <v>7000</v>
      </c>
      <c r="R1135" s="39"/>
      <c r="S1135" s="115"/>
      <c r="T1135" s="51"/>
    </row>
    <row r="1136" spans="1:26" x14ac:dyDescent="0.2">
      <c r="A1136" s="95">
        <v>221</v>
      </c>
      <c r="B1136" s="108" t="str">
        <f>IF(A1136&lt;&gt;0,INDEX(Coûts,'PA-Détails'!A1136, 2),)</f>
        <v>Mission en province des services centraux</v>
      </c>
      <c r="C1136" s="51"/>
      <c r="D1136" s="94" t="str">
        <f>IF(A1136&lt;&gt;0,INDEX(Coûts, 'PA-Détails'!A1136, 5),)</f>
        <v>P/j</v>
      </c>
      <c r="E1136" s="96"/>
      <c r="F1136" s="100">
        <f>10*15*26</f>
        <v>3900</v>
      </c>
      <c r="G1136" s="100">
        <f>10*15*26</f>
        <v>3900</v>
      </c>
      <c r="H1136" s="100">
        <f>10*15*26</f>
        <v>3900</v>
      </c>
      <c r="I1136" s="100">
        <f>10*15*26</f>
        <v>3900</v>
      </c>
      <c r="J1136" s="101">
        <f t="shared" si="609"/>
        <v>15600</v>
      </c>
      <c r="K1136" s="115">
        <f>IF(A1136&lt;&gt;0,INDEX(Coûts, 'PA-Détails'!A1136, 3),)</f>
        <v>240</v>
      </c>
      <c r="L1136" s="37">
        <f t="shared" si="614"/>
        <v>0</v>
      </c>
      <c r="M1136" s="36">
        <f t="shared" si="614"/>
        <v>936000</v>
      </c>
      <c r="N1136" s="36">
        <f t="shared" si="614"/>
        <v>936000</v>
      </c>
      <c r="O1136" s="36">
        <f t="shared" si="614"/>
        <v>936000</v>
      </c>
      <c r="P1136" s="268">
        <f t="shared" si="614"/>
        <v>936000</v>
      </c>
      <c r="Q1136" s="281">
        <f>SUM(L1136:P1136)</f>
        <v>3744000</v>
      </c>
      <c r="R1136" s="39"/>
      <c r="S1136" s="115"/>
      <c r="T1136" s="51"/>
    </row>
    <row r="1137" spans="1:20" x14ac:dyDescent="0.2">
      <c r="A1137" s="170" t="s">
        <v>1009</v>
      </c>
      <c r="B1137" s="171"/>
      <c r="C1137" s="51"/>
      <c r="D1137" s="21"/>
      <c r="E1137" s="96"/>
      <c r="F1137" s="100"/>
      <c r="G1137" s="100"/>
      <c r="H1137" s="100"/>
      <c r="I1137" s="100"/>
      <c r="J1137" s="101">
        <f t="shared" si="609"/>
        <v>0</v>
      </c>
      <c r="K1137" s="115"/>
      <c r="L1137" s="161">
        <f t="shared" ref="L1137:Q1137" si="615">SUM(L1138:L1139)</f>
        <v>0</v>
      </c>
      <c r="M1137" s="157">
        <f t="shared" si="615"/>
        <v>748350</v>
      </c>
      <c r="N1137" s="157">
        <f t="shared" si="615"/>
        <v>748350</v>
      </c>
      <c r="O1137" s="157">
        <f t="shared" si="615"/>
        <v>0</v>
      </c>
      <c r="P1137" s="270">
        <f t="shared" si="615"/>
        <v>0</v>
      </c>
      <c r="Q1137" s="284">
        <f t="shared" si="615"/>
        <v>1496700</v>
      </c>
      <c r="R1137" s="198" t="s">
        <v>882</v>
      </c>
      <c r="S1137" s="197" t="s">
        <v>663</v>
      </c>
      <c r="T1137" s="51"/>
    </row>
    <row r="1138" spans="1:20" x14ac:dyDescent="0.2">
      <c r="A1138" s="95">
        <v>11</v>
      </c>
      <c r="B1138" s="108" t="str">
        <f>IF(A1138&lt;&gt;0,INDEX(Coûts,'PA-Détails'!A1138, 2),)</f>
        <v>Atelier technique</v>
      </c>
      <c r="C1138" s="51"/>
      <c r="D1138" s="94" t="str">
        <f>IF(A1138&lt;&gt;0,INDEX(Coûts, 'PA-Détails'!A1138, 5),)</f>
        <v>Pers / j</v>
      </c>
      <c r="E1138" s="96"/>
      <c r="F1138" s="100">
        <f>7*15</f>
        <v>105</v>
      </c>
      <c r="G1138" s="100">
        <f>7*15</f>
        <v>105</v>
      </c>
      <c r="H1138" s="100"/>
      <c r="I1138" s="100"/>
      <c r="J1138" s="101">
        <f t="shared" si="609"/>
        <v>210</v>
      </c>
      <c r="K1138" s="115">
        <f>IF(A1138&lt;&gt;0,INDEX(Coûts, 'PA-Détails'!A1138, 3),)</f>
        <v>70</v>
      </c>
      <c r="L1138" s="37">
        <f t="shared" ref="L1138:P1139" si="616">ROUND(+$K1138*E1138,0)</f>
        <v>0</v>
      </c>
      <c r="M1138" s="36">
        <f t="shared" si="616"/>
        <v>7350</v>
      </c>
      <c r="N1138" s="36">
        <f t="shared" si="616"/>
        <v>7350</v>
      </c>
      <c r="O1138" s="36">
        <f t="shared" si="616"/>
        <v>0</v>
      </c>
      <c r="P1138" s="268">
        <f t="shared" si="616"/>
        <v>0</v>
      </c>
      <c r="Q1138" s="281">
        <f>SUM(L1138:P1138)</f>
        <v>14700</v>
      </c>
      <c r="R1138" s="39"/>
      <c r="S1138" s="115"/>
      <c r="T1138" s="51"/>
    </row>
    <row r="1139" spans="1:20" x14ac:dyDescent="0.2">
      <c r="A1139" s="95">
        <v>7</v>
      </c>
      <c r="B1139" s="108" t="str">
        <f>IF(A1139&lt;&gt;0,INDEX(Coûts,'PA-Détails'!A1139, 2),)</f>
        <v>Séminaire</v>
      </c>
      <c r="C1139" s="51"/>
      <c r="D1139" s="94" t="str">
        <f>IF(A1139&lt;&gt;0,INDEX(Coûts, 'PA-Détails'!A1139, 5),)</f>
        <v>Pers / j</v>
      </c>
      <c r="E1139" s="96"/>
      <c r="F1139" s="100">
        <f>10*15*26</f>
        <v>3900</v>
      </c>
      <c r="G1139" s="100">
        <f>10*15*26</f>
        <v>3900</v>
      </c>
      <c r="H1139" s="100"/>
      <c r="I1139" s="100"/>
      <c r="J1139" s="101">
        <f t="shared" si="609"/>
        <v>7800</v>
      </c>
      <c r="K1139" s="115">
        <f>IF(A1139&lt;&gt;0,INDEX(Coûts, 'PA-Détails'!A1139, 3),)</f>
        <v>190</v>
      </c>
      <c r="L1139" s="37">
        <f t="shared" si="616"/>
        <v>0</v>
      </c>
      <c r="M1139" s="36">
        <f t="shared" si="616"/>
        <v>741000</v>
      </c>
      <c r="N1139" s="36">
        <f t="shared" si="616"/>
        <v>741000</v>
      </c>
      <c r="O1139" s="36">
        <f t="shared" si="616"/>
        <v>0</v>
      </c>
      <c r="P1139" s="268">
        <f t="shared" si="616"/>
        <v>0</v>
      </c>
      <c r="Q1139" s="281">
        <f>SUM(L1139:P1139)</f>
        <v>1482000</v>
      </c>
      <c r="R1139" s="39"/>
      <c r="S1139" s="115"/>
      <c r="T1139" s="51"/>
    </row>
    <row r="1140" spans="1:20" x14ac:dyDescent="0.2">
      <c r="A1140" s="170" t="s">
        <v>1122</v>
      </c>
      <c r="B1140" s="171"/>
      <c r="C1140" s="51"/>
      <c r="D1140" s="21"/>
      <c r="E1140" s="96"/>
      <c r="F1140" s="100"/>
      <c r="G1140" s="100"/>
      <c r="H1140" s="100"/>
      <c r="I1140" s="100"/>
      <c r="J1140" s="101">
        <f t="shared" si="609"/>
        <v>0</v>
      </c>
      <c r="K1140" s="115"/>
      <c r="L1140" s="161">
        <f t="shared" ref="L1140:Q1140" si="617">SUM(L1141:L1143)</f>
        <v>0</v>
      </c>
      <c r="M1140" s="34">
        <f t="shared" si="617"/>
        <v>161500</v>
      </c>
      <c r="N1140" s="34">
        <f t="shared" si="617"/>
        <v>0</v>
      </c>
      <c r="O1140" s="34">
        <f t="shared" si="617"/>
        <v>0</v>
      </c>
      <c r="P1140" s="269">
        <f t="shared" si="617"/>
        <v>0</v>
      </c>
      <c r="Q1140" s="279">
        <f t="shared" si="617"/>
        <v>161500</v>
      </c>
      <c r="R1140" s="198" t="s">
        <v>882</v>
      </c>
      <c r="S1140" s="197" t="s">
        <v>663</v>
      </c>
      <c r="T1140" s="51"/>
    </row>
    <row r="1141" spans="1:20" x14ac:dyDescent="0.2">
      <c r="A1141" s="95">
        <v>2</v>
      </c>
      <c r="B1141" s="108" t="str">
        <f>IF(A1141&lt;&gt;0,INDEX(Coûts,'PA-Détails'!A1141, 2),)</f>
        <v>Assistance technique nationale (consultants)</v>
      </c>
      <c r="C1141" s="51"/>
      <c r="D1141" s="94" t="str">
        <f>IF(A1141&lt;&gt;0,INDEX(Coûts, 'PA-Détails'!A1141, 5),)</f>
        <v>Pers / j</v>
      </c>
      <c r="E1141" s="96"/>
      <c r="F1141" s="100">
        <v>20</v>
      </c>
      <c r="G1141" s="100"/>
      <c r="H1141" s="100"/>
      <c r="I1141" s="100"/>
      <c r="J1141" s="101">
        <f t="shared" si="609"/>
        <v>20</v>
      </c>
      <c r="K1141" s="115">
        <f>IF(A1141&lt;&gt;0,INDEX(Coûts, 'PA-Détails'!A1141, 3),)</f>
        <v>300</v>
      </c>
      <c r="L1141" s="37">
        <f t="shared" ref="L1141:P1145" si="618">ROUND(+$K1141*E1141,0)</f>
        <v>0</v>
      </c>
      <c r="M1141" s="36">
        <f t="shared" si="618"/>
        <v>6000</v>
      </c>
      <c r="N1141" s="36">
        <f t="shared" si="618"/>
        <v>0</v>
      </c>
      <c r="O1141" s="36">
        <f t="shared" si="618"/>
        <v>0</v>
      </c>
      <c r="P1141" s="268">
        <f t="shared" si="618"/>
        <v>0</v>
      </c>
      <c r="Q1141" s="281">
        <f>SUM(L1141:P1141)</f>
        <v>6000</v>
      </c>
      <c r="R1141" s="39"/>
      <c r="S1141" s="115"/>
      <c r="T1141" s="51"/>
    </row>
    <row r="1142" spans="1:20" x14ac:dyDescent="0.2">
      <c r="A1142" s="95">
        <v>11</v>
      </c>
      <c r="B1142" s="108" t="str">
        <f>IF(A1142&lt;&gt;0,INDEX(Coûts,'PA-Détails'!A1142, 2),)</f>
        <v>Atelier technique</v>
      </c>
      <c r="C1142" s="51"/>
      <c r="D1142" s="94" t="str">
        <f>IF(A1142&lt;&gt;0,INDEX(Coûts, 'PA-Détails'!A1142, 5),)</f>
        <v>Pers / j</v>
      </c>
      <c r="E1142" s="96"/>
      <c r="F1142" s="100">
        <v>50</v>
      </c>
      <c r="G1142" s="100"/>
      <c r="H1142" s="100"/>
      <c r="I1142" s="100"/>
      <c r="J1142" s="101">
        <f t="shared" si="609"/>
        <v>50</v>
      </c>
      <c r="K1142" s="115">
        <f>IF(A1142&lt;&gt;0,INDEX(Coûts, 'PA-Détails'!A1142, 3),)</f>
        <v>70</v>
      </c>
      <c r="L1142" s="37">
        <f t="shared" si="618"/>
        <v>0</v>
      </c>
      <c r="M1142" s="36">
        <f t="shared" si="618"/>
        <v>3500</v>
      </c>
      <c r="N1142" s="36">
        <f t="shared" si="618"/>
        <v>0</v>
      </c>
      <c r="O1142" s="36">
        <f t="shared" si="618"/>
        <v>0</v>
      </c>
      <c r="P1142" s="268">
        <f t="shared" si="618"/>
        <v>0</v>
      </c>
      <c r="Q1142" s="281">
        <f>SUM(L1142:P1142)</f>
        <v>3500</v>
      </c>
      <c r="R1142" s="39"/>
      <c r="S1142" s="115"/>
      <c r="T1142" s="51"/>
    </row>
    <row r="1143" spans="1:20" x14ac:dyDescent="0.2">
      <c r="A1143" s="95">
        <v>7</v>
      </c>
      <c r="B1143" s="108" t="str">
        <f>IF(A1143&lt;&gt;0,INDEX(Coûts,'PA-Détails'!A1143, 2),)</f>
        <v>Séminaire</v>
      </c>
      <c r="C1143" s="51"/>
      <c r="D1143" s="94" t="str">
        <f>IF(A1143&lt;&gt;0,INDEX(Coûts, 'PA-Détails'!A1143, 5),)</f>
        <v>Pers / j</v>
      </c>
      <c r="E1143" s="96"/>
      <c r="F1143" s="100">
        <f>2*400</f>
        <v>800</v>
      </c>
      <c r="G1143" s="100"/>
      <c r="H1143" s="100"/>
      <c r="I1143" s="100"/>
      <c r="J1143" s="101">
        <f t="shared" si="609"/>
        <v>800</v>
      </c>
      <c r="K1143" s="115">
        <f>IF(A1143&lt;&gt;0,INDEX(Coûts, 'PA-Détails'!A1143, 3),)</f>
        <v>190</v>
      </c>
      <c r="L1143" s="37">
        <f t="shared" si="618"/>
        <v>0</v>
      </c>
      <c r="M1143" s="36">
        <f t="shared" si="618"/>
        <v>152000</v>
      </c>
      <c r="N1143" s="36">
        <f t="shared" si="618"/>
        <v>0</v>
      </c>
      <c r="O1143" s="36">
        <f t="shared" si="618"/>
        <v>0</v>
      </c>
      <c r="P1143" s="268">
        <f t="shared" si="618"/>
        <v>0</v>
      </c>
      <c r="Q1143" s="281">
        <f>SUM(L1143:P1143)</f>
        <v>152000</v>
      </c>
      <c r="R1143" s="39"/>
      <c r="S1143" s="115"/>
      <c r="T1143" s="51"/>
    </row>
    <row r="1144" spans="1:20" x14ac:dyDescent="0.2">
      <c r="A1144" s="14" t="s">
        <v>622</v>
      </c>
      <c r="B1144" s="172"/>
      <c r="C1144" s="112"/>
      <c r="D1144" s="15"/>
      <c r="E1144" s="102"/>
      <c r="F1144" s="103"/>
      <c r="G1144" s="103"/>
      <c r="H1144" s="103"/>
      <c r="I1144" s="103"/>
      <c r="J1144" s="104">
        <f t="shared" si="609"/>
        <v>0</v>
      </c>
      <c r="K1144" s="145"/>
      <c r="L1144" s="33">
        <f t="shared" si="618"/>
        <v>0</v>
      </c>
      <c r="M1144" s="32">
        <f t="shared" si="618"/>
        <v>0</v>
      </c>
      <c r="N1144" s="32">
        <f t="shared" si="618"/>
        <v>0</v>
      </c>
      <c r="O1144" s="32">
        <f t="shared" si="618"/>
        <v>0</v>
      </c>
      <c r="P1144" s="267">
        <f t="shared" si="618"/>
        <v>0</v>
      </c>
      <c r="Q1144" s="278">
        <f>SUM(L1144:P1144)</f>
        <v>0</v>
      </c>
      <c r="R1144" s="40"/>
      <c r="S1144" s="145"/>
      <c r="T1144" s="49">
        <v>3</v>
      </c>
    </row>
    <row r="1145" spans="1:20" x14ac:dyDescent="0.2">
      <c r="A1145" s="17" t="s">
        <v>623</v>
      </c>
      <c r="B1145" s="45"/>
      <c r="C1145" s="51"/>
      <c r="D1145" s="18"/>
      <c r="E1145" s="97"/>
      <c r="F1145" s="98"/>
      <c r="G1145" s="98"/>
      <c r="H1145" s="98"/>
      <c r="I1145" s="98"/>
      <c r="J1145" s="99">
        <f t="shared" si="609"/>
        <v>0</v>
      </c>
      <c r="K1145" s="116"/>
      <c r="L1145" s="35">
        <f t="shared" si="618"/>
        <v>0</v>
      </c>
      <c r="M1145" s="34">
        <f t="shared" si="618"/>
        <v>0</v>
      </c>
      <c r="N1145" s="34">
        <f t="shared" si="618"/>
        <v>0</v>
      </c>
      <c r="O1145" s="34">
        <f t="shared" si="618"/>
        <v>0</v>
      </c>
      <c r="P1145" s="269">
        <f t="shared" si="618"/>
        <v>0</v>
      </c>
      <c r="Q1145" s="279">
        <f>SUM(L1145:P1145)</f>
        <v>0</v>
      </c>
      <c r="R1145" s="38"/>
      <c r="S1145" s="116"/>
      <c r="T1145" s="50"/>
    </row>
    <row r="1146" spans="1:20" x14ac:dyDescent="0.2">
      <c r="A1146" s="20" t="s">
        <v>624</v>
      </c>
      <c r="B1146" s="149"/>
      <c r="C1146" s="51"/>
      <c r="D1146" s="21"/>
      <c r="E1146" s="96"/>
      <c r="F1146" s="100"/>
      <c r="G1146" s="100"/>
      <c r="H1146" s="100"/>
      <c r="I1146" s="100"/>
      <c r="J1146" s="101">
        <f t="shared" si="609"/>
        <v>0</v>
      </c>
      <c r="K1146" s="115"/>
      <c r="L1146" s="161">
        <f t="shared" ref="L1146:Q1146" si="619">SUM(L1147:L1150)</f>
        <v>6000</v>
      </c>
      <c r="M1146" s="34">
        <f t="shared" si="619"/>
        <v>1840000</v>
      </c>
      <c r="N1146" s="34">
        <f t="shared" si="619"/>
        <v>440000</v>
      </c>
      <c r="O1146" s="34">
        <f t="shared" si="619"/>
        <v>0</v>
      </c>
      <c r="P1146" s="269">
        <f t="shared" si="619"/>
        <v>0</v>
      </c>
      <c r="Q1146" s="279">
        <f t="shared" si="619"/>
        <v>2286000</v>
      </c>
      <c r="R1146" s="198" t="s">
        <v>882</v>
      </c>
      <c r="S1146" s="197" t="s">
        <v>813</v>
      </c>
      <c r="T1146" s="51"/>
    </row>
    <row r="1147" spans="1:20" x14ac:dyDescent="0.2">
      <c r="A1147" s="95">
        <v>2</v>
      </c>
      <c r="B1147" s="163" t="str">
        <f>IF(A1147&lt;&gt;0,INDEX(Coûts,'PA-Détails'!A1147, 2),)</f>
        <v>Assistance technique nationale (consultants)</v>
      </c>
      <c r="C1147" s="51"/>
      <c r="D1147" s="94" t="str">
        <f>IF(A1147&lt;&gt;0,INDEX(Coûts, 'PA-Détails'!A1147, 5),)</f>
        <v>Pers / j</v>
      </c>
      <c r="E1147" s="96">
        <v>20</v>
      </c>
      <c r="F1147" s="100"/>
      <c r="G1147" s="100"/>
      <c r="H1147" s="100"/>
      <c r="I1147" s="100"/>
      <c r="J1147" s="101">
        <f t="shared" si="609"/>
        <v>20</v>
      </c>
      <c r="K1147" s="115">
        <f>IF(A1147&lt;&gt;0,INDEX(Coûts, 'PA-Détails'!A1147, 3),)</f>
        <v>300</v>
      </c>
      <c r="L1147" s="37">
        <f t="shared" ref="L1147:P1150" si="620">ROUND(+$K1147*E1147,0)</f>
        <v>6000</v>
      </c>
      <c r="M1147" s="36">
        <f t="shared" si="620"/>
        <v>0</v>
      </c>
      <c r="N1147" s="36">
        <f t="shared" si="620"/>
        <v>0</v>
      </c>
      <c r="O1147" s="36">
        <f t="shared" si="620"/>
        <v>0</v>
      </c>
      <c r="P1147" s="268">
        <f t="shared" si="620"/>
        <v>0</v>
      </c>
      <c r="Q1147" s="281">
        <f>SUM(L1147:P1147)</f>
        <v>6000</v>
      </c>
      <c r="R1147" s="39"/>
      <c r="S1147" s="115"/>
      <c r="T1147" s="51"/>
    </row>
    <row r="1148" spans="1:20" x14ac:dyDescent="0.2">
      <c r="A1148" s="95">
        <v>45</v>
      </c>
      <c r="B1148" s="108" t="str">
        <f>IF(A1148&lt;&gt;0,INDEX(Coûts,'PA-Détails'!A1148, 2),)</f>
        <v>Équipement informatique (lot PC, logiciel,  imprimante, photocopieuse, scanner)</v>
      </c>
      <c r="C1148" s="51"/>
      <c r="D1148" s="94" t="str">
        <f>IF(A1148&lt;&gt;0,INDEX(Coûts, 'PA-Détails'!A1148, 5),)</f>
        <v>Forfait</v>
      </c>
      <c r="E1148" s="96"/>
      <c r="F1148" s="100">
        <v>400</v>
      </c>
      <c r="G1148" s="100"/>
      <c r="H1148" s="100"/>
      <c r="I1148" s="100"/>
      <c r="J1148" s="101">
        <f t="shared" si="609"/>
        <v>400</v>
      </c>
      <c r="K1148" s="115">
        <f>IF(A1148&lt;&gt;0,INDEX(Coûts, 'PA-Détails'!A1148, 3),)</f>
        <v>1500</v>
      </c>
      <c r="L1148" s="37">
        <f t="shared" si="620"/>
        <v>0</v>
      </c>
      <c r="M1148" s="36">
        <f t="shared" si="620"/>
        <v>600000</v>
      </c>
      <c r="N1148" s="36">
        <f t="shared" si="620"/>
        <v>0</v>
      </c>
      <c r="O1148" s="36">
        <f t="shared" si="620"/>
        <v>0</v>
      </c>
      <c r="P1148" s="268">
        <f t="shared" si="620"/>
        <v>0</v>
      </c>
      <c r="Q1148" s="281">
        <f>SUM(L1148:P1148)</f>
        <v>600000</v>
      </c>
      <c r="R1148" s="39"/>
      <c r="S1148" s="115"/>
      <c r="T1148" s="51"/>
    </row>
    <row r="1149" spans="1:20" x14ac:dyDescent="0.2">
      <c r="A1149" s="95">
        <v>44</v>
      </c>
      <c r="B1149" s="108" t="str">
        <f>IF(A1149&lt;&gt;0,INDEX(Coûts,'PA-Détails'!A1149, 2),)</f>
        <v>Équipement de bureau</v>
      </c>
      <c r="C1149" s="51"/>
      <c r="D1149" s="94" t="str">
        <f>IF(A1149&lt;&gt;0,INDEX(Coûts, 'PA-Détails'!A1149, 5),)</f>
        <v>Forfait</v>
      </c>
      <c r="E1149" s="96"/>
      <c r="F1149" s="100">
        <v>400</v>
      </c>
      <c r="G1149" s="100"/>
      <c r="H1149" s="100"/>
      <c r="I1149" s="100"/>
      <c r="J1149" s="101">
        <f t="shared" si="609"/>
        <v>400</v>
      </c>
      <c r="K1149" s="115">
        <f>IF(A1149&lt;&gt;0,INDEX(Coûts, 'PA-Détails'!A1149, 3),)</f>
        <v>2000</v>
      </c>
      <c r="L1149" s="37">
        <f t="shared" si="620"/>
        <v>0</v>
      </c>
      <c r="M1149" s="36">
        <f t="shared" si="620"/>
        <v>800000</v>
      </c>
      <c r="N1149" s="36">
        <f t="shared" si="620"/>
        <v>0</v>
      </c>
      <c r="O1149" s="36">
        <f t="shared" si="620"/>
        <v>0</v>
      </c>
      <c r="P1149" s="268">
        <f t="shared" si="620"/>
        <v>0</v>
      </c>
      <c r="Q1149" s="281">
        <f>SUM(L1149:P1149)</f>
        <v>800000</v>
      </c>
      <c r="R1149" s="39"/>
      <c r="S1149" s="115"/>
      <c r="T1149" s="51"/>
    </row>
    <row r="1150" spans="1:20" x14ac:dyDescent="0.2">
      <c r="A1150" s="95">
        <v>8</v>
      </c>
      <c r="B1150" s="108" t="str">
        <f>IF(A1150&lt;&gt;0,INDEX(Coûts,'PA-Détails'!A1150, 2),)</f>
        <v>Formation</v>
      </c>
      <c r="C1150" s="51"/>
      <c r="D1150" s="94" t="str">
        <f>IF(A1150&lt;&gt;0,INDEX(Coûts, 'PA-Détails'!A1150, 5),)</f>
        <v>Pers / j</v>
      </c>
      <c r="E1150" s="96"/>
      <c r="F1150" s="100">
        <f>400*2*5</f>
        <v>4000</v>
      </c>
      <c r="G1150" s="100">
        <f>F1150</f>
        <v>4000</v>
      </c>
      <c r="H1150" s="100"/>
      <c r="I1150" s="100"/>
      <c r="J1150" s="101">
        <f t="shared" si="609"/>
        <v>8000</v>
      </c>
      <c r="K1150" s="115">
        <f>IF(A1150&lt;&gt;0,INDEX(Coûts, 'PA-Détails'!A1150, 3),)</f>
        <v>110</v>
      </c>
      <c r="L1150" s="37">
        <f t="shared" si="620"/>
        <v>0</v>
      </c>
      <c r="M1150" s="36">
        <f t="shared" si="620"/>
        <v>440000</v>
      </c>
      <c r="N1150" s="36">
        <f t="shared" si="620"/>
        <v>440000</v>
      </c>
      <c r="O1150" s="36">
        <f t="shared" si="620"/>
        <v>0</v>
      </c>
      <c r="P1150" s="268">
        <f t="shared" si="620"/>
        <v>0</v>
      </c>
      <c r="Q1150" s="281">
        <f>SUM(L1150:P1150)</f>
        <v>880000</v>
      </c>
      <c r="R1150" s="39"/>
      <c r="S1150" s="115"/>
      <c r="T1150" s="51"/>
    </row>
    <row r="1151" spans="1:20" x14ac:dyDescent="0.2">
      <c r="A1151" s="20" t="s">
        <v>625</v>
      </c>
      <c r="B1151" s="149"/>
      <c r="C1151" s="51"/>
      <c r="D1151" s="21"/>
      <c r="E1151" s="96"/>
      <c r="F1151" s="100"/>
      <c r="G1151" s="100"/>
      <c r="H1151" s="100"/>
      <c r="I1151" s="100"/>
      <c r="J1151" s="101">
        <f t="shared" si="609"/>
        <v>0</v>
      </c>
      <c r="K1151" s="115"/>
      <c r="L1151" s="161">
        <f t="shared" ref="L1151:Q1151" si="621">SUM(L1152:L1153)</f>
        <v>154300</v>
      </c>
      <c r="M1151" s="157">
        <f t="shared" si="621"/>
        <v>0</v>
      </c>
      <c r="N1151" s="157">
        <f t="shared" si="621"/>
        <v>0</v>
      </c>
      <c r="O1151" s="157">
        <f t="shared" si="621"/>
        <v>0</v>
      </c>
      <c r="P1151" s="270">
        <f t="shared" si="621"/>
        <v>0</v>
      </c>
      <c r="Q1151" s="284">
        <f t="shared" si="621"/>
        <v>154300</v>
      </c>
      <c r="R1151" s="198" t="s">
        <v>882</v>
      </c>
      <c r="S1151" s="197" t="s">
        <v>814</v>
      </c>
      <c r="T1151" s="51"/>
    </row>
    <row r="1152" spans="1:20" x14ac:dyDescent="0.2">
      <c r="A1152" s="95">
        <v>1</v>
      </c>
      <c r="B1152" s="163" t="str">
        <f>IF(A1152&lt;&gt;0,INDEX(Coûts,'PA-Détails'!A1152, 2),)</f>
        <v>Assistance technique internationale (consultants)</v>
      </c>
      <c r="C1152" s="51"/>
      <c r="D1152" s="94" t="str">
        <f>IF(A1152&lt;&gt;0,INDEX(Coûts, 'PA-Détails'!A1152, 5),)</f>
        <v>Pers / j</v>
      </c>
      <c r="E1152" s="96">
        <f>1*12*11</f>
        <v>132</v>
      </c>
      <c r="F1152" s="100"/>
      <c r="G1152" s="100"/>
      <c r="H1152" s="100"/>
      <c r="I1152" s="100"/>
      <c r="J1152" s="101">
        <f t="shared" si="609"/>
        <v>132</v>
      </c>
      <c r="K1152" s="115">
        <f>IF(A1152&lt;&gt;0,INDEX(Coûts, 'PA-Détails'!A1152, 3),)</f>
        <v>1150</v>
      </c>
      <c r="L1152" s="37">
        <f t="shared" ref="L1152:P1153" si="622">ROUND(+$K1152*E1152,0)</f>
        <v>151800</v>
      </c>
      <c r="M1152" s="36">
        <f t="shared" si="622"/>
        <v>0</v>
      </c>
      <c r="N1152" s="36">
        <f t="shared" si="622"/>
        <v>0</v>
      </c>
      <c r="O1152" s="36">
        <f t="shared" si="622"/>
        <v>0</v>
      </c>
      <c r="P1152" s="268">
        <f t="shared" si="622"/>
        <v>0</v>
      </c>
      <c r="Q1152" s="281">
        <f>SUM(L1152:P1152)</f>
        <v>151800</v>
      </c>
      <c r="R1152" s="39"/>
      <c r="S1152" s="115"/>
      <c r="T1152" s="51"/>
    </row>
    <row r="1153" spans="1:20" x14ac:dyDescent="0.2">
      <c r="A1153" s="95">
        <v>5</v>
      </c>
      <c r="B1153" s="108" t="str">
        <f>IF(A1153&lt;&gt;0,INDEX(Coûts,'PA-Détails'!A1153, 2),)</f>
        <v>Atelier de validation</v>
      </c>
      <c r="C1153" s="51"/>
      <c r="D1153" s="94" t="str">
        <f>IF(A1153&lt;&gt;0,INDEX(Coûts, 'PA-Détails'!A1153, 5),)</f>
        <v>Pers / j</v>
      </c>
      <c r="E1153" s="96">
        <v>50</v>
      </c>
      <c r="F1153" s="100"/>
      <c r="G1153" s="100"/>
      <c r="H1153" s="100"/>
      <c r="I1153" s="100"/>
      <c r="J1153" s="101">
        <f t="shared" si="609"/>
        <v>50</v>
      </c>
      <c r="K1153" s="115">
        <f>IF(A1153&lt;&gt;0,INDEX(Coûts, 'PA-Détails'!A1153, 3),)</f>
        <v>50</v>
      </c>
      <c r="L1153" s="37">
        <f t="shared" si="622"/>
        <v>2500</v>
      </c>
      <c r="M1153" s="36">
        <f t="shared" si="622"/>
        <v>0</v>
      </c>
      <c r="N1153" s="36">
        <f t="shared" si="622"/>
        <v>0</v>
      </c>
      <c r="O1153" s="36">
        <f t="shared" si="622"/>
        <v>0</v>
      </c>
      <c r="P1153" s="268">
        <f t="shared" si="622"/>
        <v>0</v>
      </c>
      <c r="Q1153" s="281">
        <f>SUM(L1153:P1153)</f>
        <v>2500</v>
      </c>
      <c r="R1153" s="39"/>
      <c r="S1153" s="115"/>
      <c r="T1153" s="51"/>
    </row>
    <row r="1154" spans="1:20" x14ac:dyDescent="0.2">
      <c r="A1154" s="173" t="s">
        <v>626</v>
      </c>
      <c r="B1154" s="174"/>
      <c r="C1154" s="51"/>
      <c r="D1154" s="21"/>
      <c r="E1154" s="96"/>
      <c r="F1154" s="100"/>
      <c r="G1154" s="100"/>
      <c r="H1154" s="100"/>
      <c r="I1154" s="100"/>
      <c r="J1154" s="101">
        <f t="shared" si="609"/>
        <v>0</v>
      </c>
      <c r="K1154" s="115"/>
      <c r="L1154" s="161">
        <f t="shared" ref="L1154:Q1154" si="623">SUM(L1155:L1156)</f>
        <v>0</v>
      </c>
      <c r="M1154" s="157">
        <f t="shared" si="623"/>
        <v>243950</v>
      </c>
      <c r="N1154" s="157">
        <f t="shared" si="623"/>
        <v>243950</v>
      </c>
      <c r="O1154" s="157">
        <f t="shared" si="623"/>
        <v>0</v>
      </c>
      <c r="P1154" s="270">
        <f t="shared" si="623"/>
        <v>0</v>
      </c>
      <c r="Q1154" s="284">
        <f t="shared" si="623"/>
        <v>487900</v>
      </c>
      <c r="R1154" s="198" t="s">
        <v>882</v>
      </c>
      <c r="S1154" s="197" t="s">
        <v>663</v>
      </c>
      <c r="T1154" s="51"/>
    </row>
    <row r="1155" spans="1:20" x14ac:dyDescent="0.2">
      <c r="A1155" s="95">
        <v>4</v>
      </c>
      <c r="B1155" s="108" t="str">
        <f>IF(A1155&lt;&gt;0,INDEX(Coûts,'PA-Détails'!A1155, 2),)</f>
        <v>Assistance technique nationale (bureaux d'études)</v>
      </c>
      <c r="C1155" s="51"/>
      <c r="D1155" s="94" t="str">
        <f>IF(A1155&lt;&gt;0,INDEX(Coûts, 'PA-Détails'!A1155, 5),)</f>
        <v>Pers / j</v>
      </c>
      <c r="E1155" s="96"/>
      <c r="F1155" s="100">
        <f>F1156/50</f>
        <v>41</v>
      </c>
      <c r="G1155" s="100">
        <f>G1156/50</f>
        <v>41</v>
      </c>
      <c r="H1155" s="100"/>
      <c r="I1155" s="100"/>
      <c r="J1155" s="101">
        <f t="shared" si="609"/>
        <v>82</v>
      </c>
      <c r="K1155" s="115">
        <f>IF(A1155&lt;&gt;0,INDEX(Coûts, 'PA-Détails'!A1155, 3),)</f>
        <v>450</v>
      </c>
      <c r="L1155" s="37">
        <f t="shared" ref="L1155:P1157" si="624">ROUND(+$K1155*E1155,0)</f>
        <v>0</v>
      </c>
      <c r="M1155" s="36">
        <f t="shared" si="624"/>
        <v>18450</v>
      </c>
      <c r="N1155" s="36">
        <f t="shared" si="624"/>
        <v>18450</v>
      </c>
      <c r="O1155" s="36">
        <f t="shared" si="624"/>
        <v>0</v>
      </c>
      <c r="P1155" s="268">
        <f t="shared" si="624"/>
        <v>0</v>
      </c>
      <c r="Q1155" s="281">
        <f>SUM(L1155:P1155)</f>
        <v>36900</v>
      </c>
      <c r="R1155" s="39"/>
      <c r="S1155" s="115"/>
      <c r="T1155" s="51"/>
    </row>
    <row r="1156" spans="1:20" x14ac:dyDescent="0.2">
      <c r="A1156" s="95">
        <v>8</v>
      </c>
      <c r="B1156" s="108" t="str">
        <f>IF(A1156&lt;&gt;0,INDEX(Coûts,'PA-Détails'!A1156, 2),)</f>
        <v>Formation</v>
      </c>
      <c r="C1156" s="51"/>
      <c r="D1156" s="94" t="str">
        <f>IF(A1156&lt;&gt;0,INDEX(Coûts, 'PA-Détails'!A1156, 5),)</f>
        <v>Pers / j</v>
      </c>
      <c r="E1156" s="96"/>
      <c r="F1156" s="100">
        <f>(10+400)*5</f>
        <v>2050</v>
      </c>
      <c r="G1156" s="100">
        <f>(10+400)*5</f>
        <v>2050</v>
      </c>
      <c r="H1156" s="100"/>
      <c r="I1156" s="100"/>
      <c r="J1156" s="101">
        <f t="shared" ref="J1156:J1187" si="625">SUM(E1156:I1156)</f>
        <v>4100</v>
      </c>
      <c r="K1156" s="115">
        <f>IF(A1156&lt;&gt;0,INDEX(Coûts, 'PA-Détails'!A1156, 3),)</f>
        <v>110</v>
      </c>
      <c r="L1156" s="37">
        <f t="shared" si="624"/>
        <v>0</v>
      </c>
      <c r="M1156" s="36">
        <f t="shared" si="624"/>
        <v>225500</v>
      </c>
      <c r="N1156" s="36">
        <f t="shared" si="624"/>
        <v>225500</v>
      </c>
      <c r="O1156" s="36">
        <f t="shared" si="624"/>
        <v>0</v>
      </c>
      <c r="P1156" s="268">
        <f t="shared" si="624"/>
        <v>0</v>
      </c>
      <c r="Q1156" s="281">
        <f>SUM(L1156:P1156)</f>
        <v>451000</v>
      </c>
      <c r="R1156" s="39"/>
      <c r="S1156" s="115"/>
      <c r="T1156" s="51"/>
    </row>
    <row r="1157" spans="1:20" x14ac:dyDescent="0.2">
      <c r="A1157" s="17" t="s">
        <v>125</v>
      </c>
      <c r="B1157" s="45"/>
      <c r="C1157" s="51"/>
      <c r="D1157" s="18"/>
      <c r="E1157" s="97"/>
      <c r="F1157" s="98"/>
      <c r="G1157" s="98"/>
      <c r="H1157" s="98"/>
      <c r="I1157" s="98"/>
      <c r="J1157" s="99">
        <f t="shared" si="625"/>
        <v>0</v>
      </c>
      <c r="K1157" s="116"/>
      <c r="L1157" s="35">
        <f t="shared" si="624"/>
        <v>0</v>
      </c>
      <c r="M1157" s="34">
        <f t="shared" si="624"/>
        <v>0</v>
      </c>
      <c r="N1157" s="34">
        <f t="shared" si="624"/>
        <v>0</v>
      </c>
      <c r="O1157" s="34">
        <f t="shared" si="624"/>
        <v>0</v>
      </c>
      <c r="P1157" s="269">
        <f t="shared" si="624"/>
        <v>0</v>
      </c>
      <c r="Q1157" s="279">
        <f>SUM(L1157:P1157)</f>
        <v>0</v>
      </c>
      <c r="R1157" s="38"/>
      <c r="S1157" s="116"/>
      <c r="T1157" s="50"/>
    </row>
    <row r="1158" spans="1:20" x14ac:dyDescent="0.2">
      <c r="A1158" s="173" t="s">
        <v>627</v>
      </c>
      <c r="B1158" s="174"/>
      <c r="C1158" s="51"/>
      <c r="D1158" s="21"/>
      <c r="E1158" s="96"/>
      <c r="F1158" s="100"/>
      <c r="G1158" s="100"/>
      <c r="H1158" s="100"/>
      <c r="I1158" s="100"/>
      <c r="J1158" s="101">
        <f t="shared" si="625"/>
        <v>0</v>
      </c>
      <c r="K1158" s="115"/>
      <c r="L1158" s="161">
        <f t="shared" ref="L1158:Q1158" si="626">SUM(L1159:L1161)</f>
        <v>0</v>
      </c>
      <c r="M1158" s="34">
        <f t="shared" si="626"/>
        <v>144100</v>
      </c>
      <c r="N1158" s="34">
        <f t="shared" si="626"/>
        <v>131000</v>
      </c>
      <c r="O1158" s="34">
        <f t="shared" si="626"/>
        <v>65500</v>
      </c>
      <c r="P1158" s="269">
        <f t="shared" si="626"/>
        <v>0</v>
      </c>
      <c r="Q1158" s="279">
        <f t="shared" si="626"/>
        <v>340600</v>
      </c>
      <c r="R1158" s="198" t="s">
        <v>882</v>
      </c>
      <c r="S1158" s="197" t="s">
        <v>663</v>
      </c>
      <c r="T1158" s="51"/>
    </row>
    <row r="1159" spans="1:20" x14ac:dyDescent="0.2">
      <c r="A1159" s="95">
        <v>26</v>
      </c>
      <c r="B1159" s="108" t="str">
        <f>IF(A1159&lt;&gt;0,INDEX(Coûts,'PA-Détails'!A1159, 2),)</f>
        <v>Réhabilitation de salle de classe au primaire ( local ESU)</v>
      </c>
      <c r="C1159" s="51"/>
      <c r="D1159" s="94" t="str">
        <f>IF(A1159&lt;&gt;0,INDEX(Coûts, 'PA-Détails'!A1159, 5),)</f>
        <v>Unité</v>
      </c>
      <c r="E1159" s="96"/>
      <c r="F1159" s="100">
        <f>11</f>
        <v>11</v>
      </c>
      <c r="G1159" s="100">
        <f>10</f>
        <v>10</v>
      </c>
      <c r="H1159" s="100">
        <f>5</f>
        <v>5</v>
      </c>
      <c r="I1159" s="100"/>
      <c r="J1159" s="101">
        <f t="shared" si="625"/>
        <v>26</v>
      </c>
      <c r="K1159" s="115">
        <f>IF(A1159&lt;&gt;0,INDEX(Coûts, 'PA-Détails'!A1159, 3),)</f>
        <v>9600</v>
      </c>
      <c r="L1159" s="37">
        <f t="shared" ref="L1159:P1161" si="627">ROUND(+$K1159*E1159,0)</f>
        <v>0</v>
      </c>
      <c r="M1159" s="36">
        <f t="shared" si="627"/>
        <v>105600</v>
      </c>
      <c r="N1159" s="36">
        <f t="shared" si="627"/>
        <v>96000</v>
      </c>
      <c r="O1159" s="36">
        <f t="shared" si="627"/>
        <v>48000</v>
      </c>
      <c r="P1159" s="268">
        <f t="shared" si="627"/>
        <v>0</v>
      </c>
      <c r="Q1159" s="281">
        <f>SUM(L1159:P1159)</f>
        <v>249600</v>
      </c>
      <c r="R1159" s="39"/>
      <c r="S1159" s="115"/>
      <c r="T1159" s="51"/>
    </row>
    <row r="1160" spans="1:20" x14ac:dyDescent="0.2">
      <c r="A1160" s="95">
        <v>44</v>
      </c>
      <c r="B1160" s="108" t="str">
        <f>IF(A1160&lt;&gt;0,INDEX(Coûts,'PA-Détails'!A1160, 2),)</f>
        <v>Équipement de bureau</v>
      </c>
      <c r="C1160" s="51"/>
      <c r="D1160" s="94" t="str">
        <f>IF(A1160&lt;&gt;0,INDEX(Coûts, 'PA-Détails'!A1160, 5),)</f>
        <v>Forfait</v>
      </c>
      <c r="E1160" s="96"/>
      <c r="F1160" s="100">
        <f>11</f>
        <v>11</v>
      </c>
      <c r="G1160" s="100">
        <f>10</f>
        <v>10</v>
      </c>
      <c r="H1160" s="100">
        <f>5</f>
        <v>5</v>
      </c>
      <c r="I1160" s="100"/>
      <c r="J1160" s="101">
        <f t="shared" si="625"/>
        <v>26</v>
      </c>
      <c r="K1160" s="115">
        <f>IF(A1160&lt;&gt;0,INDEX(Coûts, 'PA-Détails'!A1160, 3),)</f>
        <v>2000</v>
      </c>
      <c r="L1160" s="37">
        <f t="shared" si="627"/>
        <v>0</v>
      </c>
      <c r="M1160" s="36">
        <f t="shared" si="627"/>
        <v>22000</v>
      </c>
      <c r="N1160" s="36">
        <f t="shared" si="627"/>
        <v>20000</v>
      </c>
      <c r="O1160" s="36">
        <f t="shared" si="627"/>
        <v>10000</v>
      </c>
      <c r="P1160" s="268">
        <f t="shared" si="627"/>
        <v>0</v>
      </c>
      <c r="Q1160" s="281">
        <f>SUM(L1160:P1160)</f>
        <v>52000</v>
      </c>
      <c r="R1160" s="39"/>
      <c r="S1160" s="115"/>
      <c r="T1160" s="51"/>
    </row>
    <row r="1161" spans="1:20" x14ac:dyDescent="0.2">
      <c r="A1161" s="95">
        <v>45</v>
      </c>
      <c r="B1161" s="108" t="str">
        <f>IF(A1161&lt;&gt;0,INDEX(Coûts,'PA-Détails'!A1161, 2),)</f>
        <v>Équipement informatique (lot PC, logiciel,  imprimante, photocopieuse, scanner)</v>
      </c>
      <c r="C1161" s="51"/>
      <c r="D1161" s="94" t="str">
        <f>IF(A1161&lt;&gt;0,INDEX(Coûts, 'PA-Détails'!A1161, 5),)</f>
        <v>Forfait</v>
      </c>
      <c r="E1161" s="96"/>
      <c r="F1161" s="100">
        <f>11</f>
        <v>11</v>
      </c>
      <c r="G1161" s="100">
        <f>10</f>
        <v>10</v>
      </c>
      <c r="H1161" s="100">
        <f>5</f>
        <v>5</v>
      </c>
      <c r="I1161" s="100"/>
      <c r="J1161" s="101">
        <f t="shared" si="625"/>
        <v>26</v>
      </c>
      <c r="K1161" s="115">
        <f>IF(A1161&lt;&gt;0,INDEX(Coûts, 'PA-Détails'!A1161, 3),)</f>
        <v>1500</v>
      </c>
      <c r="L1161" s="37">
        <f t="shared" si="627"/>
        <v>0</v>
      </c>
      <c r="M1161" s="36">
        <f t="shared" si="627"/>
        <v>16500</v>
      </c>
      <c r="N1161" s="36">
        <f t="shared" si="627"/>
        <v>15000</v>
      </c>
      <c r="O1161" s="36">
        <f t="shared" si="627"/>
        <v>7500</v>
      </c>
      <c r="P1161" s="268">
        <f t="shared" si="627"/>
        <v>0</v>
      </c>
      <c r="Q1161" s="281">
        <f>SUM(L1161:P1161)</f>
        <v>39000</v>
      </c>
      <c r="R1161" s="39"/>
      <c r="S1161" s="115"/>
      <c r="T1161" s="51"/>
    </row>
    <row r="1162" spans="1:20" x14ac:dyDescent="0.2">
      <c r="A1162" s="20" t="s">
        <v>628</v>
      </c>
      <c r="B1162" s="149"/>
      <c r="C1162" s="51"/>
      <c r="D1162" s="21"/>
      <c r="E1162" s="96"/>
      <c r="F1162" s="100"/>
      <c r="G1162" s="100"/>
      <c r="H1162" s="100"/>
      <c r="I1162" s="100"/>
      <c r="J1162" s="101">
        <f t="shared" si="625"/>
        <v>0</v>
      </c>
      <c r="K1162" s="115"/>
      <c r="L1162" s="161">
        <f t="shared" ref="L1162:Q1162" si="628">SUM(L1163:L1165)</f>
        <v>0</v>
      </c>
      <c r="M1162" s="34">
        <f t="shared" si="628"/>
        <v>12000</v>
      </c>
      <c r="N1162" s="34">
        <f t="shared" si="628"/>
        <v>12000</v>
      </c>
      <c r="O1162" s="34">
        <f t="shared" si="628"/>
        <v>0</v>
      </c>
      <c r="P1162" s="269">
        <f t="shared" si="628"/>
        <v>0</v>
      </c>
      <c r="Q1162" s="279">
        <f t="shared" si="628"/>
        <v>24000</v>
      </c>
      <c r="R1162" s="198" t="s">
        <v>882</v>
      </c>
      <c r="S1162" s="197" t="s">
        <v>801</v>
      </c>
      <c r="T1162" s="51"/>
    </row>
    <row r="1163" spans="1:20" x14ac:dyDescent="0.2">
      <c r="A1163" s="95">
        <v>2</v>
      </c>
      <c r="B1163" s="108" t="str">
        <f>IF(A1163&lt;&gt;0,INDEX(Coûts,'PA-Détails'!A1163, 2),)</f>
        <v>Assistance technique nationale (consultants)</v>
      </c>
      <c r="C1163" s="51"/>
      <c r="D1163" s="94" t="str">
        <f>IF(A1163&lt;&gt;0,INDEX(Coûts, 'PA-Détails'!A1163, 5),)</f>
        <v>Pers / j</v>
      </c>
      <c r="E1163" s="96"/>
      <c r="F1163" s="100">
        <v>10</v>
      </c>
      <c r="G1163" s="100">
        <v>10</v>
      </c>
      <c r="H1163" s="100"/>
      <c r="I1163" s="100"/>
      <c r="J1163" s="101">
        <f t="shared" si="625"/>
        <v>20</v>
      </c>
      <c r="K1163" s="115">
        <f>IF(A1163&lt;&gt;0,INDEX(Coûts, 'PA-Détails'!A1163, 3),)</f>
        <v>300</v>
      </c>
      <c r="L1163" s="37">
        <f t="shared" ref="L1163:P1165" si="629">ROUND(+$K1163*E1163,0)</f>
        <v>0</v>
      </c>
      <c r="M1163" s="36">
        <f t="shared" si="629"/>
        <v>3000</v>
      </c>
      <c r="N1163" s="36">
        <f t="shared" si="629"/>
        <v>3000</v>
      </c>
      <c r="O1163" s="36">
        <f t="shared" si="629"/>
        <v>0</v>
      </c>
      <c r="P1163" s="268">
        <f t="shared" si="629"/>
        <v>0</v>
      </c>
      <c r="Q1163" s="281">
        <f>SUM(L1163:P1163)</f>
        <v>6000</v>
      </c>
      <c r="R1163" s="39"/>
      <c r="S1163" s="115"/>
      <c r="T1163" s="51"/>
    </row>
    <row r="1164" spans="1:20" x14ac:dyDescent="0.2">
      <c r="A1164" s="95">
        <v>12</v>
      </c>
      <c r="B1164" s="108" t="str">
        <f>IF(A1164&lt;&gt;0,INDEX(Coûts,'PA-Détails'!A1164, 2),)</f>
        <v>Formation - Action et Formation de formateurs</v>
      </c>
      <c r="C1164" s="51"/>
      <c r="D1164" s="94" t="str">
        <f>IF(A1164&lt;&gt;0,INDEX(Coûts, 'PA-Détails'!A1164, 5),)</f>
        <v>Pers / j</v>
      </c>
      <c r="E1164" s="96"/>
      <c r="F1164" s="100">
        <v>40</v>
      </c>
      <c r="G1164" s="100">
        <v>40</v>
      </c>
      <c r="H1164" s="100"/>
      <c r="I1164" s="100"/>
      <c r="J1164" s="101">
        <f t="shared" si="625"/>
        <v>80</v>
      </c>
      <c r="K1164" s="115">
        <f>IF(A1164&lt;&gt;0,INDEX(Coûts, 'PA-Détails'!A1164, 3),)</f>
        <v>150</v>
      </c>
      <c r="L1164" s="37">
        <f t="shared" si="629"/>
        <v>0</v>
      </c>
      <c r="M1164" s="36">
        <f t="shared" si="629"/>
        <v>6000</v>
      </c>
      <c r="N1164" s="36">
        <f t="shared" si="629"/>
        <v>6000</v>
      </c>
      <c r="O1164" s="36">
        <f t="shared" si="629"/>
        <v>0</v>
      </c>
      <c r="P1164" s="268">
        <f t="shared" si="629"/>
        <v>0</v>
      </c>
      <c r="Q1164" s="281">
        <f>SUM(L1164:P1164)</f>
        <v>12000</v>
      </c>
      <c r="R1164" s="39"/>
      <c r="S1164" s="115"/>
      <c r="T1164" s="51"/>
    </row>
    <row r="1165" spans="1:20" x14ac:dyDescent="0.2">
      <c r="A1165" s="95">
        <v>13</v>
      </c>
      <c r="B1165" s="108" t="str">
        <f>IF(A1165&lt;&gt;0,INDEX(Coûts,'PA-Détails'!A1165, 2),)</f>
        <v>Formation au niveau local</v>
      </c>
      <c r="C1165" s="51"/>
      <c r="D1165" s="94" t="str">
        <f>IF(A1165&lt;&gt;0,INDEX(Coûts, 'PA-Détails'!A1165, 5),)</f>
        <v>Pers / j</v>
      </c>
      <c r="E1165" s="96"/>
      <c r="F1165" s="100">
        <f>10*20</f>
        <v>200</v>
      </c>
      <c r="G1165" s="100">
        <v>200</v>
      </c>
      <c r="H1165" s="100"/>
      <c r="I1165" s="100"/>
      <c r="J1165" s="101">
        <f t="shared" si="625"/>
        <v>400</v>
      </c>
      <c r="K1165" s="115">
        <f>IF(A1165&lt;&gt;0,INDEX(Coûts, 'PA-Détails'!A1165, 3),)</f>
        <v>15</v>
      </c>
      <c r="L1165" s="37">
        <f t="shared" si="629"/>
        <v>0</v>
      </c>
      <c r="M1165" s="36">
        <f t="shared" si="629"/>
        <v>3000</v>
      </c>
      <c r="N1165" s="36">
        <f t="shared" si="629"/>
        <v>3000</v>
      </c>
      <c r="O1165" s="36">
        <f t="shared" si="629"/>
        <v>0</v>
      </c>
      <c r="P1165" s="268">
        <f t="shared" si="629"/>
        <v>0</v>
      </c>
      <c r="Q1165" s="281">
        <f>SUM(L1165:P1165)</f>
        <v>6000</v>
      </c>
      <c r="R1165" s="39"/>
      <c r="S1165" s="115"/>
      <c r="T1165" s="51"/>
    </row>
    <row r="1166" spans="1:20" x14ac:dyDescent="0.2">
      <c r="A1166" s="20" t="s">
        <v>629</v>
      </c>
      <c r="B1166" s="149"/>
      <c r="C1166" s="51"/>
      <c r="D1166" s="21"/>
      <c r="E1166" s="96"/>
      <c r="F1166" s="100"/>
      <c r="G1166" s="100"/>
      <c r="H1166" s="100"/>
      <c r="I1166" s="100"/>
      <c r="J1166" s="101">
        <f t="shared" si="625"/>
        <v>0</v>
      </c>
      <c r="K1166" s="115"/>
      <c r="L1166" s="161">
        <f t="shared" ref="L1166:Q1166" si="630">SUM(L1167:L1168)</f>
        <v>0</v>
      </c>
      <c r="M1166" s="157">
        <f t="shared" si="630"/>
        <v>1040000</v>
      </c>
      <c r="N1166" s="157">
        <f t="shared" si="630"/>
        <v>1040000</v>
      </c>
      <c r="O1166" s="157">
        <f t="shared" si="630"/>
        <v>0</v>
      </c>
      <c r="P1166" s="270">
        <f t="shared" si="630"/>
        <v>0</v>
      </c>
      <c r="Q1166" s="284">
        <f t="shared" si="630"/>
        <v>2080000</v>
      </c>
      <c r="R1166" s="198" t="s">
        <v>882</v>
      </c>
      <c r="S1166" s="197" t="s">
        <v>801</v>
      </c>
      <c r="T1166" s="51"/>
    </row>
    <row r="1167" spans="1:20" x14ac:dyDescent="0.2">
      <c r="A1167" s="95">
        <v>8</v>
      </c>
      <c r="B1167" s="108" t="str">
        <f>IF(A1167&lt;&gt;0,INDEX(Coûts,'PA-Détails'!A1167, 2),)</f>
        <v>Formation</v>
      </c>
      <c r="C1167" s="51"/>
      <c r="D1167" s="94" t="str">
        <f>IF(A1167&lt;&gt;0,INDEX(Coûts, 'PA-Détails'!A1167, 5),)</f>
        <v>Pers / j</v>
      </c>
      <c r="E1167" s="96"/>
      <c r="F1167" s="100">
        <f>(2*400)*5</f>
        <v>4000</v>
      </c>
      <c r="G1167" s="100">
        <f>F1167</f>
        <v>4000</v>
      </c>
      <c r="H1167" s="100"/>
      <c r="I1167" s="100"/>
      <c r="J1167" s="101">
        <f t="shared" si="625"/>
        <v>8000</v>
      </c>
      <c r="K1167" s="115">
        <f>IF(A1167&lt;&gt;0,INDEX(Coûts, 'PA-Détails'!A1167, 3),)</f>
        <v>110</v>
      </c>
      <c r="L1167" s="37">
        <f t="shared" ref="L1167:P1169" si="631">ROUND(+$K1167*E1167,0)</f>
        <v>0</v>
      </c>
      <c r="M1167" s="36">
        <f t="shared" si="631"/>
        <v>440000</v>
      </c>
      <c r="N1167" s="36">
        <f t="shared" si="631"/>
        <v>440000</v>
      </c>
      <c r="O1167" s="36">
        <f t="shared" si="631"/>
        <v>0</v>
      </c>
      <c r="P1167" s="268">
        <f t="shared" si="631"/>
        <v>0</v>
      </c>
      <c r="Q1167" s="281">
        <f>SUM(L1167:P1167)</f>
        <v>880000</v>
      </c>
      <c r="R1167" s="39"/>
      <c r="S1167" s="115"/>
      <c r="T1167" s="51"/>
    </row>
    <row r="1168" spans="1:20" x14ac:dyDescent="0.2">
      <c r="A1168" s="95">
        <v>45</v>
      </c>
      <c r="B1168" s="108" t="str">
        <f>IF(A1168&lt;&gt;0,INDEX(Coûts,'PA-Détails'!A1168, 2),)</f>
        <v>Équipement informatique (lot PC, logiciel,  imprimante, photocopieuse, scanner)</v>
      </c>
      <c r="C1168" s="51"/>
      <c r="D1168" s="94" t="str">
        <f>IF(A1168&lt;&gt;0,INDEX(Coûts, 'PA-Détails'!A1168, 5),)</f>
        <v>Forfait</v>
      </c>
      <c r="E1168" s="96"/>
      <c r="F1168" s="100">
        <v>400</v>
      </c>
      <c r="G1168" s="100">
        <v>400</v>
      </c>
      <c r="H1168" s="100"/>
      <c r="I1168" s="100"/>
      <c r="J1168" s="101">
        <f t="shared" si="625"/>
        <v>800</v>
      </c>
      <c r="K1168" s="115">
        <f>IF(A1168&lt;&gt;0,INDEX(Coûts, 'PA-Détails'!A1168, 3),)</f>
        <v>1500</v>
      </c>
      <c r="L1168" s="37">
        <f t="shared" si="631"/>
        <v>0</v>
      </c>
      <c r="M1168" s="36">
        <f t="shared" si="631"/>
        <v>600000</v>
      </c>
      <c r="N1168" s="36">
        <f t="shared" si="631"/>
        <v>600000</v>
      </c>
      <c r="O1168" s="36">
        <f t="shared" si="631"/>
        <v>0</v>
      </c>
      <c r="P1168" s="268">
        <f t="shared" si="631"/>
        <v>0</v>
      </c>
      <c r="Q1168" s="281">
        <f>SUM(L1168:P1168)</f>
        <v>1200000</v>
      </c>
      <c r="R1168" s="39"/>
      <c r="S1168" s="115"/>
      <c r="T1168" s="51"/>
    </row>
    <row r="1169" spans="1:20" x14ac:dyDescent="0.2">
      <c r="A1169" s="17" t="s">
        <v>126</v>
      </c>
      <c r="B1169" s="45"/>
      <c r="C1169" s="51"/>
      <c r="D1169" s="18"/>
      <c r="E1169" s="97"/>
      <c r="F1169" s="98"/>
      <c r="G1169" s="98"/>
      <c r="H1169" s="98"/>
      <c r="I1169" s="98"/>
      <c r="J1169" s="99">
        <f t="shared" si="625"/>
        <v>0</v>
      </c>
      <c r="K1169" s="116"/>
      <c r="L1169" s="35">
        <f t="shared" si="631"/>
        <v>0</v>
      </c>
      <c r="M1169" s="34">
        <f t="shared" si="631"/>
        <v>0</v>
      </c>
      <c r="N1169" s="34">
        <f t="shared" si="631"/>
        <v>0</v>
      </c>
      <c r="O1169" s="34">
        <f t="shared" si="631"/>
        <v>0</v>
      </c>
      <c r="P1169" s="269">
        <f t="shared" si="631"/>
        <v>0</v>
      </c>
      <c r="Q1169" s="279">
        <f>SUM(L1169:P1169)</f>
        <v>0</v>
      </c>
      <c r="R1169" s="38"/>
      <c r="S1169" s="116"/>
      <c r="T1169" s="50"/>
    </row>
    <row r="1170" spans="1:20" x14ac:dyDescent="0.2">
      <c r="A1170" s="20" t="s">
        <v>630</v>
      </c>
      <c r="B1170" s="149"/>
      <c r="C1170" s="51"/>
      <c r="D1170" s="21"/>
      <c r="E1170" s="96"/>
      <c r="F1170" s="100"/>
      <c r="G1170" s="100"/>
      <c r="H1170" s="100"/>
      <c r="I1170" s="100"/>
      <c r="J1170" s="101">
        <f t="shared" si="625"/>
        <v>0</v>
      </c>
      <c r="K1170" s="115"/>
      <c r="L1170" s="161">
        <f t="shared" ref="L1170:Q1170" si="632">SUM(L1171:L1172)</f>
        <v>0</v>
      </c>
      <c r="M1170" s="157">
        <f t="shared" si="632"/>
        <v>806000</v>
      </c>
      <c r="N1170" s="157">
        <f t="shared" si="632"/>
        <v>800000</v>
      </c>
      <c r="O1170" s="157">
        <f t="shared" si="632"/>
        <v>800000</v>
      </c>
      <c r="P1170" s="270">
        <f t="shared" si="632"/>
        <v>800000</v>
      </c>
      <c r="Q1170" s="284">
        <f t="shared" si="632"/>
        <v>3206000</v>
      </c>
      <c r="R1170" s="198" t="s">
        <v>882</v>
      </c>
      <c r="S1170" s="147" t="s">
        <v>801</v>
      </c>
      <c r="T1170" s="51"/>
    </row>
    <row r="1171" spans="1:20" x14ac:dyDescent="0.2">
      <c r="A1171" s="95">
        <v>2</v>
      </c>
      <c r="B1171" s="108" t="str">
        <f>IF(A1171&lt;&gt;0,INDEX(Coûts,'PA-Détails'!A1171, 2),)</f>
        <v>Assistance technique nationale (consultants)</v>
      </c>
      <c r="C1171" s="51"/>
      <c r="D1171" s="94" t="str">
        <f>IF(A1171&lt;&gt;0,INDEX(Coûts, 'PA-Détails'!A1171, 5),)</f>
        <v>Pers / j</v>
      </c>
      <c r="E1171" s="96"/>
      <c r="F1171" s="100">
        <v>20</v>
      </c>
      <c r="G1171" s="100"/>
      <c r="H1171" s="100"/>
      <c r="I1171" s="100"/>
      <c r="J1171" s="101">
        <f t="shared" si="625"/>
        <v>20</v>
      </c>
      <c r="K1171" s="115">
        <f>IF(A1171&lt;&gt;0,INDEX(Coûts, 'PA-Détails'!A1171, 3),)</f>
        <v>300</v>
      </c>
      <c r="L1171" s="37">
        <f t="shared" ref="L1171:P1174" si="633">ROUND(+$K1171*E1171,0)</f>
        <v>0</v>
      </c>
      <c r="M1171" s="36">
        <f t="shared" si="633"/>
        <v>6000</v>
      </c>
      <c r="N1171" s="36">
        <f t="shared" si="633"/>
        <v>0</v>
      </c>
      <c r="O1171" s="36">
        <f t="shared" si="633"/>
        <v>0</v>
      </c>
      <c r="P1171" s="268">
        <f t="shared" si="633"/>
        <v>0</v>
      </c>
      <c r="Q1171" s="281">
        <f>SUM(L1171:P1171)</f>
        <v>6000</v>
      </c>
      <c r="R1171" s="39"/>
      <c r="S1171" s="115"/>
      <c r="T1171" s="51"/>
    </row>
    <row r="1172" spans="1:20" x14ac:dyDescent="0.2">
      <c r="A1172" s="95">
        <v>127</v>
      </c>
      <c r="B1172" s="108" t="str">
        <f>IF(A1172&lt;&gt;0,INDEX(Coûts,'PA-Détails'!A1172, 2),)</f>
        <v>Budget de production de plan stratégique (EES)</v>
      </c>
      <c r="C1172" s="51"/>
      <c r="D1172" s="94" t="str">
        <f>IF(A1172&lt;&gt;0,INDEX(Coûts, 'PA-Détails'!A1172, 5),)</f>
        <v>Forfait/an</v>
      </c>
      <c r="E1172" s="96"/>
      <c r="F1172" s="100">
        <v>400</v>
      </c>
      <c r="G1172" s="100">
        <f>F1172</f>
        <v>400</v>
      </c>
      <c r="H1172" s="100">
        <f>G1172</f>
        <v>400</v>
      </c>
      <c r="I1172" s="100">
        <f>H1172</f>
        <v>400</v>
      </c>
      <c r="J1172" s="101">
        <f t="shared" si="625"/>
        <v>1600</v>
      </c>
      <c r="K1172" s="115">
        <f>IF(A1172&lt;&gt;0,INDEX(Coûts, 'PA-Détails'!A1172, 3),)</f>
        <v>2000</v>
      </c>
      <c r="L1172" s="37">
        <f t="shared" si="633"/>
        <v>0</v>
      </c>
      <c r="M1172" s="36">
        <f t="shared" si="633"/>
        <v>800000</v>
      </c>
      <c r="N1172" s="36">
        <f t="shared" si="633"/>
        <v>800000</v>
      </c>
      <c r="O1172" s="36">
        <f t="shared" si="633"/>
        <v>800000</v>
      </c>
      <c r="P1172" s="268">
        <f t="shared" si="633"/>
        <v>800000</v>
      </c>
      <c r="Q1172" s="281">
        <f>SUM(L1172:P1172)</f>
        <v>3200000</v>
      </c>
      <c r="R1172" s="39"/>
      <c r="S1172" s="115"/>
      <c r="T1172" s="51"/>
    </row>
    <row r="1173" spans="1:20" x14ac:dyDescent="0.2">
      <c r="A1173" s="14" t="s">
        <v>127</v>
      </c>
      <c r="B1173" s="44"/>
      <c r="C1173" s="112"/>
      <c r="D1173" s="15"/>
      <c r="E1173" s="102"/>
      <c r="F1173" s="103"/>
      <c r="G1173" s="103"/>
      <c r="H1173" s="103"/>
      <c r="I1173" s="103"/>
      <c r="J1173" s="104">
        <f t="shared" si="625"/>
        <v>0</v>
      </c>
      <c r="K1173" s="145"/>
      <c r="L1173" s="33">
        <f t="shared" si="633"/>
        <v>0</v>
      </c>
      <c r="M1173" s="32">
        <f t="shared" si="633"/>
        <v>0</v>
      </c>
      <c r="N1173" s="32">
        <f t="shared" si="633"/>
        <v>0</v>
      </c>
      <c r="O1173" s="32">
        <f t="shared" si="633"/>
        <v>0</v>
      </c>
      <c r="P1173" s="267">
        <f t="shared" si="633"/>
        <v>0</v>
      </c>
      <c r="Q1173" s="278">
        <f>SUM(L1173:P1173)</f>
        <v>0</v>
      </c>
      <c r="R1173" s="40"/>
      <c r="S1173" s="145"/>
      <c r="T1173" s="49">
        <v>3</v>
      </c>
    </row>
    <row r="1174" spans="1:20" x14ac:dyDescent="0.2">
      <c r="A1174" s="17" t="s">
        <v>128</v>
      </c>
      <c r="B1174" s="45"/>
      <c r="C1174" s="51"/>
      <c r="D1174" s="18"/>
      <c r="E1174" s="97"/>
      <c r="F1174" s="98"/>
      <c r="G1174" s="98"/>
      <c r="H1174" s="98"/>
      <c r="I1174" s="98"/>
      <c r="J1174" s="99">
        <f t="shared" si="625"/>
        <v>0</v>
      </c>
      <c r="K1174" s="116"/>
      <c r="L1174" s="35">
        <f t="shared" si="633"/>
        <v>0</v>
      </c>
      <c r="M1174" s="34">
        <f t="shared" si="633"/>
        <v>0</v>
      </c>
      <c r="N1174" s="34">
        <f t="shared" si="633"/>
        <v>0</v>
      </c>
      <c r="O1174" s="34">
        <f t="shared" si="633"/>
        <v>0</v>
      </c>
      <c r="P1174" s="269">
        <f t="shared" si="633"/>
        <v>0</v>
      </c>
      <c r="Q1174" s="279">
        <f>SUM(L1174:P1174)</f>
        <v>0</v>
      </c>
      <c r="R1174" s="38"/>
      <c r="S1174" s="116"/>
      <c r="T1174" s="50"/>
    </row>
    <row r="1175" spans="1:20" x14ac:dyDescent="0.2">
      <c r="A1175" s="20" t="s">
        <v>1123</v>
      </c>
      <c r="B1175" s="149"/>
      <c r="C1175" s="51"/>
      <c r="D1175" s="21"/>
      <c r="E1175" s="96"/>
      <c r="F1175" s="100"/>
      <c r="G1175" s="100"/>
      <c r="H1175" s="100"/>
      <c r="I1175" s="100"/>
      <c r="J1175" s="101">
        <f t="shared" si="625"/>
        <v>0</v>
      </c>
      <c r="K1175" s="115"/>
      <c r="L1175" s="161">
        <f t="shared" ref="L1175:Q1175" si="634">SUM(L1176:L1177)</f>
        <v>30000</v>
      </c>
      <c r="M1175" s="157">
        <f t="shared" si="634"/>
        <v>0</v>
      </c>
      <c r="N1175" s="157">
        <f t="shared" si="634"/>
        <v>0</v>
      </c>
      <c r="O1175" s="157">
        <f t="shared" si="634"/>
        <v>0</v>
      </c>
      <c r="P1175" s="270">
        <f t="shared" si="634"/>
        <v>0</v>
      </c>
      <c r="Q1175" s="284">
        <f t="shared" si="634"/>
        <v>30000</v>
      </c>
      <c r="R1175" s="198" t="s">
        <v>804</v>
      </c>
      <c r="S1175" s="147" t="s">
        <v>663</v>
      </c>
      <c r="T1175" s="51"/>
    </row>
    <row r="1176" spans="1:20" x14ac:dyDescent="0.2">
      <c r="A1176" s="95">
        <v>2</v>
      </c>
      <c r="B1176" s="108" t="str">
        <f>IF(A1176&lt;&gt;0,INDEX(Coûts,'PA-Détails'!A1176, 2),)</f>
        <v>Assistance technique nationale (consultants)</v>
      </c>
      <c r="C1176" s="51"/>
      <c r="D1176" s="94" t="str">
        <f>IF(A1176&lt;&gt;0,INDEX(Coûts, 'PA-Détails'!A1176, 5),)</f>
        <v>Pers / j</v>
      </c>
      <c r="E1176" s="96">
        <v>30</v>
      </c>
      <c r="F1176" s="100"/>
      <c r="G1176" s="100"/>
      <c r="H1176" s="100"/>
      <c r="I1176" s="100"/>
      <c r="J1176" s="101">
        <f t="shared" si="625"/>
        <v>30</v>
      </c>
      <c r="K1176" s="115">
        <f>IF(A1176&lt;&gt;0,INDEX(Coûts, 'PA-Détails'!A1176, 3),)</f>
        <v>300</v>
      </c>
      <c r="L1176" s="37">
        <f t="shared" ref="L1176:P1178" si="635">ROUND(+$K1176*E1176,0)</f>
        <v>9000</v>
      </c>
      <c r="M1176" s="36">
        <f t="shared" si="635"/>
        <v>0</v>
      </c>
      <c r="N1176" s="36">
        <f t="shared" si="635"/>
        <v>0</v>
      </c>
      <c r="O1176" s="36">
        <f t="shared" si="635"/>
        <v>0</v>
      </c>
      <c r="P1176" s="268">
        <f t="shared" si="635"/>
        <v>0</v>
      </c>
      <c r="Q1176" s="281">
        <f>SUM(L1176:P1176)</f>
        <v>9000</v>
      </c>
      <c r="R1176" s="39"/>
      <c r="S1176" s="115"/>
      <c r="T1176" s="51"/>
    </row>
    <row r="1177" spans="1:20" x14ac:dyDescent="0.2">
      <c r="A1177" s="95">
        <v>11</v>
      </c>
      <c r="B1177" s="108" t="str">
        <f>IF(A1177&lt;&gt;0,INDEX(Coûts,'PA-Détails'!A1177, 2),)</f>
        <v>Atelier technique</v>
      </c>
      <c r="C1177" s="51"/>
      <c r="D1177" s="94" t="str">
        <f>IF(A1177&lt;&gt;0,INDEX(Coûts, 'PA-Détails'!A1177, 5),)</f>
        <v>Pers / j</v>
      </c>
      <c r="E1177" s="96">
        <v>300</v>
      </c>
      <c r="F1177" s="100"/>
      <c r="G1177" s="100"/>
      <c r="H1177" s="100"/>
      <c r="I1177" s="100"/>
      <c r="J1177" s="101">
        <f t="shared" si="625"/>
        <v>300</v>
      </c>
      <c r="K1177" s="115">
        <f>IF(A1177&lt;&gt;0,INDEX(Coûts, 'PA-Détails'!A1177, 3),)</f>
        <v>70</v>
      </c>
      <c r="L1177" s="37">
        <f t="shared" si="635"/>
        <v>21000</v>
      </c>
      <c r="M1177" s="36">
        <f t="shared" si="635"/>
        <v>0</v>
      </c>
      <c r="N1177" s="36">
        <f t="shared" si="635"/>
        <v>0</v>
      </c>
      <c r="O1177" s="36">
        <f t="shared" si="635"/>
        <v>0</v>
      </c>
      <c r="P1177" s="268">
        <f t="shared" si="635"/>
        <v>0</v>
      </c>
      <c r="Q1177" s="281">
        <f>SUM(L1177:P1177)</f>
        <v>21000</v>
      </c>
      <c r="R1177" s="39"/>
      <c r="S1177" s="115"/>
      <c r="T1177" s="51"/>
    </row>
    <row r="1178" spans="1:20" x14ac:dyDescent="0.2">
      <c r="A1178" s="17" t="s">
        <v>129</v>
      </c>
      <c r="B1178" s="45"/>
      <c r="C1178" s="51"/>
      <c r="D1178" s="18"/>
      <c r="E1178" s="97"/>
      <c r="F1178" s="98"/>
      <c r="G1178" s="98"/>
      <c r="H1178" s="98"/>
      <c r="I1178" s="98"/>
      <c r="J1178" s="99">
        <f t="shared" si="625"/>
        <v>0</v>
      </c>
      <c r="K1178" s="116"/>
      <c r="L1178" s="35">
        <f t="shared" si="635"/>
        <v>0</v>
      </c>
      <c r="M1178" s="34">
        <f t="shared" si="635"/>
        <v>0</v>
      </c>
      <c r="N1178" s="34">
        <f t="shared" si="635"/>
        <v>0</v>
      </c>
      <c r="O1178" s="34">
        <f t="shared" si="635"/>
        <v>0</v>
      </c>
      <c r="P1178" s="269">
        <f t="shared" si="635"/>
        <v>0</v>
      </c>
      <c r="Q1178" s="279">
        <f>SUM(L1178:P1178)</f>
        <v>0</v>
      </c>
      <c r="R1178" s="38"/>
      <c r="S1178" s="116"/>
      <c r="T1178" s="50"/>
    </row>
    <row r="1179" spans="1:20" x14ac:dyDescent="0.2">
      <c r="A1179" s="20" t="s">
        <v>1614</v>
      </c>
      <c r="B1179" s="149"/>
      <c r="C1179" s="51"/>
      <c r="D1179" s="21"/>
      <c r="E1179" s="96"/>
      <c r="F1179" s="100"/>
      <c r="G1179" s="100"/>
      <c r="H1179" s="100"/>
      <c r="I1179" s="100"/>
      <c r="J1179" s="101">
        <f t="shared" si="625"/>
        <v>0</v>
      </c>
      <c r="K1179" s="115"/>
      <c r="L1179" s="161">
        <f t="shared" ref="L1179:Q1179" si="636">SUM(L1180:L1182)</f>
        <v>38750</v>
      </c>
      <c r="M1179" s="34">
        <f t="shared" si="636"/>
        <v>0</v>
      </c>
      <c r="N1179" s="34">
        <f t="shared" si="636"/>
        <v>0</v>
      </c>
      <c r="O1179" s="34">
        <f t="shared" si="636"/>
        <v>0</v>
      </c>
      <c r="P1179" s="269">
        <f t="shared" si="636"/>
        <v>0</v>
      </c>
      <c r="Q1179" s="279">
        <f t="shared" si="636"/>
        <v>38750</v>
      </c>
      <c r="R1179" s="198" t="s">
        <v>882</v>
      </c>
      <c r="S1179" s="147" t="s">
        <v>801</v>
      </c>
      <c r="T1179" s="51"/>
    </row>
    <row r="1180" spans="1:20" x14ac:dyDescent="0.2">
      <c r="A1180" s="95">
        <v>1</v>
      </c>
      <c r="B1180" s="108" t="str">
        <f>IF(A1180&lt;&gt;0,INDEX(Coûts,'PA-Détails'!A1180, 2),)</f>
        <v>Assistance technique internationale (consultants)</v>
      </c>
      <c r="C1180" s="51"/>
      <c r="D1180" s="94" t="str">
        <f>IF(A1180&lt;&gt;0,INDEX(Coûts, 'PA-Détails'!A1180, 5),)</f>
        <v>Pers / j</v>
      </c>
      <c r="E1180" s="96">
        <f>1*30</f>
        <v>30</v>
      </c>
      <c r="F1180" s="100"/>
      <c r="G1180" s="100"/>
      <c r="H1180" s="100"/>
      <c r="I1180" s="100"/>
      <c r="J1180" s="101">
        <f t="shared" si="625"/>
        <v>30</v>
      </c>
      <c r="K1180" s="115">
        <f>IF(A1180&lt;&gt;0,INDEX(Coûts, 'PA-Détails'!A1180, 3),)</f>
        <v>1150</v>
      </c>
      <c r="L1180" s="37">
        <f t="shared" ref="L1180:P1182" si="637">ROUND(+$K1180*E1180,0)</f>
        <v>34500</v>
      </c>
      <c r="M1180" s="36">
        <f t="shared" si="637"/>
        <v>0</v>
      </c>
      <c r="N1180" s="36">
        <f t="shared" si="637"/>
        <v>0</v>
      </c>
      <c r="O1180" s="36">
        <f t="shared" si="637"/>
        <v>0</v>
      </c>
      <c r="P1180" s="268">
        <f t="shared" si="637"/>
        <v>0</v>
      </c>
      <c r="Q1180" s="281">
        <f>SUM(L1180:P1180)</f>
        <v>34500</v>
      </c>
      <c r="R1180" s="39"/>
      <c r="S1180" s="115"/>
      <c r="T1180" s="51"/>
    </row>
    <row r="1181" spans="1:20" x14ac:dyDescent="0.2">
      <c r="A1181" s="95">
        <v>11</v>
      </c>
      <c r="B1181" s="108" t="str">
        <f>IF(A1181&lt;&gt;0,INDEX(Coûts,'PA-Détails'!A1181, 2),)</f>
        <v>Atelier technique</v>
      </c>
      <c r="C1181" s="51"/>
      <c r="D1181" s="94" t="str">
        <f>IF(A1181&lt;&gt;0,INDEX(Coûts, 'PA-Détails'!A1181, 5),)</f>
        <v>Pers / j</v>
      </c>
      <c r="E1181" s="96">
        <f>10*5</f>
        <v>50</v>
      </c>
      <c r="F1181" s="100"/>
      <c r="G1181" s="100"/>
      <c r="H1181" s="100"/>
      <c r="I1181" s="100"/>
      <c r="J1181" s="101">
        <f t="shared" si="625"/>
        <v>50</v>
      </c>
      <c r="K1181" s="115">
        <f>IF(A1181&lt;&gt;0,INDEX(Coûts, 'PA-Détails'!A1181, 3),)</f>
        <v>70</v>
      </c>
      <c r="L1181" s="37">
        <f t="shared" si="637"/>
        <v>3500</v>
      </c>
      <c r="M1181" s="36">
        <f t="shared" si="637"/>
        <v>0</v>
      </c>
      <c r="N1181" s="36">
        <f t="shared" si="637"/>
        <v>0</v>
      </c>
      <c r="O1181" s="36">
        <f t="shared" si="637"/>
        <v>0</v>
      </c>
      <c r="P1181" s="268">
        <f t="shared" si="637"/>
        <v>0</v>
      </c>
      <c r="Q1181" s="281">
        <f>SUM(L1181:P1181)</f>
        <v>3500</v>
      </c>
      <c r="R1181" s="39"/>
      <c r="S1181" s="115"/>
      <c r="T1181" s="51"/>
    </row>
    <row r="1182" spans="1:20" x14ac:dyDescent="0.2">
      <c r="A1182" s="95">
        <v>5</v>
      </c>
      <c r="B1182" s="108" t="str">
        <f>IF(A1182&lt;&gt;0,INDEX(Coûts,'PA-Détails'!A1182, 2),)</f>
        <v>Atelier de validation</v>
      </c>
      <c r="C1182" s="51"/>
      <c r="D1182" s="94" t="str">
        <f>IF(A1182&lt;&gt;0,INDEX(Coûts, 'PA-Détails'!A1182, 5),)</f>
        <v>Pers / j</v>
      </c>
      <c r="E1182" s="96">
        <f>5*3</f>
        <v>15</v>
      </c>
      <c r="F1182" s="100"/>
      <c r="G1182" s="100"/>
      <c r="H1182" s="100"/>
      <c r="I1182" s="100"/>
      <c r="J1182" s="101">
        <f t="shared" si="625"/>
        <v>15</v>
      </c>
      <c r="K1182" s="115">
        <f>IF(A1182&lt;&gt;0,INDEX(Coûts, 'PA-Détails'!A1182, 3),)</f>
        <v>50</v>
      </c>
      <c r="L1182" s="37">
        <f t="shared" si="637"/>
        <v>750</v>
      </c>
      <c r="M1182" s="36">
        <f t="shared" si="637"/>
        <v>0</v>
      </c>
      <c r="N1182" s="36">
        <f t="shared" si="637"/>
        <v>0</v>
      </c>
      <c r="O1182" s="36">
        <f t="shared" si="637"/>
        <v>0</v>
      </c>
      <c r="P1182" s="268">
        <f t="shared" si="637"/>
        <v>0</v>
      </c>
      <c r="Q1182" s="281">
        <f>SUM(L1182:P1182)</f>
        <v>750</v>
      </c>
      <c r="R1182" s="39"/>
      <c r="S1182" s="115"/>
      <c r="T1182" s="51"/>
    </row>
    <row r="1183" spans="1:20" x14ac:dyDescent="0.2">
      <c r="A1183" s="20" t="s">
        <v>632</v>
      </c>
      <c r="B1183" s="149"/>
      <c r="C1183" s="51"/>
      <c r="D1183" s="21"/>
      <c r="E1183" s="96"/>
      <c r="F1183" s="100"/>
      <c r="G1183" s="100"/>
      <c r="H1183" s="100"/>
      <c r="I1183" s="100"/>
      <c r="J1183" s="101">
        <f t="shared" si="625"/>
        <v>0</v>
      </c>
      <c r="K1183" s="115"/>
      <c r="L1183" s="161">
        <f t="shared" ref="L1183:Q1183" si="638">SUM(L1184:L1186)</f>
        <v>0</v>
      </c>
      <c r="M1183" s="34">
        <f t="shared" si="638"/>
        <v>93000</v>
      </c>
      <c r="N1183" s="34">
        <f t="shared" si="638"/>
        <v>3000</v>
      </c>
      <c r="O1183" s="34">
        <f t="shared" si="638"/>
        <v>3000</v>
      </c>
      <c r="P1183" s="269">
        <f t="shared" si="638"/>
        <v>3000</v>
      </c>
      <c r="Q1183" s="279">
        <f t="shared" si="638"/>
        <v>102000</v>
      </c>
      <c r="R1183" s="198" t="s">
        <v>882</v>
      </c>
      <c r="S1183" s="147" t="s">
        <v>801</v>
      </c>
      <c r="T1183" s="51"/>
    </row>
    <row r="1184" spans="1:20" x14ac:dyDescent="0.2">
      <c r="A1184" s="95">
        <v>2</v>
      </c>
      <c r="B1184" s="108" t="str">
        <f>IF(A1184&lt;&gt;0,INDEX(Coûts,'PA-Détails'!A1184, 2),)</f>
        <v>Assistance technique nationale (consultants)</v>
      </c>
      <c r="C1184" s="51"/>
      <c r="D1184" s="94" t="str">
        <f>IF(A1184&lt;&gt;0,INDEX(Coûts, 'PA-Détails'!A1184, 5),)</f>
        <v>Pers / j</v>
      </c>
      <c r="E1184" s="96"/>
      <c r="F1184" s="100">
        <v>10</v>
      </c>
      <c r="G1184" s="100">
        <v>10</v>
      </c>
      <c r="H1184" s="100">
        <v>10</v>
      </c>
      <c r="I1184" s="100">
        <v>10</v>
      </c>
      <c r="J1184" s="101">
        <f t="shared" si="625"/>
        <v>40</v>
      </c>
      <c r="K1184" s="115">
        <f>IF(A1184&lt;&gt;0,INDEX(Coûts, 'PA-Détails'!A1184, 3),)</f>
        <v>300</v>
      </c>
      <c r="L1184" s="37">
        <f t="shared" ref="L1184:P1187" si="639">ROUND(+$K1184*E1184,0)</f>
        <v>0</v>
      </c>
      <c r="M1184" s="36">
        <f t="shared" si="639"/>
        <v>3000</v>
      </c>
      <c r="N1184" s="36">
        <f t="shared" si="639"/>
        <v>3000</v>
      </c>
      <c r="O1184" s="36">
        <f t="shared" si="639"/>
        <v>3000</v>
      </c>
      <c r="P1184" s="268">
        <f t="shared" si="639"/>
        <v>3000</v>
      </c>
      <c r="Q1184" s="281">
        <f>SUM(L1184:P1184)</f>
        <v>12000</v>
      </c>
      <c r="R1184" s="39"/>
      <c r="S1184" s="115"/>
      <c r="T1184" s="51"/>
    </row>
    <row r="1185" spans="1:26" x14ac:dyDescent="0.2">
      <c r="A1185" s="95">
        <v>12</v>
      </c>
      <c r="B1185" s="108" t="str">
        <f>IF(A1185&lt;&gt;0,INDEX(Coûts,'PA-Détails'!A1185, 2),)</f>
        <v>Formation - Action et Formation de formateurs</v>
      </c>
      <c r="C1185" s="51"/>
      <c r="D1185" s="94" t="str">
        <f>IF(A1185&lt;&gt;0,INDEX(Coûts, 'PA-Détails'!A1185, 5),)</f>
        <v>Pers / j</v>
      </c>
      <c r="E1185" s="96"/>
      <c r="F1185" s="100">
        <f>40*5</f>
        <v>200</v>
      </c>
      <c r="G1185" s="100"/>
      <c r="H1185" s="100"/>
      <c r="I1185" s="100"/>
      <c r="J1185" s="101">
        <f t="shared" si="625"/>
        <v>200</v>
      </c>
      <c r="K1185" s="115">
        <f>IF(A1185&lt;&gt;0,INDEX(Coûts, 'PA-Détails'!A1185, 3),)</f>
        <v>150</v>
      </c>
      <c r="L1185" s="37">
        <f t="shared" si="639"/>
        <v>0</v>
      </c>
      <c r="M1185" s="36">
        <f t="shared" si="639"/>
        <v>30000</v>
      </c>
      <c r="N1185" s="36">
        <f t="shared" si="639"/>
        <v>0</v>
      </c>
      <c r="O1185" s="36">
        <f t="shared" si="639"/>
        <v>0</v>
      </c>
      <c r="P1185" s="268">
        <f t="shared" si="639"/>
        <v>0</v>
      </c>
      <c r="Q1185" s="281">
        <f>SUM(L1185:P1185)</f>
        <v>30000</v>
      </c>
      <c r="R1185" s="39"/>
      <c r="S1185" s="115"/>
      <c r="T1185" s="51"/>
    </row>
    <row r="1186" spans="1:26" x14ac:dyDescent="0.2">
      <c r="A1186" s="95">
        <v>13</v>
      </c>
      <c r="B1186" s="108" t="str">
        <f>IF(A1186&lt;&gt;0,INDEX(Coûts,'PA-Détails'!A1186, 2),)</f>
        <v>Formation au niveau local</v>
      </c>
      <c r="C1186" s="51"/>
      <c r="D1186" s="94" t="str">
        <f>IF(A1186&lt;&gt;0,INDEX(Coûts, 'PA-Détails'!A1186, 5),)</f>
        <v>Pers / j</v>
      </c>
      <c r="E1186" s="96"/>
      <c r="F1186" s="100">
        <f>400*10</f>
        <v>4000</v>
      </c>
      <c r="G1186" s="100"/>
      <c r="H1186" s="100"/>
      <c r="I1186" s="100"/>
      <c r="J1186" s="101">
        <f t="shared" si="625"/>
        <v>4000</v>
      </c>
      <c r="K1186" s="115">
        <f>IF(A1186&lt;&gt;0,INDEX(Coûts, 'PA-Détails'!A1186, 3),)</f>
        <v>15</v>
      </c>
      <c r="L1186" s="37">
        <f t="shared" si="639"/>
        <v>0</v>
      </c>
      <c r="M1186" s="36">
        <f t="shared" si="639"/>
        <v>60000</v>
      </c>
      <c r="N1186" s="36">
        <f t="shared" si="639"/>
        <v>0</v>
      </c>
      <c r="O1186" s="36">
        <f t="shared" si="639"/>
        <v>0</v>
      </c>
      <c r="P1186" s="268">
        <f t="shared" si="639"/>
        <v>0</v>
      </c>
      <c r="Q1186" s="281">
        <f>SUM(L1186:P1186)</f>
        <v>60000</v>
      </c>
      <c r="R1186" s="39"/>
      <c r="S1186" s="115"/>
      <c r="T1186" s="51"/>
    </row>
    <row r="1187" spans="1:26" x14ac:dyDescent="0.2">
      <c r="A1187" s="17" t="s">
        <v>130</v>
      </c>
      <c r="B1187" s="45"/>
      <c r="C1187" s="51" t="s">
        <v>633</v>
      </c>
      <c r="D1187" s="18"/>
      <c r="E1187" s="97"/>
      <c r="F1187" s="98"/>
      <c r="G1187" s="98"/>
      <c r="H1187" s="98"/>
      <c r="I1187" s="98"/>
      <c r="J1187" s="99">
        <f t="shared" si="625"/>
        <v>0</v>
      </c>
      <c r="K1187" s="116"/>
      <c r="L1187" s="35">
        <f t="shared" si="639"/>
        <v>0</v>
      </c>
      <c r="M1187" s="34">
        <f t="shared" si="639"/>
        <v>0</v>
      </c>
      <c r="N1187" s="34">
        <f t="shared" si="639"/>
        <v>0</v>
      </c>
      <c r="O1187" s="34">
        <f t="shared" si="639"/>
        <v>0</v>
      </c>
      <c r="P1187" s="269">
        <f t="shared" si="639"/>
        <v>0</v>
      </c>
      <c r="Q1187" s="279">
        <f>SUM(L1187:P1187)</f>
        <v>0</v>
      </c>
      <c r="R1187" s="38"/>
      <c r="S1187" s="116"/>
      <c r="T1187" s="50"/>
    </row>
    <row r="1188" spans="1:26" x14ac:dyDescent="0.2">
      <c r="A1188" s="20" t="s">
        <v>634</v>
      </c>
      <c r="B1188" s="149"/>
      <c r="C1188" s="51"/>
      <c r="D1188" s="21"/>
      <c r="E1188" s="96"/>
      <c r="F1188" s="100"/>
      <c r="G1188" s="100"/>
      <c r="H1188" s="100"/>
      <c r="I1188" s="100"/>
      <c r="J1188" s="101">
        <f t="shared" ref="J1188:J1200" si="640">SUM(E1188:I1188)</f>
        <v>0</v>
      </c>
      <c r="K1188" s="115"/>
      <c r="L1188" s="161">
        <f>SUM(L1189:L1190)</f>
        <v>0</v>
      </c>
      <c r="M1188" s="34">
        <f>SUM(M1189:M1190)</f>
        <v>0</v>
      </c>
      <c r="N1188" s="34">
        <f>SUM(N1189:N1190)</f>
        <v>11500</v>
      </c>
      <c r="O1188" s="34">
        <f>SUM(O1189:O1190)</f>
        <v>5500</v>
      </c>
      <c r="P1188" s="269">
        <f>SUM(P1189:P1190)</f>
        <v>5500</v>
      </c>
      <c r="Q1188" s="279">
        <f>SUM(Q1189:Q1191)</f>
        <v>22500</v>
      </c>
      <c r="R1188" s="198" t="s">
        <v>807</v>
      </c>
      <c r="S1188" s="147" t="s">
        <v>801</v>
      </c>
      <c r="T1188" s="51"/>
    </row>
    <row r="1189" spans="1:26" x14ac:dyDescent="0.2">
      <c r="A1189" s="95">
        <v>2</v>
      </c>
      <c r="B1189" s="108" t="str">
        <f>IF(A1189&lt;&gt;0,INDEX(Coûts,'PA-Détails'!A1189, 2),)</f>
        <v>Assistance technique nationale (consultants)</v>
      </c>
      <c r="C1189" s="51"/>
      <c r="D1189" s="94" t="str">
        <f>IF(A1189&lt;&gt;0,INDEX(Coûts, 'PA-Détails'!A1189, 5),)</f>
        <v>Pers / j</v>
      </c>
      <c r="E1189" s="96"/>
      <c r="F1189" s="100"/>
      <c r="G1189" s="100">
        <v>20</v>
      </c>
      <c r="H1189" s="100"/>
      <c r="I1189" s="100"/>
      <c r="J1189" s="101">
        <f t="shared" si="640"/>
        <v>20</v>
      </c>
      <c r="K1189" s="115">
        <f>IF(A1189&lt;&gt;0,INDEX(Coûts, 'PA-Détails'!A1189, 3),)</f>
        <v>300</v>
      </c>
      <c r="L1189" s="37">
        <f t="shared" ref="L1189:P1191" si="641">ROUND(+$K1189*E1189,0)</f>
        <v>0</v>
      </c>
      <c r="M1189" s="36">
        <f t="shared" si="641"/>
        <v>0</v>
      </c>
      <c r="N1189" s="36">
        <f t="shared" si="641"/>
        <v>6000</v>
      </c>
      <c r="O1189" s="36">
        <f t="shared" si="641"/>
        <v>0</v>
      </c>
      <c r="P1189" s="268">
        <f t="shared" si="641"/>
        <v>0</v>
      </c>
      <c r="Q1189" s="281">
        <f>SUM(L1189:P1189)</f>
        <v>6000</v>
      </c>
      <c r="R1189" s="198"/>
      <c r="S1189" s="147"/>
      <c r="T1189" s="51"/>
    </row>
    <row r="1190" spans="1:26" x14ac:dyDescent="0.2">
      <c r="A1190" s="95">
        <v>222</v>
      </c>
      <c r="B1190" s="108" t="str">
        <f>IF(A1190&lt;&gt;0,INDEX(Coûts,'PA-Détails'!A1190, 2),)</f>
        <v>Mission en province des services déconcentrés</v>
      </c>
      <c r="C1190" s="51"/>
      <c r="D1190" s="94" t="str">
        <f>IF(A1190&lt;&gt;0,INDEX(Coûts, 'PA-Détails'!A1190, 5),)</f>
        <v>P/j</v>
      </c>
      <c r="E1190" s="96"/>
      <c r="F1190" s="100"/>
      <c r="G1190" s="100">
        <f>11*2*5</f>
        <v>110</v>
      </c>
      <c r="H1190" s="100">
        <f>G1190</f>
        <v>110</v>
      </c>
      <c r="I1190" s="100">
        <f>H1190</f>
        <v>110</v>
      </c>
      <c r="J1190" s="101">
        <f t="shared" si="640"/>
        <v>330</v>
      </c>
      <c r="K1190" s="115">
        <f>IF(A1190&lt;&gt;0,INDEX(Coûts, 'PA-Détails'!A1190, 3),)</f>
        <v>50</v>
      </c>
      <c r="L1190" s="37">
        <f t="shared" si="641"/>
        <v>0</v>
      </c>
      <c r="M1190" s="36">
        <f t="shared" si="641"/>
        <v>0</v>
      </c>
      <c r="N1190" s="36">
        <f t="shared" si="641"/>
        <v>5500</v>
      </c>
      <c r="O1190" s="36">
        <f t="shared" si="641"/>
        <v>5500</v>
      </c>
      <c r="P1190" s="268">
        <f t="shared" si="641"/>
        <v>5500</v>
      </c>
      <c r="Q1190" s="281">
        <f>SUM(L1190:P1190)</f>
        <v>16500</v>
      </c>
      <c r="R1190" s="198"/>
      <c r="S1190" s="147"/>
      <c r="T1190" s="51"/>
    </row>
    <row r="1191" spans="1:26" x14ac:dyDescent="0.2">
      <c r="A1191" s="17" t="s">
        <v>131</v>
      </c>
      <c r="B1191" s="45"/>
      <c r="C1191" s="51"/>
      <c r="D1191" s="18"/>
      <c r="E1191" s="97"/>
      <c r="F1191" s="98"/>
      <c r="G1191" s="98"/>
      <c r="H1191" s="98"/>
      <c r="I1191" s="98"/>
      <c r="J1191" s="99">
        <f t="shared" si="640"/>
        <v>0</v>
      </c>
      <c r="K1191" s="116"/>
      <c r="L1191" s="35">
        <f t="shared" si="641"/>
        <v>0</v>
      </c>
      <c r="M1191" s="34">
        <f t="shared" si="641"/>
        <v>0</v>
      </c>
      <c r="N1191" s="34">
        <f t="shared" si="641"/>
        <v>0</v>
      </c>
      <c r="O1191" s="34">
        <f t="shared" si="641"/>
        <v>0</v>
      </c>
      <c r="P1191" s="269">
        <f t="shared" si="641"/>
        <v>0</v>
      </c>
      <c r="Q1191" s="279">
        <f>SUM(L1191:P1191)</f>
        <v>0</v>
      </c>
      <c r="R1191" s="209"/>
      <c r="S1191" s="210"/>
      <c r="T1191" s="50"/>
    </row>
    <row r="1192" spans="1:26" x14ac:dyDescent="0.2">
      <c r="A1192" s="20" t="s">
        <v>635</v>
      </c>
      <c r="B1192" s="149"/>
      <c r="C1192" s="51"/>
      <c r="D1192" s="21"/>
      <c r="E1192" s="96"/>
      <c r="F1192" s="100"/>
      <c r="G1192" s="100"/>
      <c r="H1192" s="100"/>
      <c r="I1192" s="100"/>
      <c r="J1192" s="101">
        <f t="shared" si="640"/>
        <v>0</v>
      </c>
      <c r="K1192" s="115"/>
      <c r="L1192" s="161">
        <f t="shared" ref="L1192:Q1192" si="642">SUM(L1193:L1195)</f>
        <v>30000</v>
      </c>
      <c r="M1192" s="34">
        <f t="shared" si="642"/>
        <v>34000</v>
      </c>
      <c r="N1192" s="34">
        <f t="shared" si="642"/>
        <v>0</v>
      </c>
      <c r="O1192" s="34">
        <f t="shared" si="642"/>
        <v>0</v>
      </c>
      <c r="P1192" s="269">
        <f t="shared" si="642"/>
        <v>0</v>
      </c>
      <c r="Q1192" s="279">
        <f t="shared" si="642"/>
        <v>64000</v>
      </c>
      <c r="R1192" s="198" t="s">
        <v>796</v>
      </c>
      <c r="S1192" s="147" t="s">
        <v>801</v>
      </c>
      <c r="T1192" s="51"/>
    </row>
    <row r="1193" spans="1:26" x14ac:dyDescent="0.2">
      <c r="A1193" s="95">
        <v>1</v>
      </c>
      <c r="B1193" s="108" t="str">
        <f>IF(A1193&lt;&gt;0,INDEX(Coûts,'PA-Détails'!A1193, 2),)</f>
        <v>Assistance technique internationale (consultants)</v>
      </c>
      <c r="C1193" s="51"/>
      <c r="D1193" s="94" t="str">
        <f>IF(A1193&lt;&gt;0,INDEX(Coûts, 'PA-Détails'!A1193, 5),)</f>
        <v>Pers / j</v>
      </c>
      <c r="E1193" s="96">
        <v>10</v>
      </c>
      <c r="F1193" s="100"/>
      <c r="G1193" s="100"/>
      <c r="H1193" s="100"/>
      <c r="I1193" s="100"/>
      <c r="J1193" s="101">
        <f t="shared" si="640"/>
        <v>10</v>
      </c>
      <c r="K1193" s="115">
        <f>IF(A1193&lt;&gt;0,INDEX(Coûts, 'PA-Détails'!A1193, 3),)</f>
        <v>1150</v>
      </c>
      <c r="L1193" s="37">
        <f t="shared" ref="L1193:P1198" si="643">ROUND(+$K1193*E1193,0)</f>
        <v>11500</v>
      </c>
      <c r="M1193" s="36">
        <f t="shared" si="643"/>
        <v>0</v>
      </c>
      <c r="N1193" s="36">
        <f t="shared" si="643"/>
        <v>0</v>
      </c>
      <c r="O1193" s="36">
        <f t="shared" si="643"/>
        <v>0</v>
      </c>
      <c r="P1193" s="268">
        <f t="shared" si="643"/>
        <v>0</v>
      </c>
      <c r="Q1193" s="281">
        <f t="shared" ref="Q1193:Q1198" si="644">SUM(L1193:P1193)</f>
        <v>11500</v>
      </c>
      <c r="R1193" s="39"/>
      <c r="S1193" s="115"/>
      <c r="T1193" s="51"/>
    </row>
    <row r="1194" spans="1:26" x14ac:dyDescent="0.2">
      <c r="A1194" s="95">
        <v>2</v>
      </c>
      <c r="B1194" s="108" t="str">
        <f>IF(A1194&lt;&gt;0,INDEX(Coûts,'PA-Détails'!A1194, 2),)</f>
        <v>Assistance technique nationale (consultants)</v>
      </c>
      <c r="C1194" s="51"/>
      <c r="D1194" s="94" t="str">
        <f>IF(A1194&lt;&gt;0,INDEX(Coûts, 'PA-Détails'!A1194, 5),)</f>
        <v>Pers / j</v>
      </c>
      <c r="E1194" s="96">
        <v>15</v>
      </c>
      <c r="F1194" s="100">
        <v>20</v>
      </c>
      <c r="G1194" s="100"/>
      <c r="H1194" s="100"/>
      <c r="I1194" s="100"/>
      <c r="J1194" s="101">
        <f t="shared" si="640"/>
        <v>35</v>
      </c>
      <c r="K1194" s="115">
        <f>IF(A1194&lt;&gt;0,INDEX(Coûts, 'PA-Détails'!A1194, 3),)</f>
        <v>300</v>
      </c>
      <c r="L1194" s="37">
        <f t="shared" si="643"/>
        <v>4500</v>
      </c>
      <c r="M1194" s="36">
        <f t="shared" si="643"/>
        <v>6000</v>
      </c>
      <c r="N1194" s="36">
        <f t="shared" si="643"/>
        <v>0</v>
      </c>
      <c r="O1194" s="36">
        <f t="shared" si="643"/>
        <v>0</v>
      </c>
      <c r="P1194" s="268">
        <f t="shared" si="643"/>
        <v>0</v>
      </c>
      <c r="Q1194" s="281">
        <f t="shared" si="644"/>
        <v>10500</v>
      </c>
      <c r="R1194" s="39"/>
      <c r="S1194" s="115"/>
      <c r="T1194" s="51"/>
    </row>
    <row r="1195" spans="1:26" x14ac:dyDescent="0.2">
      <c r="A1195" s="95">
        <v>11</v>
      </c>
      <c r="B1195" s="108" t="str">
        <f>IF(A1195&lt;&gt;0,INDEX(Coûts,'PA-Détails'!A1195, 2),)</f>
        <v>Atelier technique</v>
      </c>
      <c r="C1195" s="51"/>
      <c r="D1195" s="94" t="str">
        <f>IF(A1195&lt;&gt;0,INDEX(Coûts, 'PA-Détails'!A1195, 5),)</f>
        <v>Pers / j</v>
      </c>
      <c r="E1195" s="96">
        <v>200</v>
      </c>
      <c r="F1195" s="100">
        <v>400</v>
      </c>
      <c r="G1195" s="100"/>
      <c r="H1195" s="100"/>
      <c r="I1195" s="100"/>
      <c r="J1195" s="101">
        <f t="shared" si="640"/>
        <v>600</v>
      </c>
      <c r="K1195" s="115">
        <f>IF(A1195&lt;&gt;0,INDEX(Coûts, 'PA-Détails'!A1195, 3),)</f>
        <v>70</v>
      </c>
      <c r="L1195" s="37">
        <f t="shared" si="643"/>
        <v>14000</v>
      </c>
      <c r="M1195" s="36">
        <f t="shared" si="643"/>
        <v>28000</v>
      </c>
      <c r="N1195" s="36">
        <f t="shared" si="643"/>
        <v>0</v>
      </c>
      <c r="O1195" s="36">
        <f t="shared" si="643"/>
        <v>0</v>
      </c>
      <c r="P1195" s="268">
        <f t="shared" si="643"/>
        <v>0</v>
      </c>
      <c r="Q1195" s="281">
        <f t="shared" si="644"/>
        <v>42000</v>
      </c>
      <c r="R1195" s="39"/>
      <c r="S1195" s="115"/>
      <c r="T1195" s="51"/>
    </row>
    <row r="1196" spans="1:26" x14ac:dyDescent="0.2">
      <c r="A1196" s="11" t="s">
        <v>1213</v>
      </c>
      <c r="B1196" s="13"/>
      <c r="C1196" s="113"/>
      <c r="D1196" s="12"/>
      <c r="E1196" s="105"/>
      <c r="F1196" s="106"/>
      <c r="G1196" s="106"/>
      <c r="H1196" s="106"/>
      <c r="I1196" s="106"/>
      <c r="J1196" s="107">
        <f t="shared" si="640"/>
        <v>0</v>
      </c>
      <c r="K1196" s="144"/>
      <c r="L1196" s="30">
        <f t="shared" si="643"/>
        <v>0</v>
      </c>
      <c r="M1196" s="29">
        <f t="shared" si="643"/>
        <v>0</v>
      </c>
      <c r="N1196" s="29">
        <f t="shared" si="643"/>
        <v>0</v>
      </c>
      <c r="O1196" s="29">
        <f t="shared" si="643"/>
        <v>0</v>
      </c>
      <c r="P1196" s="266">
        <f t="shared" si="643"/>
        <v>0</v>
      </c>
      <c r="Q1196" s="277">
        <f t="shared" si="644"/>
        <v>0</v>
      </c>
      <c r="R1196" s="41"/>
      <c r="S1196" s="144"/>
      <c r="T1196" s="48"/>
      <c r="U1196" s="653">
        <f>+SUM(Q$6:Q1195)/2</f>
        <v>7229230135.0287485</v>
      </c>
    </row>
    <row r="1197" spans="1:26" x14ac:dyDescent="0.2">
      <c r="A1197" s="14" t="s">
        <v>132</v>
      </c>
      <c r="B1197" s="44"/>
      <c r="C1197" s="112"/>
      <c r="D1197" s="15"/>
      <c r="E1197" s="102"/>
      <c r="F1197" s="103"/>
      <c r="G1197" s="103"/>
      <c r="H1197" s="103"/>
      <c r="I1197" s="103"/>
      <c r="J1197" s="104">
        <f t="shared" si="640"/>
        <v>0</v>
      </c>
      <c r="K1197" s="145"/>
      <c r="L1197" s="33">
        <f t="shared" si="643"/>
        <v>0</v>
      </c>
      <c r="M1197" s="32">
        <f t="shared" si="643"/>
        <v>0</v>
      </c>
      <c r="N1197" s="32">
        <f t="shared" si="643"/>
        <v>0</v>
      </c>
      <c r="O1197" s="32">
        <f t="shared" si="643"/>
        <v>0</v>
      </c>
      <c r="P1197" s="267">
        <f t="shared" si="643"/>
        <v>0</v>
      </c>
      <c r="Q1197" s="278">
        <f t="shared" si="644"/>
        <v>0</v>
      </c>
      <c r="R1197" s="40"/>
      <c r="S1197" s="145"/>
      <c r="T1197" s="49">
        <v>3</v>
      </c>
    </row>
    <row r="1198" spans="1:26" s="162" customFormat="1" x14ac:dyDescent="0.2">
      <c r="A1198" s="122" t="s">
        <v>133</v>
      </c>
      <c r="B1198" s="152"/>
      <c r="C1198" s="153" t="s">
        <v>636</v>
      </c>
      <c r="D1198" s="155"/>
      <c r="E1198" s="97"/>
      <c r="F1198" s="98"/>
      <c r="G1198" s="98"/>
      <c r="H1198" s="98"/>
      <c r="I1198" s="98"/>
      <c r="J1198" s="99">
        <f t="shared" si="640"/>
        <v>0</v>
      </c>
      <c r="K1198" s="208"/>
      <c r="L1198" s="161">
        <f t="shared" si="643"/>
        <v>0</v>
      </c>
      <c r="M1198" s="157">
        <f t="shared" si="643"/>
        <v>0</v>
      </c>
      <c r="N1198" s="157">
        <f t="shared" si="643"/>
        <v>0</v>
      </c>
      <c r="O1198" s="157">
        <f t="shared" si="643"/>
        <v>0</v>
      </c>
      <c r="P1198" s="270">
        <f t="shared" si="643"/>
        <v>0</v>
      </c>
      <c r="Q1198" s="284">
        <f t="shared" si="644"/>
        <v>0</v>
      </c>
      <c r="R1198" s="159"/>
      <c r="S1198" s="208"/>
      <c r="T1198" s="154"/>
      <c r="U1198" s="653">
        <f>+SUM(Q1199:Q1224)/2</f>
        <v>111773260</v>
      </c>
      <c r="V1198" s="572"/>
      <c r="W1198" s="572"/>
      <c r="X1198" s="572"/>
      <c r="Y1198" s="572"/>
      <c r="Z1198" s="572"/>
    </row>
    <row r="1199" spans="1:26" s="162" customFormat="1" x14ac:dyDescent="0.2">
      <c r="A1199" s="123" t="s">
        <v>1615</v>
      </c>
      <c r="B1199" s="244"/>
      <c r="C1199" s="153"/>
      <c r="D1199" s="203"/>
      <c r="E1199" s="96"/>
      <c r="F1199" s="100"/>
      <c r="G1199" s="100"/>
      <c r="H1199" s="100"/>
      <c r="I1199" s="100"/>
      <c r="J1199" s="101">
        <f t="shared" si="640"/>
        <v>0</v>
      </c>
      <c r="K1199" s="94"/>
      <c r="L1199" s="161">
        <f t="shared" ref="L1199:Q1199" si="645">SUM(L1200:L1200)</f>
        <v>7421690</v>
      </c>
      <c r="M1199" s="157">
        <f t="shared" si="645"/>
        <v>7570120</v>
      </c>
      <c r="N1199" s="157">
        <f t="shared" si="645"/>
        <v>7721520</v>
      </c>
      <c r="O1199" s="157">
        <f t="shared" si="645"/>
        <v>7875950</v>
      </c>
      <c r="P1199" s="270">
        <f t="shared" si="645"/>
        <v>8033470</v>
      </c>
      <c r="Q1199" s="284">
        <f t="shared" si="645"/>
        <v>38622750</v>
      </c>
      <c r="R1199" s="169" t="s">
        <v>772</v>
      </c>
      <c r="S1199" s="94" t="s">
        <v>663</v>
      </c>
      <c r="T1199" s="153"/>
      <c r="U1199" s="653"/>
      <c r="V1199" s="572"/>
      <c r="W1199" s="572"/>
      <c r="X1199" s="572"/>
      <c r="Y1199" s="572"/>
      <c r="Z1199" s="572"/>
    </row>
    <row r="1200" spans="1:26" s="162" customFormat="1" ht="12.75" x14ac:dyDescent="0.25">
      <c r="A1200" s="95">
        <v>205</v>
      </c>
      <c r="B1200" s="163" t="str">
        <f>IF(A1200&lt;&gt;0,INDEX(Coûts,'PA-Détails'!A1200, 2),)</f>
        <v>Salaires des fonctionnaires services centraux EPS-INC</v>
      </c>
      <c r="C1200" s="153"/>
      <c r="D1200" s="94" t="str">
        <f>IF(A1200&lt;&gt;0,INDEX(Coûts, 'PA-Détails'!A1200, 5),)</f>
        <v>Estimation</v>
      </c>
      <c r="E1200" s="240">
        <f>ROUND(0.9*'[5]Gestion-Pilotage'!I47,-1)</f>
        <v>7421690</v>
      </c>
      <c r="F1200" s="241">
        <f>ROUND(0.9*'[5]Gestion-Pilotage'!J47,-1)</f>
        <v>7570120</v>
      </c>
      <c r="G1200" s="241">
        <f>ROUND(0.9*'[5]Gestion-Pilotage'!K47,-1)</f>
        <v>7721520</v>
      </c>
      <c r="H1200" s="241">
        <f>ROUND(0.9*'[5]Gestion-Pilotage'!L47,-1)</f>
        <v>7875950</v>
      </c>
      <c r="I1200" s="241">
        <f>ROUND(0.9*'[5]Gestion-Pilotage'!M47,-1)</f>
        <v>8033470</v>
      </c>
      <c r="J1200" s="232">
        <f t="shared" si="640"/>
        <v>38622750</v>
      </c>
      <c r="K1200" s="94">
        <f>IF(A1200&lt;&gt;0,INDEX(Coûts, 'PA-Détails'!A1200, 3),)</f>
        <v>1</v>
      </c>
      <c r="L1200" s="167">
        <f>ROUND(+$K1200*E1200,0)</f>
        <v>7421690</v>
      </c>
      <c r="M1200" s="168">
        <f>ROUND(+$K1200*F1200,0)</f>
        <v>7570120</v>
      </c>
      <c r="N1200" s="168">
        <f>ROUND(+$K1200*G1200,0)</f>
        <v>7721520</v>
      </c>
      <c r="O1200" s="168">
        <f>ROUND(+$K1200*H1200,0)</f>
        <v>7875950</v>
      </c>
      <c r="P1200" s="271">
        <f>ROUND(+$K1200*I1200,0)</f>
        <v>8033470</v>
      </c>
      <c r="Q1200" s="283">
        <f>SUM(L1200:P1200)</f>
        <v>38622750</v>
      </c>
      <c r="R1200" s="169"/>
      <c r="S1200" s="94"/>
      <c r="T1200" s="153"/>
      <c r="U1200" s="653"/>
      <c r="V1200" s="572"/>
      <c r="W1200" s="572"/>
      <c r="X1200" s="572"/>
      <c r="Y1200" s="572"/>
      <c r="Z1200" s="572"/>
    </row>
    <row r="1201" spans="1:26" s="162" customFormat="1" ht="12.75" x14ac:dyDescent="0.25">
      <c r="A1201" s="123" t="s">
        <v>933</v>
      </c>
      <c r="B1201" s="244"/>
      <c r="C1201" s="153"/>
      <c r="D1201" s="203"/>
      <c r="E1201" s="240"/>
      <c r="F1201" s="241"/>
      <c r="G1201" s="241"/>
      <c r="H1201" s="241"/>
      <c r="I1201" s="241"/>
      <c r="J1201" s="232"/>
      <c r="K1201" s="94"/>
      <c r="L1201" s="161">
        <f t="shared" ref="L1201:Q1201" si="646">SUM(L1202:L1202)</f>
        <v>773690</v>
      </c>
      <c r="M1201" s="157">
        <f t="shared" si="646"/>
        <v>657580</v>
      </c>
      <c r="N1201" s="157">
        <f t="shared" si="646"/>
        <v>670730</v>
      </c>
      <c r="O1201" s="157">
        <f t="shared" si="646"/>
        <v>684140</v>
      </c>
      <c r="P1201" s="270">
        <f t="shared" si="646"/>
        <v>697830</v>
      </c>
      <c r="Q1201" s="284">
        <f t="shared" si="646"/>
        <v>3483970</v>
      </c>
      <c r="R1201" s="169" t="s">
        <v>1433</v>
      </c>
      <c r="S1201" s="94" t="s">
        <v>663</v>
      </c>
      <c r="T1201" s="153"/>
      <c r="U1201" s="653"/>
      <c r="V1201" s="572"/>
      <c r="W1201" s="572"/>
      <c r="X1201" s="572"/>
      <c r="Y1201" s="572"/>
      <c r="Z1201" s="572"/>
    </row>
    <row r="1202" spans="1:26" s="162" customFormat="1" ht="12.75" x14ac:dyDescent="0.25">
      <c r="A1202" s="95">
        <v>206</v>
      </c>
      <c r="B1202" s="163" t="str">
        <f>IF(A1202&lt;&gt;0,INDEX(Coûts,'PA-Détails'!A1202, 2),)</f>
        <v>Salaires des fonctionnaires services centraux ESU</v>
      </c>
      <c r="C1202" s="153"/>
      <c r="D1202" s="94" t="str">
        <f>IF(A1202&lt;&gt;0,INDEX(Coûts, 'PA-Détails'!A1202, 5),)</f>
        <v>Estimation</v>
      </c>
      <c r="E1202" s="240">
        <f>ROUND(0.9*'[5]Gestion-Pilotage'!I48,-1)</f>
        <v>773690</v>
      </c>
      <c r="F1202" s="241">
        <f>ROUND(0.9*'[5]Gestion-Pilotage'!J49,-1)</f>
        <v>657580</v>
      </c>
      <c r="G1202" s="241">
        <f>ROUND(0.9*'[5]Gestion-Pilotage'!K49,-1)</f>
        <v>670730</v>
      </c>
      <c r="H1202" s="241">
        <f>ROUND(0.9*'[5]Gestion-Pilotage'!L49,-1)</f>
        <v>684140</v>
      </c>
      <c r="I1202" s="241">
        <f>ROUND(0.9*'[5]Gestion-Pilotage'!M49,-1)</f>
        <v>697830</v>
      </c>
      <c r="J1202" s="232">
        <f t="shared" ref="J1202:J1218" si="647">SUM(E1202:I1202)</f>
        <v>3483970</v>
      </c>
      <c r="K1202" s="94">
        <f>IF(A1202&lt;&gt;0,INDEX(Coûts, 'PA-Détails'!A1202, 3),)</f>
        <v>1</v>
      </c>
      <c r="L1202" s="167">
        <f>ROUND(+$K1202*E1202,0)</f>
        <v>773690</v>
      </c>
      <c r="M1202" s="168">
        <f>ROUND(+$K1202*F1202,0)</f>
        <v>657580</v>
      </c>
      <c r="N1202" s="168">
        <f>ROUND(+$K1202*G1202,0)</f>
        <v>670730</v>
      </c>
      <c r="O1202" s="168">
        <f>ROUND(+$K1202*H1202,0)</f>
        <v>684140</v>
      </c>
      <c r="P1202" s="271">
        <f>ROUND(+$K1202*I1202,0)</f>
        <v>697830</v>
      </c>
      <c r="Q1202" s="283">
        <f>SUM(L1202:P1202)</f>
        <v>3483970</v>
      </c>
      <c r="R1202" s="169"/>
      <c r="S1202" s="94"/>
      <c r="T1202" s="153"/>
      <c r="U1202" s="653"/>
      <c r="V1202" s="572"/>
      <c r="W1202" s="572"/>
      <c r="X1202" s="572"/>
      <c r="Y1202" s="572"/>
      <c r="Z1202" s="572"/>
    </row>
    <row r="1203" spans="1:26" s="162" customFormat="1" ht="12.75" x14ac:dyDescent="0.25">
      <c r="A1203" s="123" t="s">
        <v>844</v>
      </c>
      <c r="B1203" s="244"/>
      <c r="C1203" s="153"/>
      <c r="D1203" s="203"/>
      <c r="E1203" s="240"/>
      <c r="F1203" s="241">
        <f>ROUND(0.9*'[5]Gestion-Pilotage'!J50,-1)</f>
        <v>0</v>
      </c>
      <c r="G1203" s="241">
        <f>ROUND(0.9*'[5]Gestion-Pilotage'!K50,-1)</f>
        <v>0</v>
      </c>
      <c r="H1203" s="241">
        <f>ROUND(0.9*'[5]Gestion-Pilotage'!L50,-1)</f>
        <v>0</v>
      </c>
      <c r="I1203" s="241">
        <f>ROUND(0.9*'[5]Gestion-Pilotage'!M50,-1)</f>
        <v>0</v>
      </c>
      <c r="J1203" s="232">
        <f t="shared" si="647"/>
        <v>0</v>
      </c>
      <c r="K1203" s="94"/>
      <c r="L1203" s="161">
        <f t="shared" ref="L1203:Q1203" si="648">SUM(L1204:L1204)</f>
        <v>644680</v>
      </c>
      <c r="M1203" s="157">
        <f t="shared" si="648"/>
        <v>1892530</v>
      </c>
      <c r="N1203" s="157">
        <f t="shared" si="648"/>
        <v>1930380</v>
      </c>
      <c r="O1203" s="157">
        <f t="shared" si="648"/>
        <v>1968990</v>
      </c>
      <c r="P1203" s="270">
        <f t="shared" si="648"/>
        <v>2008370</v>
      </c>
      <c r="Q1203" s="284">
        <f t="shared" si="648"/>
        <v>8444950</v>
      </c>
      <c r="R1203" s="169" t="s">
        <v>704</v>
      </c>
      <c r="S1203" s="94" t="s">
        <v>663</v>
      </c>
      <c r="T1203" s="153"/>
      <c r="U1203" s="653"/>
      <c r="V1203" s="572"/>
      <c r="W1203" s="572"/>
      <c r="X1203" s="572"/>
      <c r="Y1203" s="572"/>
      <c r="Z1203" s="572"/>
    </row>
    <row r="1204" spans="1:26" s="162" customFormat="1" ht="12.75" x14ac:dyDescent="0.25">
      <c r="A1204" s="95">
        <v>207</v>
      </c>
      <c r="B1204" s="163" t="str">
        <f>IF(A1204&lt;&gt;0,INDEX(Coûts,'PA-Détails'!A1204, 2),)</f>
        <v>Salaires des fonctionnaires services centraux MAS</v>
      </c>
      <c r="C1204" s="153"/>
      <c r="D1204" s="94" t="str">
        <f>IF(A1204&lt;&gt;0,INDEX(Coûts, 'PA-Détails'!A1204, 5),)</f>
        <v>Estimation</v>
      </c>
      <c r="E1204" s="240">
        <f>ROUND(0.9*'[5]Gestion-Pilotage'!I49,-1)</f>
        <v>644680</v>
      </c>
      <c r="F1204" s="241">
        <f>ROUND(0.9*'[5]Gestion-Pilotage'!J51,-1)</f>
        <v>1892530</v>
      </c>
      <c r="G1204" s="241">
        <f>ROUND(0.9*'[5]Gestion-Pilotage'!K51,-1)</f>
        <v>1930380</v>
      </c>
      <c r="H1204" s="241">
        <f>ROUND(0.9*'[5]Gestion-Pilotage'!L51,-1)</f>
        <v>1968990</v>
      </c>
      <c r="I1204" s="241">
        <f>ROUND(0.9*'[5]Gestion-Pilotage'!M51,-1)</f>
        <v>2008370</v>
      </c>
      <c r="J1204" s="232">
        <f t="shared" si="647"/>
        <v>8444950</v>
      </c>
      <c r="K1204" s="94">
        <f>IF(A1204&lt;&gt;0,INDEX(Coûts, 'PA-Détails'!A1204, 3),)</f>
        <v>1</v>
      </c>
      <c r="L1204" s="167">
        <f>ROUND(+$K1204*E1204,0)</f>
        <v>644680</v>
      </c>
      <c r="M1204" s="168">
        <f>ROUND(+$K1204*F1204,0)</f>
        <v>1892530</v>
      </c>
      <c r="N1204" s="168">
        <f>ROUND(+$K1204*G1204,0)</f>
        <v>1930380</v>
      </c>
      <c r="O1204" s="168">
        <f>ROUND(+$K1204*H1204,0)</f>
        <v>1968990</v>
      </c>
      <c r="P1204" s="271">
        <f>ROUND(+$K1204*I1204,0)</f>
        <v>2008370</v>
      </c>
      <c r="Q1204" s="283">
        <f>SUM(L1204:P1204)</f>
        <v>8444950</v>
      </c>
      <c r="R1204" s="169"/>
      <c r="S1204" s="94"/>
      <c r="T1204" s="153"/>
      <c r="U1204" s="653"/>
      <c r="V1204" s="572"/>
      <c r="W1204" s="572"/>
      <c r="X1204" s="572"/>
      <c r="Y1204" s="572"/>
      <c r="Z1204" s="572"/>
    </row>
    <row r="1205" spans="1:26" s="162" customFormat="1" ht="12.75" x14ac:dyDescent="0.25">
      <c r="A1205" s="123" t="s">
        <v>1616</v>
      </c>
      <c r="B1205" s="244"/>
      <c r="C1205" s="153"/>
      <c r="D1205" s="203"/>
      <c r="E1205" s="240"/>
      <c r="F1205" s="241"/>
      <c r="G1205" s="241"/>
      <c r="H1205" s="241"/>
      <c r="I1205" s="241"/>
      <c r="J1205" s="232">
        <f t="shared" si="647"/>
        <v>0</v>
      </c>
      <c r="K1205" s="94"/>
      <c r="L1205" s="161">
        <f t="shared" ref="L1205:Q1205" si="649">SUM(L1206:L1206)</f>
        <v>824630</v>
      </c>
      <c r="M1205" s="157">
        <f t="shared" si="649"/>
        <v>841120</v>
      </c>
      <c r="N1205" s="157">
        <f t="shared" si="649"/>
        <v>857950</v>
      </c>
      <c r="O1205" s="157">
        <f t="shared" si="649"/>
        <v>875110</v>
      </c>
      <c r="P1205" s="270">
        <f t="shared" si="649"/>
        <v>892610</v>
      </c>
      <c r="Q1205" s="284">
        <f t="shared" si="649"/>
        <v>4291420</v>
      </c>
      <c r="R1205" s="169" t="s">
        <v>1410</v>
      </c>
      <c r="S1205" s="94" t="s">
        <v>663</v>
      </c>
      <c r="T1205" s="153"/>
      <c r="U1205" s="653"/>
      <c r="V1205" s="572"/>
      <c r="W1205" s="572"/>
      <c r="X1205" s="572"/>
      <c r="Y1205" s="572"/>
      <c r="Z1205" s="572"/>
    </row>
    <row r="1206" spans="1:26" s="162" customFormat="1" ht="12.75" x14ac:dyDescent="0.25">
      <c r="A1206" s="95">
        <v>208</v>
      </c>
      <c r="B1206" s="163" t="str">
        <f>IF(A1206&lt;&gt;0,INDEX(Coûts,'PA-Détails'!A1206, 2),)</f>
        <v>Salaires des fonctionnaires services centraux ETP</v>
      </c>
      <c r="C1206" s="153"/>
      <c r="D1206" s="94" t="str">
        <f>IF(A1206&lt;&gt;0,INDEX(Coûts, 'PA-Détails'!A1206, 5),)</f>
        <v>Estimation</v>
      </c>
      <c r="E1206" s="240">
        <f>ROUND('[5]Gestion-Pilotage'!I47,-1)-E1200</f>
        <v>824630</v>
      </c>
      <c r="F1206" s="241">
        <f>ROUND('[5]Gestion-Pilotage'!J47,-1)-F1200</f>
        <v>841120</v>
      </c>
      <c r="G1206" s="241">
        <f>ROUND('[5]Gestion-Pilotage'!K47,-1)-G1200</f>
        <v>857950</v>
      </c>
      <c r="H1206" s="241">
        <f>ROUND('[5]Gestion-Pilotage'!L47,-1)-H1200</f>
        <v>875110</v>
      </c>
      <c r="I1206" s="241">
        <f>ROUND('[5]Gestion-Pilotage'!M47,-1)-I1200</f>
        <v>892610</v>
      </c>
      <c r="J1206" s="232">
        <f t="shared" si="647"/>
        <v>4291420</v>
      </c>
      <c r="K1206" s="94">
        <f>IF(A1206&lt;&gt;0,INDEX(Coûts, 'PA-Détails'!A1206, 3),)</f>
        <v>1</v>
      </c>
      <c r="L1206" s="167">
        <f t="shared" ref="L1206:P1207" si="650">ROUND(+$K1206*E1206,0)</f>
        <v>824630</v>
      </c>
      <c r="M1206" s="168">
        <f t="shared" si="650"/>
        <v>841120</v>
      </c>
      <c r="N1206" s="168">
        <f t="shared" si="650"/>
        <v>857950</v>
      </c>
      <c r="O1206" s="168">
        <f t="shared" si="650"/>
        <v>875110</v>
      </c>
      <c r="P1206" s="271">
        <f t="shared" si="650"/>
        <v>892610</v>
      </c>
      <c r="Q1206" s="283">
        <f>SUM(L1206:P1206)</f>
        <v>4291420</v>
      </c>
      <c r="R1206" s="169"/>
      <c r="S1206" s="94"/>
      <c r="T1206" s="153"/>
      <c r="U1206" s="653"/>
      <c r="V1206" s="572"/>
      <c r="W1206" s="572"/>
      <c r="X1206" s="572"/>
      <c r="Y1206" s="572"/>
      <c r="Z1206" s="572"/>
    </row>
    <row r="1207" spans="1:26" s="162" customFormat="1" ht="12.75" x14ac:dyDescent="0.25">
      <c r="A1207" s="122" t="s">
        <v>638</v>
      </c>
      <c r="B1207" s="152"/>
      <c r="C1207" s="153"/>
      <c r="D1207" s="155"/>
      <c r="E1207" s="240"/>
      <c r="F1207" s="241"/>
      <c r="G1207" s="241"/>
      <c r="H1207" s="241"/>
      <c r="I1207" s="241"/>
      <c r="J1207" s="232">
        <f t="shared" si="647"/>
        <v>0</v>
      </c>
      <c r="K1207" s="208"/>
      <c r="L1207" s="161">
        <f t="shared" si="650"/>
        <v>0</v>
      </c>
      <c r="M1207" s="157">
        <f t="shared" si="650"/>
        <v>0</v>
      </c>
      <c r="N1207" s="157">
        <f t="shared" si="650"/>
        <v>0</v>
      </c>
      <c r="O1207" s="157">
        <f t="shared" si="650"/>
        <v>0</v>
      </c>
      <c r="P1207" s="270">
        <f t="shared" si="650"/>
        <v>0</v>
      </c>
      <c r="Q1207" s="284">
        <f>SUM(L1207:P1207)</f>
        <v>0</v>
      </c>
      <c r="R1207" s="159"/>
      <c r="S1207" s="208"/>
      <c r="T1207" s="154"/>
      <c r="U1207" s="653"/>
      <c r="V1207" s="572"/>
      <c r="W1207" s="572"/>
      <c r="X1207" s="572"/>
      <c r="Y1207" s="572"/>
      <c r="Z1207" s="572"/>
    </row>
    <row r="1208" spans="1:26" s="162" customFormat="1" ht="12.75" x14ac:dyDescent="0.25">
      <c r="A1208" s="123" t="s">
        <v>1125</v>
      </c>
      <c r="B1208" s="244"/>
      <c r="C1208" s="153"/>
      <c r="D1208" s="203"/>
      <c r="E1208" s="240"/>
      <c r="F1208" s="241"/>
      <c r="G1208" s="241"/>
      <c r="H1208" s="241"/>
      <c r="I1208" s="241"/>
      <c r="J1208" s="232">
        <f t="shared" si="647"/>
        <v>0</v>
      </c>
      <c r="K1208" s="94"/>
      <c r="L1208" s="161">
        <f t="shared" ref="L1208:Q1208" si="651">SUM(L1209:L1209)</f>
        <v>1855420</v>
      </c>
      <c r="M1208" s="157">
        <f t="shared" si="651"/>
        <v>1855420</v>
      </c>
      <c r="N1208" s="157">
        <f t="shared" si="651"/>
        <v>1855420</v>
      </c>
      <c r="O1208" s="157">
        <f t="shared" si="651"/>
        <v>1855420</v>
      </c>
      <c r="P1208" s="270">
        <f t="shared" si="651"/>
        <v>1855420</v>
      </c>
      <c r="Q1208" s="284">
        <f t="shared" si="651"/>
        <v>9277100</v>
      </c>
      <c r="R1208" s="169" t="s">
        <v>1407</v>
      </c>
      <c r="S1208" s="94"/>
      <c r="T1208" s="153"/>
      <c r="U1208" s="653"/>
      <c r="V1208" s="572"/>
      <c r="W1208" s="572"/>
      <c r="X1208" s="572"/>
      <c r="Y1208" s="572"/>
      <c r="Z1208" s="572"/>
    </row>
    <row r="1209" spans="1:26" s="162" customFormat="1" ht="12.75" x14ac:dyDescent="0.25">
      <c r="A1209" s="95">
        <v>235</v>
      </c>
      <c r="B1209" s="163" t="str">
        <f>IF(A1209&lt;&gt;0,INDEX(Coûts,'PA-Détails'!A1209, 2),)</f>
        <v>Frais de fonctionnement services centraux EPS-INC</v>
      </c>
      <c r="C1209" s="153"/>
      <c r="D1209" s="94" t="str">
        <f>IF(A1209&lt;&gt;0,INDEX(Coûts, 'PA-Détails'!A1209, 5),)</f>
        <v>Estimation</v>
      </c>
      <c r="E1209" s="240">
        <f>ROUND(0.9*'[5]Gestion-Pilotage'!I51,-1)</f>
        <v>1855420</v>
      </c>
      <c r="F1209" s="241">
        <f>E1209</f>
        <v>1855420</v>
      </c>
      <c r="G1209" s="241">
        <f>F1209</f>
        <v>1855420</v>
      </c>
      <c r="H1209" s="241">
        <f>G1209</f>
        <v>1855420</v>
      </c>
      <c r="I1209" s="241">
        <f>H1209</f>
        <v>1855420</v>
      </c>
      <c r="J1209" s="232">
        <f t="shared" si="647"/>
        <v>9277100</v>
      </c>
      <c r="K1209" s="94">
        <f>IF(A1209&lt;&gt;0,INDEX(Coûts, 'PA-Détails'!A1209, 3),)</f>
        <v>1</v>
      </c>
      <c r="L1209" s="167">
        <f>ROUND(+$K1209*E1209,0)</f>
        <v>1855420</v>
      </c>
      <c r="M1209" s="168">
        <f>ROUND(+$K1209*F1209,0)</f>
        <v>1855420</v>
      </c>
      <c r="N1209" s="168">
        <f>ROUND(+$K1209*G1209,0)</f>
        <v>1855420</v>
      </c>
      <c r="O1209" s="168">
        <f>ROUND(+$K1209*H1209,0)</f>
        <v>1855420</v>
      </c>
      <c r="P1209" s="271">
        <f>ROUND(+$K1209*I1209,0)</f>
        <v>1855420</v>
      </c>
      <c r="Q1209" s="283">
        <f>SUM(L1209:P1209)</f>
        <v>9277100</v>
      </c>
      <c r="S1209" s="94"/>
      <c r="T1209" s="153"/>
      <c r="U1209" s="653"/>
      <c r="V1209" s="572"/>
      <c r="W1209" s="572"/>
      <c r="X1209" s="572"/>
      <c r="Y1209" s="572"/>
      <c r="Z1209" s="572"/>
    </row>
    <row r="1210" spans="1:26" s="162" customFormat="1" ht="12.75" x14ac:dyDescent="0.25">
      <c r="A1210" s="123" t="s">
        <v>932</v>
      </c>
      <c r="B1210" s="244"/>
      <c r="C1210" s="153"/>
      <c r="D1210" s="203"/>
      <c r="E1210" s="240">
        <f>ROUND(0.9*'[5]Gestion-Pilotage'!I52,-1)</f>
        <v>0</v>
      </c>
      <c r="F1210" s="241"/>
      <c r="G1210" s="241"/>
      <c r="H1210" s="241"/>
      <c r="I1210" s="241"/>
      <c r="J1210" s="232">
        <f t="shared" si="647"/>
        <v>0</v>
      </c>
      <c r="K1210" s="94"/>
      <c r="L1210" s="161">
        <f t="shared" ref="L1210:Q1210" si="652">SUM(L1211:L1211)</f>
        <v>557000</v>
      </c>
      <c r="M1210" s="157">
        <f t="shared" si="652"/>
        <v>557000</v>
      </c>
      <c r="N1210" s="157">
        <f t="shared" si="652"/>
        <v>557000</v>
      </c>
      <c r="O1210" s="157">
        <f t="shared" si="652"/>
        <v>557000</v>
      </c>
      <c r="P1210" s="270">
        <f t="shared" si="652"/>
        <v>557000</v>
      </c>
      <c r="Q1210" s="284">
        <f t="shared" si="652"/>
        <v>2785000</v>
      </c>
      <c r="R1210" s="169" t="s">
        <v>1433</v>
      </c>
      <c r="S1210" s="94"/>
      <c r="T1210" s="153"/>
      <c r="U1210" s="653"/>
      <c r="V1210" s="572"/>
      <c r="W1210" s="572"/>
      <c r="X1210" s="572"/>
      <c r="Y1210" s="572"/>
      <c r="Z1210" s="572"/>
    </row>
    <row r="1211" spans="1:26" s="162" customFormat="1" ht="12.75" x14ac:dyDescent="0.25">
      <c r="A1211" s="95">
        <v>238</v>
      </c>
      <c r="B1211" s="163" t="str">
        <f>IF(A1211&lt;&gt;0,INDEX(Coûts,'PA-Détails'!A1211, 2),)</f>
        <v>Frais de fonctionnement services centraux MESU</v>
      </c>
      <c r="C1211" s="153"/>
      <c r="D1211" s="94" t="str">
        <f>IF(A1211&lt;&gt;0,INDEX(Coûts, 'PA-Détails'!A1211, 5),)</f>
        <v>Estimation</v>
      </c>
      <c r="E1211" s="240">
        <f>ROUND(0.3*E1209,-3)</f>
        <v>557000</v>
      </c>
      <c r="F1211" s="241">
        <f t="shared" ref="F1211:I1211" si="653">ROUND(0.3*F1209,-3)</f>
        <v>557000</v>
      </c>
      <c r="G1211" s="241">
        <f t="shared" si="653"/>
        <v>557000</v>
      </c>
      <c r="H1211" s="241">
        <f t="shared" si="653"/>
        <v>557000</v>
      </c>
      <c r="I1211" s="241">
        <f t="shared" si="653"/>
        <v>557000</v>
      </c>
      <c r="J1211" s="232">
        <f t="shared" si="647"/>
        <v>2785000</v>
      </c>
      <c r="K1211" s="94">
        <f>IF(A1211&lt;&gt;0,INDEX(Coûts, 'PA-Détails'!A1211, 3),)</f>
        <v>1</v>
      </c>
      <c r="L1211" s="167">
        <f>ROUND(+$K1211*E1211,0)</f>
        <v>557000</v>
      </c>
      <c r="M1211" s="168">
        <f>ROUND(+$K1211*F1211,0)</f>
        <v>557000</v>
      </c>
      <c r="N1211" s="168">
        <f>ROUND(+$K1211*G1211,0)</f>
        <v>557000</v>
      </c>
      <c r="O1211" s="168">
        <f>ROUND(+$K1211*H1211,0)</f>
        <v>557000</v>
      </c>
      <c r="P1211" s="271">
        <f>ROUND(+$K1211*I1211,0)</f>
        <v>557000</v>
      </c>
      <c r="Q1211" s="283">
        <f>SUM(L1211:P1211)</f>
        <v>2785000</v>
      </c>
      <c r="S1211" s="94"/>
      <c r="T1211" s="153"/>
      <c r="U1211" s="653"/>
      <c r="V1211" s="572"/>
      <c r="W1211" s="572"/>
      <c r="X1211" s="572"/>
      <c r="Y1211" s="572"/>
      <c r="Z1211" s="572"/>
    </row>
    <row r="1212" spans="1:26" s="162" customFormat="1" ht="12.75" x14ac:dyDescent="0.25">
      <c r="A1212" s="123" t="s">
        <v>639</v>
      </c>
      <c r="B1212" s="244"/>
      <c r="C1212" s="153"/>
      <c r="D1212" s="203"/>
      <c r="E1212" s="240">
        <f>ROUND(0.9*'[5]Gestion-Pilotage'!I54,-1)</f>
        <v>0</v>
      </c>
      <c r="F1212" s="241"/>
      <c r="G1212" s="241"/>
      <c r="H1212" s="241"/>
      <c r="I1212" s="241"/>
      <c r="J1212" s="232">
        <f t="shared" si="647"/>
        <v>0</v>
      </c>
      <c r="K1212" s="94"/>
      <c r="L1212" s="161">
        <f t="shared" ref="L1212:Q1212" si="654">SUM(L1213:L1213)</f>
        <v>79590</v>
      </c>
      <c r="M1212" s="157">
        <f t="shared" si="654"/>
        <v>81180</v>
      </c>
      <c r="N1212" s="157">
        <f t="shared" si="654"/>
        <v>82810</v>
      </c>
      <c r="O1212" s="157">
        <f t="shared" si="654"/>
        <v>84460</v>
      </c>
      <c r="P1212" s="270">
        <f t="shared" si="654"/>
        <v>86150</v>
      </c>
      <c r="Q1212" s="284">
        <f t="shared" si="654"/>
        <v>414190</v>
      </c>
      <c r="R1212" s="169" t="s">
        <v>704</v>
      </c>
      <c r="S1212" s="94"/>
      <c r="T1212" s="153"/>
      <c r="U1212" s="653"/>
      <c r="V1212" s="572"/>
      <c r="W1212" s="572"/>
      <c r="X1212" s="572"/>
      <c r="Y1212" s="572"/>
      <c r="Z1212" s="572"/>
    </row>
    <row r="1213" spans="1:26" s="162" customFormat="1" ht="12.75" x14ac:dyDescent="0.25">
      <c r="A1213" s="95">
        <v>237</v>
      </c>
      <c r="B1213" s="163" t="str">
        <f>IF(A1213&lt;&gt;0,INDEX(Coûts,'PA-Détails'!A1213, 2),)</f>
        <v>Frais de fonctionnement services centraux MAS (ENF)</v>
      </c>
      <c r="C1213" s="153"/>
      <c r="D1213" s="94" t="str">
        <f>IF(A1213&lt;&gt;0,INDEX(Coûts, 'PA-Détails'!A1213, 5),)</f>
        <v>Estimation</v>
      </c>
      <c r="E1213" s="240">
        <f>ROUND('[5]Gestion-Pilotage'!I53,-1)</f>
        <v>79590</v>
      </c>
      <c r="F1213" s="241">
        <f>ROUND('[5]Gestion-Pilotage'!J53,-1)</f>
        <v>81180</v>
      </c>
      <c r="G1213" s="241">
        <f>ROUND('[5]Gestion-Pilotage'!K53,-1)</f>
        <v>82810</v>
      </c>
      <c r="H1213" s="241">
        <f>ROUND('[5]Gestion-Pilotage'!L53,-1)</f>
        <v>84460</v>
      </c>
      <c r="I1213" s="241">
        <f>ROUND('[5]Gestion-Pilotage'!M53,-1)</f>
        <v>86150</v>
      </c>
      <c r="J1213" s="232">
        <f t="shared" si="647"/>
        <v>414190</v>
      </c>
      <c r="K1213" s="94">
        <f>IF(A1213&lt;&gt;0,INDEX(Coûts, 'PA-Détails'!A1213, 3),)</f>
        <v>1</v>
      </c>
      <c r="L1213" s="167">
        <f>ROUND(+$K1213*E1213,0)</f>
        <v>79590</v>
      </c>
      <c r="M1213" s="168">
        <f>ROUND(+$K1213*F1213,0)</f>
        <v>81180</v>
      </c>
      <c r="N1213" s="168">
        <f>ROUND(+$K1213*G1213,0)</f>
        <v>82810</v>
      </c>
      <c r="O1213" s="168">
        <f>ROUND(+$K1213*H1213,0)</f>
        <v>84460</v>
      </c>
      <c r="P1213" s="271">
        <f>ROUND(+$K1213*I1213,0)</f>
        <v>86150</v>
      </c>
      <c r="Q1213" s="283">
        <f>SUM(L1213:P1213)</f>
        <v>414190</v>
      </c>
      <c r="S1213" s="94"/>
      <c r="T1213" s="153"/>
      <c r="U1213" s="653"/>
      <c r="V1213" s="572"/>
      <c r="W1213" s="572"/>
      <c r="X1213" s="572"/>
      <c r="Y1213" s="572"/>
      <c r="Z1213" s="572"/>
    </row>
    <row r="1214" spans="1:26" s="162" customFormat="1" ht="12.75" x14ac:dyDescent="0.25">
      <c r="A1214" s="123" t="s">
        <v>640</v>
      </c>
      <c r="B1214" s="244"/>
      <c r="C1214" s="153"/>
      <c r="D1214" s="203"/>
      <c r="E1214" s="240"/>
      <c r="F1214" s="241"/>
      <c r="G1214" s="241"/>
      <c r="H1214" s="241"/>
      <c r="I1214" s="241"/>
      <c r="J1214" s="232">
        <f t="shared" si="647"/>
        <v>0</v>
      </c>
      <c r="K1214" s="94"/>
      <c r="L1214" s="161">
        <f t="shared" ref="L1214:Q1214" si="655">SUM(L1215:L1215)</f>
        <v>206160</v>
      </c>
      <c r="M1214" s="157">
        <f t="shared" si="655"/>
        <v>247390</v>
      </c>
      <c r="N1214" s="157">
        <f t="shared" si="655"/>
        <v>289450</v>
      </c>
      <c r="O1214" s="157">
        <f t="shared" si="655"/>
        <v>332340</v>
      </c>
      <c r="P1214" s="270">
        <f t="shared" si="655"/>
        <v>376100</v>
      </c>
      <c r="Q1214" s="284">
        <f t="shared" si="655"/>
        <v>1451440</v>
      </c>
      <c r="R1214" s="169" t="s">
        <v>1408</v>
      </c>
      <c r="S1214" s="94"/>
      <c r="T1214" s="153"/>
      <c r="U1214" s="653"/>
      <c r="V1214" s="572"/>
      <c r="W1214" s="572"/>
      <c r="X1214" s="572"/>
      <c r="Y1214" s="572"/>
      <c r="Z1214" s="572"/>
    </row>
    <row r="1215" spans="1:26" s="162" customFormat="1" ht="12.75" x14ac:dyDescent="0.25">
      <c r="A1215" s="95">
        <v>236</v>
      </c>
      <c r="B1215" s="163" t="str">
        <f>IF(A1215&lt;&gt;0,INDEX(Coûts,'PA-Détails'!A1215, 2),)</f>
        <v>Frais de fonctionnement services centraux ETP</v>
      </c>
      <c r="C1215" s="153"/>
      <c r="D1215" s="94" t="str">
        <f>IF(A1215&lt;&gt;0,INDEX(Coûts, 'PA-Détails'!A1215, 5),)</f>
        <v>Estimation</v>
      </c>
      <c r="E1215" s="240">
        <f>ROUND('[5]Gestion-Pilotage'!I51,-1)-E1209</f>
        <v>206160</v>
      </c>
      <c r="F1215" s="241">
        <f>ROUND('[5]Gestion-Pilotage'!J51,-1)-F1209</f>
        <v>247390</v>
      </c>
      <c r="G1215" s="241">
        <f>ROUND('[5]Gestion-Pilotage'!K51,-1)-G1209</f>
        <v>289450</v>
      </c>
      <c r="H1215" s="241">
        <f>ROUND('[5]Gestion-Pilotage'!L51,-1)-H1209</f>
        <v>332340</v>
      </c>
      <c r="I1215" s="241">
        <f>ROUND('[5]Gestion-Pilotage'!M51,-1)-I1209</f>
        <v>376100</v>
      </c>
      <c r="J1215" s="232">
        <f t="shared" si="647"/>
        <v>1451440</v>
      </c>
      <c r="K1215" s="94">
        <f>IF(A1215&lt;&gt;0,INDEX(Coûts, 'PA-Détails'!A1215, 3),)</f>
        <v>1</v>
      </c>
      <c r="L1215" s="167">
        <f t="shared" ref="L1215:P1216" si="656">ROUND(+$K1215*E1215,0)</f>
        <v>206160</v>
      </c>
      <c r="M1215" s="168">
        <f t="shared" si="656"/>
        <v>247390</v>
      </c>
      <c r="N1215" s="168">
        <f t="shared" si="656"/>
        <v>289450</v>
      </c>
      <c r="O1215" s="168">
        <f t="shared" si="656"/>
        <v>332340</v>
      </c>
      <c r="P1215" s="271">
        <f t="shared" si="656"/>
        <v>376100</v>
      </c>
      <c r="Q1215" s="283">
        <f>SUM(L1215:P1215)</f>
        <v>1451440</v>
      </c>
      <c r="S1215" s="94"/>
      <c r="T1215" s="153"/>
      <c r="U1215" s="653"/>
      <c r="V1215" s="572"/>
      <c r="W1215" s="572"/>
      <c r="X1215" s="572"/>
      <c r="Y1215" s="572"/>
      <c r="Z1215" s="572"/>
    </row>
    <row r="1216" spans="1:26" s="162" customFormat="1" ht="12.75" x14ac:dyDescent="0.25">
      <c r="A1216" s="122" t="s">
        <v>134</v>
      </c>
      <c r="B1216" s="152"/>
      <c r="C1216" s="153"/>
      <c r="D1216" s="155"/>
      <c r="E1216" s="240"/>
      <c r="F1216" s="241"/>
      <c r="G1216" s="241"/>
      <c r="H1216" s="241"/>
      <c r="I1216" s="241"/>
      <c r="J1216" s="232">
        <f t="shared" si="647"/>
        <v>0</v>
      </c>
      <c r="K1216" s="208"/>
      <c r="L1216" s="161">
        <f t="shared" si="656"/>
        <v>0</v>
      </c>
      <c r="M1216" s="157">
        <f t="shared" si="656"/>
        <v>0</v>
      </c>
      <c r="N1216" s="157">
        <f t="shared" si="656"/>
        <v>0</v>
      </c>
      <c r="O1216" s="157">
        <f t="shared" si="656"/>
        <v>0</v>
      </c>
      <c r="P1216" s="270">
        <f t="shared" si="656"/>
        <v>0</v>
      </c>
      <c r="Q1216" s="284">
        <f>SUM(L1216:P1216)</f>
        <v>0</v>
      </c>
      <c r="R1216" s="159"/>
      <c r="S1216" s="208"/>
      <c r="T1216" s="154"/>
      <c r="U1216" s="653"/>
      <c r="V1216" s="572"/>
      <c r="W1216" s="572"/>
      <c r="X1216" s="572"/>
      <c r="Y1216" s="572"/>
      <c r="Z1216" s="572"/>
    </row>
    <row r="1217" spans="1:26" s="162" customFormat="1" ht="12.75" x14ac:dyDescent="0.25">
      <c r="A1217" s="123" t="s">
        <v>1126</v>
      </c>
      <c r="B1217" s="244"/>
      <c r="C1217" s="153"/>
      <c r="D1217" s="203"/>
      <c r="E1217" s="240">
        <f>ROUND(0.9*'[5]Gestion-Pilotage'!I54,-1)</f>
        <v>0</v>
      </c>
      <c r="F1217" s="241">
        <f>ROUND(0.9*'[5]Gestion-Pilotage'!J54,-1)</f>
        <v>0</v>
      </c>
      <c r="G1217" s="241">
        <f>ROUND(0.9*'[5]Gestion-Pilotage'!K54,-1)</f>
        <v>0</v>
      </c>
      <c r="H1217" s="241">
        <f>ROUND(0.9*'[5]Gestion-Pilotage'!L54,-1)</f>
        <v>0</v>
      </c>
      <c r="I1217" s="241">
        <f>ROUND(0.9*'[5]Gestion-Pilotage'!M54,-1)</f>
        <v>0</v>
      </c>
      <c r="J1217" s="232">
        <f t="shared" si="647"/>
        <v>0</v>
      </c>
      <c r="K1217" s="94"/>
      <c r="L1217" s="161">
        <f t="shared" ref="L1217:Q1217" si="657">SUM(L1218:L1218)</f>
        <v>4848630</v>
      </c>
      <c r="M1217" s="157">
        <f t="shared" si="657"/>
        <v>5360800</v>
      </c>
      <c r="N1217" s="157">
        <f t="shared" si="657"/>
        <v>6006080</v>
      </c>
      <c r="O1217" s="157">
        <f t="shared" si="657"/>
        <v>6755090</v>
      </c>
      <c r="P1217" s="270">
        <f t="shared" si="657"/>
        <v>7528110</v>
      </c>
      <c r="Q1217" s="284">
        <f t="shared" si="657"/>
        <v>30498710</v>
      </c>
      <c r="R1217" s="169" t="s">
        <v>754</v>
      </c>
      <c r="S1217" s="94"/>
      <c r="T1217" s="153"/>
      <c r="U1217" s="653"/>
      <c r="V1217" s="572"/>
      <c r="W1217" s="572"/>
      <c r="X1217" s="572"/>
      <c r="Y1217" s="572"/>
      <c r="Z1217" s="572"/>
    </row>
    <row r="1218" spans="1:26" s="162" customFormat="1" ht="12.75" x14ac:dyDescent="0.25">
      <c r="A1218" s="95">
        <v>256</v>
      </c>
      <c r="B1218" s="163" t="str">
        <f>IF(A1218&lt;&gt;0,INDEX(Coûts,'PA-Détails'!A1218, 2),)</f>
        <v>Frais d'investissement services centraux/déconcentrées EPS-INC</v>
      </c>
      <c r="C1218" s="153"/>
      <c r="D1218" s="94" t="str">
        <f>IF(A1218&lt;&gt;0,INDEX(Coûts, 'PA-Détails'!A1218, 5),)</f>
        <v>Forfait</v>
      </c>
      <c r="E1218" s="240">
        <f>ROUND(0.9*'[5]Gestion-Pilotage'!I55,-1)</f>
        <v>4848630</v>
      </c>
      <c r="F1218" s="241">
        <f>ROUND(0.9*'[5]Gestion-Pilotage'!J55,-1)</f>
        <v>5360800</v>
      </c>
      <c r="G1218" s="241">
        <f>ROUND(0.9*'[5]Gestion-Pilotage'!K55,-1)</f>
        <v>6006080</v>
      </c>
      <c r="H1218" s="241">
        <f>ROUND(0.9*'[5]Gestion-Pilotage'!L55,-1)</f>
        <v>6755090</v>
      </c>
      <c r="I1218" s="241">
        <f>ROUND(0.9*'[5]Gestion-Pilotage'!M55,-1)</f>
        <v>7528110</v>
      </c>
      <c r="J1218" s="232">
        <f t="shared" si="647"/>
        <v>30498710</v>
      </c>
      <c r="K1218" s="94">
        <f>IF(A1218&lt;&gt;0,INDEX(Coûts, 'PA-Détails'!A1218, 3),)</f>
        <v>1</v>
      </c>
      <c r="L1218" s="167">
        <f>ROUND(+$K1218*E1218,0)</f>
        <v>4848630</v>
      </c>
      <c r="M1218" s="168">
        <f>ROUND(+$K1218*F1218,0)</f>
        <v>5360800</v>
      </c>
      <c r="N1218" s="168">
        <f>ROUND(+$K1218*G1218,0)</f>
        <v>6006080</v>
      </c>
      <c r="O1218" s="168">
        <f>ROUND(+$K1218*H1218,0)</f>
        <v>6755090</v>
      </c>
      <c r="P1218" s="271">
        <f>ROUND(+$K1218*I1218,0)</f>
        <v>7528110</v>
      </c>
      <c r="Q1218" s="283">
        <f>SUM(L1218:P1218)</f>
        <v>30498710</v>
      </c>
      <c r="R1218" s="169"/>
      <c r="S1218" s="94"/>
      <c r="T1218" s="153"/>
      <c r="U1218" s="653"/>
      <c r="V1218" s="572"/>
      <c r="W1218" s="572"/>
      <c r="X1218" s="572"/>
      <c r="Y1218" s="572"/>
      <c r="Z1218" s="572"/>
    </row>
    <row r="1219" spans="1:26" s="162" customFormat="1" ht="12.75" x14ac:dyDescent="0.25">
      <c r="A1219" s="123" t="s">
        <v>955</v>
      </c>
      <c r="B1219" s="244"/>
      <c r="C1219" s="153"/>
      <c r="D1219" s="203"/>
      <c r="E1219" s="240"/>
      <c r="F1219" s="241"/>
      <c r="G1219" s="241"/>
      <c r="H1219" s="241"/>
      <c r="I1219" s="241"/>
      <c r="J1219" s="232"/>
      <c r="K1219" s="94"/>
      <c r="L1219" s="161">
        <f t="shared" ref="L1219:Q1219" si="658">SUM(L1220:L1220)</f>
        <v>1469500</v>
      </c>
      <c r="M1219" s="157">
        <f t="shared" si="658"/>
        <v>1552730</v>
      </c>
      <c r="N1219" s="157">
        <f t="shared" si="658"/>
        <v>1661690</v>
      </c>
      <c r="O1219" s="157">
        <f t="shared" si="658"/>
        <v>1820430</v>
      </c>
      <c r="P1219" s="270">
        <f t="shared" si="658"/>
        <v>1989640</v>
      </c>
      <c r="Q1219" s="284">
        <f t="shared" si="658"/>
        <v>8493990</v>
      </c>
      <c r="R1219" s="169" t="s">
        <v>882</v>
      </c>
      <c r="S1219" s="94"/>
      <c r="T1219" s="153"/>
      <c r="U1219" s="653"/>
      <c r="V1219" s="572"/>
      <c r="W1219" s="572"/>
      <c r="X1219" s="572"/>
      <c r="Y1219" s="572"/>
      <c r="Z1219" s="572"/>
    </row>
    <row r="1220" spans="1:26" s="162" customFormat="1" ht="12.75" x14ac:dyDescent="0.25">
      <c r="A1220" s="95">
        <v>259</v>
      </c>
      <c r="B1220" s="163" t="str">
        <f>IF(A1220&lt;&gt;0,INDEX(Coûts,'PA-Détails'!A1220, 2),)</f>
        <v>Frais d'investissement services centraux/déconcentrées MESU</v>
      </c>
      <c r="C1220" s="153"/>
      <c r="D1220" s="94" t="str">
        <f>IF(A1220&lt;&gt;0,INDEX(Coûts, 'PA-Détails'!A1220, 5),)</f>
        <v>Forfait</v>
      </c>
      <c r="E1220" s="240">
        <f>ROUND('[5]Gestion-Pilotage'!I56,-1)</f>
        <v>1469500</v>
      </c>
      <c r="F1220" s="241">
        <f>ROUND('[5]Gestion-Pilotage'!J56,-1)</f>
        <v>1552730</v>
      </c>
      <c r="G1220" s="241">
        <f>ROUND('[5]Gestion-Pilotage'!K56,-1)</f>
        <v>1661690</v>
      </c>
      <c r="H1220" s="241">
        <f>ROUND('[5]Gestion-Pilotage'!L56,-1)</f>
        <v>1820430</v>
      </c>
      <c r="I1220" s="241">
        <f>ROUND('[5]Gestion-Pilotage'!M56,-1)</f>
        <v>1989640</v>
      </c>
      <c r="J1220" s="232">
        <f t="shared" ref="J1220:J1243" si="659">SUM(E1220:I1220)</f>
        <v>8493990</v>
      </c>
      <c r="K1220" s="94">
        <f>IF(A1220&lt;&gt;0,INDEX(Coûts, 'PA-Détails'!A1220, 3),)</f>
        <v>1</v>
      </c>
      <c r="L1220" s="167">
        <f>ROUND(+$K1220*E1220,0)</f>
        <v>1469500</v>
      </c>
      <c r="M1220" s="168">
        <f>ROUND(+$K1220*F1220,0)</f>
        <v>1552730</v>
      </c>
      <c r="N1220" s="168">
        <f>ROUND(+$K1220*G1220,0)</f>
        <v>1661690</v>
      </c>
      <c r="O1220" s="168">
        <f>ROUND(+$K1220*H1220,0)</f>
        <v>1820430</v>
      </c>
      <c r="P1220" s="271">
        <f>ROUND(+$K1220*I1220,0)</f>
        <v>1989640</v>
      </c>
      <c r="Q1220" s="283">
        <f>SUM(L1220:P1220)</f>
        <v>8493990</v>
      </c>
      <c r="R1220" s="169"/>
      <c r="S1220" s="94"/>
      <c r="T1220" s="153"/>
      <c r="U1220" s="653"/>
      <c r="V1220" s="572"/>
      <c r="W1220" s="572"/>
      <c r="X1220" s="572"/>
      <c r="Y1220" s="572"/>
      <c r="Z1220" s="572"/>
    </row>
    <row r="1221" spans="1:26" s="162" customFormat="1" ht="12.75" x14ac:dyDescent="0.25">
      <c r="A1221" s="123" t="s">
        <v>943</v>
      </c>
      <c r="B1221" s="244"/>
      <c r="C1221" s="153"/>
      <c r="D1221" s="203"/>
      <c r="E1221" s="240">
        <f>ROUND('[5]Gestion-Pilotage'!I57,-1)</f>
        <v>0</v>
      </c>
      <c r="F1221" s="241">
        <f>ROUND('[5]Gestion-Pilotage'!J57,-1)</f>
        <v>0</v>
      </c>
      <c r="G1221" s="241">
        <f>ROUND('[5]Gestion-Pilotage'!K57,-1)</f>
        <v>0</v>
      </c>
      <c r="H1221" s="241">
        <f>ROUND('[5]Gestion-Pilotage'!L57,-1)</f>
        <v>0</v>
      </c>
      <c r="I1221" s="241">
        <f>ROUND('[5]Gestion-Pilotage'!M57,-1)</f>
        <v>0</v>
      </c>
      <c r="J1221" s="232">
        <f t="shared" si="659"/>
        <v>0</v>
      </c>
      <c r="K1221" s="94"/>
      <c r="L1221" s="161">
        <f t="shared" ref="L1221:Q1221" si="660">SUM(L1222:L1222)</f>
        <v>119000</v>
      </c>
      <c r="M1221" s="157">
        <f t="shared" si="660"/>
        <v>122000</v>
      </c>
      <c r="N1221" s="157">
        <f t="shared" si="660"/>
        <v>124000</v>
      </c>
      <c r="O1221" s="157">
        <f t="shared" si="660"/>
        <v>127000</v>
      </c>
      <c r="P1221" s="270">
        <f t="shared" si="660"/>
        <v>129000</v>
      </c>
      <c r="Q1221" s="284">
        <f t="shared" si="660"/>
        <v>621000</v>
      </c>
      <c r="R1221" s="169" t="s">
        <v>1409</v>
      </c>
      <c r="S1221" s="94"/>
      <c r="T1221" s="153"/>
      <c r="U1221" s="653"/>
      <c r="V1221" s="572"/>
      <c r="W1221" s="572"/>
      <c r="X1221" s="572"/>
      <c r="Y1221" s="572"/>
      <c r="Z1221" s="572"/>
    </row>
    <row r="1222" spans="1:26" s="162" customFormat="1" ht="12.75" x14ac:dyDescent="0.25">
      <c r="A1222" s="95">
        <v>258</v>
      </c>
      <c r="B1222" s="163" t="str">
        <f>IF(A1222&lt;&gt;0,INDEX(Coûts,'PA-Détails'!A1222, 2),)</f>
        <v>Frais d'investissement services centraux/déconcentrées MAS (ENF)</v>
      </c>
      <c r="C1222" s="153"/>
      <c r="D1222" s="94" t="str">
        <f>IF(A1222&lt;&gt;0,INDEX(Coûts, 'PA-Détails'!A1222, 5),)</f>
        <v>Forfait</v>
      </c>
      <c r="E1222" s="240">
        <f>ROUND(1.5*E1213,-3)</f>
        <v>119000</v>
      </c>
      <c r="F1222" s="241">
        <f t="shared" ref="F1222:I1222" si="661">ROUND(1.5*F1213,-3)</f>
        <v>122000</v>
      </c>
      <c r="G1222" s="241">
        <f t="shared" si="661"/>
        <v>124000</v>
      </c>
      <c r="H1222" s="241">
        <f t="shared" si="661"/>
        <v>127000</v>
      </c>
      <c r="I1222" s="241">
        <f t="shared" si="661"/>
        <v>129000</v>
      </c>
      <c r="J1222" s="232">
        <f t="shared" si="659"/>
        <v>621000</v>
      </c>
      <c r="K1222" s="94">
        <f>IF(A1222&lt;&gt;0,INDEX(Coûts, 'PA-Détails'!A1222, 3),)</f>
        <v>1</v>
      </c>
      <c r="L1222" s="167">
        <f>ROUND(+$K1222*E1222,0)</f>
        <v>119000</v>
      </c>
      <c r="M1222" s="168">
        <f>ROUND(+$K1222*F1222,0)</f>
        <v>122000</v>
      </c>
      <c r="N1222" s="168">
        <f>ROUND(+$K1222*G1222,0)</f>
        <v>124000</v>
      </c>
      <c r="O1222" s="168">
        <f>ROUND(+$K1222*H1222,0)</f>
        <v>127000</v>
      </c>
      <c r="P1222" s="271">
        <f>ROUND(+$K1222*I1222,0)</f>
        <v>129000</v>
      </c>
      <c r="Q1222" s="283">
        <f>SUM(L1222:P1222)</f>
        <v>621000</v>
      </c>
      <c r="R1222" s="169"/>
      <c r="S1222" s="94"/>
      <c r="T1222" s="153"/>
      <c r="U1222" s="653"/>
      <c r="V1222" s="572"/>
      <c r="W1222" s="572"/>
      <c r="X1222" s="572"/>
      <c r="Y1222" s="572"/>
      <c r="Z1222" s="572"/>
    </row>
    <row r="1223" spans="1:26" s="162" customFormat="1" ht="12.75" x14ac:dyDescent="0.25">
      <c r="A1223" s="123" t="s">
        <v>1617</v>
      </c>
      <c r="B1223" s="244"/>
      <c r="C1223" s="153"/>
      <c r="D1223" s="203"/>
      <c r="E1223" s="240">
        <f>ROUND('[5]Gestion-Pilotage'!I54,-1)-E1217</f>
        <v>0</v>
      </c>
      <c r="F1223" s="241">
        <f>ROUND('[5]Gestion-Pilotage'!J54,-1)-F1217</f>
        <v>0</v>
      </c>
      <c r="G1223" s="241">
        <f>ROUND('[5]Gestion-Pilotage'!K54,-1)-G1217</f>
        <v>0</v>
      </c>
      <c r="H1223" s="241">
        <f>ROUND('[5]Gestion-Pilotage'!L54,-1)-H1217</f>
        <v>0</v>
      </c>
      <c r="I1223" s="241">
        <f>ROUND('[5]Gestion-Pilotage'!M54,-1)-I1217</f>
        <v>0</v>
      </c>
      <c r="J1223" s="232">
        <f t="shared" si="659"/>
        <v>0</v>
      </c>
      <c r="K1223" s="94"/>
      <c r="L1223" s="161">
        <f t="shared" ref="L1223:Q1223" si="662">SUM(L1224:L1224)</f>
        <v>538730</v>
      </c>
      <c r="M1223" s="157">
        <f t="shared" si="662"/>
        <v>595640</v>
      </c>
      <c r="N1223" s="157">
        <f t="shared" si="662"/>
        <v>667340</v>
      </c>
      <c r="O1223" s="157">
        <f t="shared" si="662"/>
        <v>750570</v>
      </c>
      <c r="P1223" s="270">
        <f t="shared" si="662"/>
        <v>836460</v>
      </c>
      <c r="Q1223" s="284">
        <f t="shared" si="662"/>
        <v>3388740</v>
      </c>
      <c r="R1223" s="169" t="s">
        <v>882</v>
      </c>
      <c r="S1223" s="94"/>
      <c r="T1223" s="153"/>
      <c r="U1223" s="653"/>
      <c r="V1223" s="572"/>
      <c r="W1223" s="572"/>
      <c r="X1223" s="572"/>
      <c r="Y1223" s="572"/>
      <c r="Z1223" s="572"/>
    </row>
    <row r="1224" spans="1:26" s="162" customFormat="1" ht="12.75" x14ac:dyDescent="0.25">
      <c r="A1224" s="95">
        <v>236</v>
      </c>
      <c r="B1224" s="163" t="str">
        <f>IF(A1224&lt;&gt;0,INDEX(Coûts,'PA-Détails'!A1224, 2),)</f>
        <v>Frais de fonctionnement services centraux ETP</v>
      </c>
      <c r="C1224" s="153"/>
      <c r="D1224" s="94" t="str">
        <f>IF(A1224&lt;&gt;0,INDEX(Coûts, 'PA-Détails'!A1224, 5),)</f>
        <v>Estimation</v>
      </c>
      <c r="E1224" s="240">
        <f>ROUND('[5]Gestion-Pilotage'!I55,-1)-E1218</f>
        <v>538730</v>
      </c>
      <c r="F1224" s="241">
        <f>ROUND('[5]Gestion-Pilotage'!J55,-1)-F1218</f>
        <v>595640</v>
      </c>
      <c r="G1224" s="241">
        <f>ROUND('[5]Gestion-Pilotage'!K55,-1)-G1218</f>
        <v>667340</v>
      </c>
      <c r="H1224" s="241">
        <f>ROUND('[5]Gestion-Pilotage'!L55,-1)-H1218</f>
        <v>750570</v>
      </c>
      <c r="I1224" s="241">
        <f>ROUND('[5]Gestion-Pilotage'!M55,-1)-I1218</f>
        <v>836460</v>
      </c>
      <c r="J1224" s="232">
        <f t="shared" si="659"/>
        <v>3388740</v>
      </c>
      <c r="K1224" s="94">
        <f>IF(A1224&lt;&gt;0,INDEX(Coûts, 'PA-Détails'!A1224, 3),)</f>
        <v>1</v>
      </c>
      <c r="L1224" s="167">
        <f t="shared" ref="L1224:P1226" si="663">ROUND(+$K1224*E1224,0)</f>
        <v>538730</v>
      </c>
      <c r="M1224" s="168">
        <f t="shared" si="663"/>
        <v>595640</v>
      </c>
      <c r="N1224" s="168">
        <f t="shared" si="663"/>
        <v>667340</v>
      </c>
      <c r="O1224" s="168">
        <f t="shared" si="663"/>
        <v>750570</v>
      </c>
      <c r="P1224" s="271">
        <f t="shared" si="663"/>
        <v>836460</v>
      </c>
      <c r="Q1224" s="283">
        <f>SUM(L1224:P1224)</f>
        <v>3388740</v>
      </c>
      <c r="R1224" s="169"/>
      <c r="S1224" s="94"/>
      <c r="T1224" s="153"/>
      <c r="U1224" s="653"/>
      <c r="V1224" s="572"/>
      <c r="W1224" s="572"/>
      <c r="X1224" s="572"/>
      <c r="Y1224" s="572"/>
      <c r="Z1224" s="572"/>
    </row>
    <row r="1225" spans="1:26" s="162" customFormat="1" x14ac:dyDescent="0.2">
      <c r="A1225" s="211" t="s">
        <v>960</v>
      </c>
      <c r="B1225" s="212"/>
      <c r="C1225" s="213"/>
      <c r="D1225" s="215"/>
      <c r="E1225" s="102"/>
      <c r="F1225" s="103"/>
      <c r="G1225" s="103"/>
      <c r="H1225" s="103"/>
      <c r="I1225" s="103"/>
      <c r="J1225" s="104">
        <f t="shared" si="659"/>
        <v>0</v>
      </c>
      <c r="K1225" s="245"/>
      <c r="L1225" s="246">
        <f t="shared" si="663"/>
        <v>0</v>
      </c>
      <c r="M1225" s="217">
        <f t="shared" si="663"/>
        <v>0</v>
      </c>
      <c r="N1225" s="217">
        <f t="shared" si="663"/>
        <v>0</v>
      </c>
      <c r="O1225" s="217">
        <f t="shared" si="663"/>
        <v>0</v>
      </c>
      <c r="P1225" s="273">
        <f t="shared" si="663"/>
        <v>0</v>
      </c>
      <c r="Q1225" s="285">
        <f>SUM(L1225:P1225)</f>
        <v>0</v>
      </c>
      <c r="R1225" s="219"/>
      <c r="S1225" s="245"/>
      <c r="T1225" s="214">
        <v>3</v>
      </c>
      <c r="U1225" s="653"/>
      <c r="V1225" s="572"/>
      <c r="W1225" s="572"/>
      <c r="X1225" s="572"/>
      <c r="Y1225" s="572"/>
      <c r="Z1225" s="572"/>
    </row>
    <row r="1226" spans="1:26" s="162" customFormat="1" x14ac:dyDescent="0.2">
      <c r="A1226" s="122" t="s">
        <v>641</v>
      </c>
      <c r="B1226" s="152"/>
      <c r="C1226" s="153"/>
      <c r="D1226" s="155"/>
      <c r="E1226" s="97"/>
      <c r="F1226" s="98"/>
      <c r="G1226" s="98"/>
      <c r="H1226" s="98"/>
      <c r="I1226" s="98"/>
      <c r="J1226" s="99">
        <f t="shared" si="659"/>
        <v>0</v>
      </c>
      <c r="K1226" s="208"/>
      <c r="L1226" s="161">
        <f t="shared" si="663"/>
        <v>0</v>
      </c>
      <c r="M1226" s="157">
        <f t="shared" si="663"/>
        <v>0</v>
      </c>
      <c r="N1226" s="157">
        <f t="shared" si="663"/>
        <v>0</v>
      </c>
      <c r="O1226" s="157">
        <f t="shared" si="663"/>
        <v>0</v>
      </c>
      <c r="P1226" s="270">
        <f t="shared" si="663"/>
        <v>0</v>
      </c>
      <c r="Q1226" s="284">
        <f>SUM(L1226:P1226)</f>
        <v>0</v>
      </c>
      <c r="R1226" s="159"/>
      <c r="S1226" s="208"/>
      <c r="T1226" s="154"/>
      <c r="U1226" s="653"/>
      <c r="V1226" s="572"/>
      <c r="W1226" s="572"/>
      <c r="X1226" s="572"/>
      <c r="Y1226" s="572"/>
      <c r="Z1226" s="572"/>
    </row>
    <row r="1227" spans="1:26" s="162" customFormat="1" x14ac:dyDescent="0.2">
      <c r="A1227" s="123" t="s">
        <v>1618</v>
      </c>
      <c r="B1227" s="244"/>
      <c r="C1227" s="153"/>
      <c r="D1227" s="203"/>
      <c r="E1227" s="96"/>
      <c r="F1227" s="100"/>
      <c r="G1227" s="100"/>
      <c r="H1227" s="100"/>
      <c r="I1227" s="100"/>
      <c r="J1227" s="101">
        <f t="shared" si="659"/>
        <v>0</v>
      </c>
      <c r="K1227" s="94"/>
      <c r="L1227" s="161">
        <f t="shared" ref="L1227:Q1227" si="664">SUM(L1228:L1228)</f>
        <v>72452400</v>
      </c>
      <c r="M1227" s="157">
        <f t="shared" si="664"/>
        <v>80225500</v>
      </c>
      <c r="N1227" s="157">
        <f t="shared" si="664"/>
        <v>91220500</v>
      </c>
      <c r="O1227" s="157">
        <f t="shared" si="664"/>
        <v>105834400</v>
      </c>
      <c r="P1227" s="270">
        <f t="shared" si="664"/>
        <v>123213400</v>
      </c>
      <c r="Q1227" s="284">
        <f t="shared" si="664"/>
        <v>472946200</v>
      </c>
      <c r="R1227" s="169" t="s">
        <v>772</v>
      </c>
      <c r="S1227" s="94"/>
      <c r="T1227" s="153"/>
      <c r="U1227" s="653"/>
      <c r="V1227" s="572"/>
      <c r="W1227" s="572"/>
      <c r="X1227" s="572"/>
      <c r="Y1227" s="572"/>
      <c r="Z1227" s="572"/>
    </row>
    <row r="1228" spans="1:26" s="162" customFormat="1" x14ac:dyDescent="0.2">
      <c r="A1228" s="95">
        <v>209</v>
      </c>
      <c r="B1228" s="163" t="str">
        <f>IF(A1228&lt;&gt;0,INDEX(Coûts,'PA-Détails'!A1228, 2),)</f>
        <v>Salaires des fonctionnaires des bureaux gestionnaires EPSINC</v>
      </c>
      <c r="C1228" s="153"/>
      <c r="D1228" s="94" t="str">
        <f>IF(A1228&lt;&gt;0,INDEX(Coûts, 'PA-Détails'!A1228, 5),)</f>
        <v>Forfait/BG</v>
      </c>
      <c r="E1228" s="96">
        <f>[6]octobre2015!$I$22</f>
        <v>2227</v>
      </c>
      <c r="F1228" s="100">
        <f>E1228</f>
        <v>2227</v>
      </c>
      <c r="G1228" s="100">
        <f>F1228</f>
        <v>2227</v>
      </c>
      <c r="H1228" s="100">
        <f>G1228</f>
        <v>2227</v>
      </c>
      <c r="I1228" s="100">
        <f>H1228</f>
        <v>2227</v>
      </c>
      <c r="J1228" s="101">
        <f t="shared" si="659"/>
        <v>11135</v>
      </c>
      <c r="K1228" s="94">
        <f>Q1228/J1228</f>
        <v>42473.839245621915</v>
      </c>
      <c r="L1228" s="167">
        <f>ROUND('[5]Gestion-Pilotage'!I$59,-2)</f>
        <v>72452400</v>
      </c>
      <c r="M1228" s="168">
        <f>ROUND('[5]Gestion-Pilotage'!J$59,-2)</f>
        <v>80225500</v>
      </c>
      <c r="N1228" s="168">
        <f>ROUND('[5]Gestion-Pilotage'!K$59,-2)</f>
        <v>91220500</v>
      </c>
      <c r="O1228" s="168">
        <f>ROUND('[5]Gestion-Pilotage'!L$59,-2)</f>
        <v>105834400</v>
      </c>
      <c r="P1228" s="271">
        <f>ROUND('[5]Gestion-Pilotage'!M$59,-2)</f>
        <v>123213400</v>
      </c>
      <c r="Q1228" s="283">
        <f>SUM(L1228:P1228)</f>
        <v>472946200</v>
      </c>
      <c r="R1228" s="169"/>
      <c r="S1228" s="94"/>
      <c r="T1228" s="153"/>
      <c r="U1228" s="653"/>
      <c r="V1228" s="572"/>
      <c r="W1228" s="572"/>
      <c r="X1228" s="572"/>
      <c r="Y1228" s="572"/>
      <c r="Z1228" s="572"/>
    </row>
    <row r="1229" spans="1:26" s="162" customFormat="1" x14ac:dyDescent="0.2">
      <c r="A1229" s="122" t="s">
        <v>135</v>
      </c>
      <c r="B1229" s="152"/>
      <c r="C1229" s="153"/>
      <c r="D1229" s="155"/>
      <c r="E1229" s="97"/>
      <c r="F1229" s="98"/>
      <c r="G1229" s="98"/>
      <c r="H1229" s="98"/>
      <c r="I1229" s="98"/>
      <c r="J1229" s="99">
        <f t="shared" si="659"/>
        <v>0</v>
      </c>
      <c r="K1229" s="208"/>
      <c r="L1229" s="167"/>
      <c r="M1229" s="157">
        <f>ROUND(+$K1229*F1229,0)</f>
        <v>0</v>
      </c>
      <c r="N1229" s="157">
        <f>ROUND(+$K1229*G1229,0)</f>
        <v>0</v>
      </c>
      <c r="O1229" s="157">
        <f>ROUND(+$K1229*H1229,0)</f>
        <v>0</v>
      </c>
      <c r="P1229" s="270">
        <f>ROUND(+$K1229*I1229,0)</f>
        <v>0</v>
      </c>
      <c r="Q1229" s="284">
        <f>SUM(L1229:P1229)</f>
        <v>0</v>
      </c>
      <c r="R1229" s="159"/>
      <c r="S1229" s="208"/>
      <c r="T1229" s="154"/>
      <c r="U1229" s="653"/>
      <c r="V1229" s="572"/>
      <c r="W1229" s="572"/>
      <c r="X1229" s="572"/>
      <c r="Y1229" s="572"/>
      <c r="Z1229" s="572"/>
    </row>
    <row r="1230" spans="1:26" s="162" customFormat="1" x14ac:dyDescent="0.2">
      <c r="A1230" s="123" t="s">
        <v>642</v>
      </c>
      <c r="B1230" s="202"/>
      <c r="C1230" s="153"/>
      <c r="D1230" s="203"/>
      <c r="E1230" s="96"/>
      <c r="F1230" s="100"/>
      <c r="G1230" s="100"/>
      <c r="H1230" s="100"/>
      <c r="I1230" s="100"/>
      <c r="J1230" s="101">
        <f t="shared" si="659"/>
        <v>0</v>
      </c>
      <c r="K1230" s="94"/>
      <c r="L1230" s="161">
        <f t="shared" ref="L1230:Q1230" si="665">SUM(L1231)</f>
        <v>17625700</v>
      </c>
      <c r="M1230" s="157">
        <f t="shared" si="665"/>
        <v>18106500</v>
      </c>
      <c r="N1230" s="157">
        <f t="shared" si="665"/>
        <v>18526100</v>
      </c>
      <c r="O1230" s="157">
        <f t="shared" si="665"/>
        <v>18939900</v>
      </c>
      <c r="P1230" s="270">
        <f t="shared" si="665"/>
        <v>19330400</v>
      </c>
      <c r="Q1230" s="284">
        <f t="shared" si="665"/>
        <v>92528600</v>
      </c>
      <c r="R1230" s="169" t="s">
        <v>772</v>
      </c>
      <c r="S1230" s="94"/>
      <c r="T1230" s="153"/>
      <c r="U1230" s="653"/>
      <c r="V1230" s="572"/>
      <c r="W1230" s="572"/>
      <c r="X1230" s="572"/>
      <c r="Y1230" s="572"/>
      <c r="Z1230" s="572"/>
    </row>
    <row r="1231" spans="1:26" s="162" customFormat="1" x14ac:dyDescent="0.2">
      <c r="A1231" s="95">
        <v>230</v>
      </c>
      <c r="B1231" s="163" t="str">
        <f>IF(A1231&lt;&gt;0,INDEX(Coûts,'PA-Détails'!A1231, 2),)</f>
        <v>Subvention de fonctionnement des BG du MEPSINC</v>
      </c>
      <c r="C1231" s="153"/>
      <c r="D1231" s="94" t="str">
        <f>IF(A1231&lt;&gt;0,INDEX(Coûts, 'PA-Détails'!A1231, 5),)</f>
        <v>Forfait/an</v>
      </c>
      <c r="E1231" s="96">
        <f>[6]octobre2015!$I$22</f>
        <v>2227</v>
      </c>
      <c r="F1231" s="100">
        <f>E1231</f>
        <v>2227</v>
      </c>
      <c r="G1231" s="100">
        <f>F1231</f>
        <v>2227</v>
      </c>
      <c r="H1231" s="100">
        <f>G1231</f>
        <v>2227</v>
      </c>
      <c r="I1231" s="100">
        <f>H1231</f>
        <v>2227</v>
      </c>
      <c r="J1231" s="101">
        <f t="shared" si="659"/>
        <v>11135</v>
      </c>
      <c r="K1231" s="94">
        <f>Q1231/J1231</f>
        <v>8309.7081275258188</v>
      </c>
      <c r="L1231" s="167">
        <f>ROUND('[5]Gestion-Pilotage'!I$60,-2)</f>
        <v>17625700</v>
      </c>
      <c r="M1231" s="168">
        <f>ROUND('[5]Gestion-Pilotage'!J$60,-2)</f>
        <v>18106500</v>
      </c>
      <c r="N1231" s="168">
        <f>ROUND('[5]Gestion-Pilotage'!K$60,-2)</f>
        <v>18526100</v>
      </c>
      <c r="O1231" s="168">
        <f>ROUND('[5]Gestion-Pilotage'!L$60,-2)</f>
        <v>18939900</v>
      </c>
      <c r="P1231" s="271">
        <f>ROUND('[5]Gestion-Pilotage'!M$60,-2)</f>
        <v>19330400</v>
      </c>
      <c r="Q1231" s="283">
        <f>SUM(L1231:P1231)</f>
        <v>92528600</v>
      </c>
      <c r="R1231" s="169"/>
      <c r="S1231" s="94"/>
      <c r="T1231" s="153"/>
      <c r="U1231" s="653"/>
      <c r="V1231" s="572"/>
      <c r="W1231" s="572"/>
      <c r="X1231" s="572"/>
      <c r="Y1231" s="572"/>
      <c r="Z1231" s="572"/>
    </row>
    <row r="1232" spans="1:26" s="162" customFormat="1" x14ac:dyDescent="0.2">
      <c r="A1232" s="211" t="s">
        <v>136</v>
      </c>
      <c r="B1232" s="212"/>
      <c r="C1232" s="213"/>
      <c r="D1232" s="215"/>
      <c r="E1232" s="216"/>
      <c r="F1232" s="217"/>
      <c r="G1232" s="217"/>
      <c r="H1232" s="217"/>
      <c r="I1232" s="217"/>
      <c r="J1232" s="218">
        <f t="shared" si="659"/>
        <v>0</v>
      </c>
      <c r="K1232" s="245"/>
      <c r="L1232" s="246">
        <f t="shared" ref="L1232:P1233" si="666">ROUND(+$K1232*E1232,0)</f>
        <v>0</v>
      </c>
      <c r="M1232" s="217">
        <f t="shared" si="666"/>
        <v>0</v>
      </c>
      <c r="N1232" s="217">
        <f t="shared" si="666"/>
        <v>0</v>
      </c>
      <c r="O1232" s="217">
        <f t="shared" si="666"/>
        <v>0</v>
      </c>
      <c r="P1232" s="273">
        <f t="shared" si="666"/>
        <v>0</v>
      </c>
      <c r="Q1232" s="285">
        <f>SUM(L1232:P1232)</f>
        <v>0</v>
      </c>
      <c r="R1232" s="219"/>
      <c r="S1232" s="245"/>
      <c r="T1232" s="214">
        <v>3</v>
      </c>
      <c r="U1232" s="653"/>
      <c r="V1232" s="572"/>
      <c r="W1232" s="572"/>
      <c r="X1232" s="572"/>
      <c r="Y1232" s="572"/>
      <c r="Z1232" s="572"/>
    </row>
    <row r="1233" spans="1:26" s="162" customFormat="1" x14ac:dyDescent="0.2">
      <c r="A1233" s="122" t="s">
        <v>137</v>
      </c>
      <c r="B1233" s="152"/>
      <c r="C1233" s="153"/>
      <c r="D1233" s="155"/>
      <c r="E1233" s="156"/>
      <c r="F1233" s="157"/>
      <c r="G1233" s="157"/>
      <c r="H1233" s="157"/>
      <c r="I1233" s="157"/>
      <c r="J1233" s="158">
        <f t="shared" si="659"/>
        <v>0</v>
      </c>
      <c r="K1233" s="208"/>
      <c r="L1233" s="161">
        <f t="shared" si="666"/>
        <v>0</v>
      </c>
      <c r="M1233" s="157">
        <f t="shared" si="666"/>
        <v>0</v>
      </c>
      <c r="N1233" s="157">
        <f t="shared" si="666"/>
        <v>0</v>
      </c>
      <c r="O1233" s="157">
        <f t="shared" si="666"/>
        <v>0</v>
      </c>
      <c r="P1233" s="270">
        <f t="shared" si="666"/>
        <v>0</v>
      </c>
      <c r="Q1233" s="284">
        <f>SUM(L1233:P1233)</f>
        <v>0</v>
      </c>
      <c r="R1233" s="159"/>
      <c r="S1233" s="208"/>
      <c r="T1233" s="154"/>
      <c r="U1233" s="653"/>
      <c r="V1233" s="572"/>
      <c r="W1233" s="572"/>
      <c r="X1233" s="572"/>
      <c r="Y1233" s="572"/>
      <c r="Z1233" s="572"/>
    </row>
    <row r="1234" spans="1:26" s="162" customFormat="1" x14ac:dyDescent="0.2">
      <c r="A1234" s="123" t="s">
        <v>1127</v>
      </c>
      <c r="B1234" s="244"/>
      <c r="C1234" s="153"/>
      <c r="D1234" s="203"/>
      <c r="E1234" s="164"/>
      <c r="F1234" s="168"/>
      <c r="G1234" s="168"/>
      <c r="H1234" s="168"/>
      <c r="I1234" s="168"/>
      <c r="J1234" s="165">
        <f t="shared" si="659"/>
        <v>0</v>
      </c>
      <c r="K1234" s="94"/>
      <c r="L1234" s="161">
        <f t="shared" ref="L1234:Q1234" si="667">SUM(L1235:L1238)</f>
        <v>33000</v>
      </c>
      <c r="M1234" s="157">
        <f t="shared" si="667"/>
        <v>95000</v>
      </c>
      <c r="N1234" s="157">
        <f t="shared" si="667"/>
        <v>0</v>
      </c>
      <c r="O1234" s="157">
        <f t="shared" si="667"/>
        <v>0</v>
      </c>
      <c r="P1234" s="270">
        <f t="shared" si="667"/>
        <v>0</v>
      </c>
      <c r="Q1234" s="284">
        <f t="shared" si="667"/>
        <v>128000</v>
      </c>
      <c r="R1234" s="169" t="s">
        <v>1137</v>
      </c>
      <c r="S1234" s="94"/>
      <c r="T1234" s="153"/>
      <c r="U1234" s="653"/>
      <c r="V1234" s="572"/>
      <c r="W1234" s="572"/>
      <c r="X1234" s="572"/>
      <c r="Y1234" s="572"/>
      <c r="Z1234" s="572"/>
    </row>
    <row r="1235" spans="1:26" s="162" customFormat="1" x14ac:dyDescent="0.2">
      <c r="A1235" s="95">
        <v>1</v>
      </c>
      <c r="B1235" s="163" t="str">
        <f>IF(A1235&lt;&gt;0,INDEX(Coûts,'PA-Détails'!A1235, 2),)</f>
        <v>Assistance technique internationale (consultants)</v>
      </c>
      <c r="C1235" s="153"/>
      <c r="D1235" s="94" t="str">
        <f>IF(A1235&lt;&gt;0,INDEX(Coûts, 'PA-Détails'!A1235, 5),)</f>
        <v>Pers / j</v>
      </c>
      <c r="E1235" s="100">
        <f>20</f>
        <v>20</v>
      </c>
      <c r="F1235" s="100"/>
      <c r="G1235" s="100"/>
      <c r="H1235" s="100"/>
      <c r="I1235" s="168"/>
      <c r="J1235" s="101">
        <f t="shared" si="659"/>
        <v>20</v>
      </c>
      <c r="K1235" s="94">
        <f>IF(A1235&lt;&gt;0,INDEX(Coûts, 'PA-Détails'!A1235, 3),)</f>
        <v>1150</v>
      </c>
      <c r="L1235" s="167">
        <f t="shared" ref="L1235:P1239" si="668">ROUND(+$K1235*E1235,0)</f>
        <v>23000</v>
      </c>
      <c r="M1235" s="168">
        <f t="shared" si="668"/>
        <v>0</v>
      </c>
      <c r="N1235" s="168">
        <f t="shared" si="668"/>
        <v>0</v>
      </c>
      <c r="O1235" s="168">
        <f t="shared" si="668"/>
        <v>0</v>
      </c>
      <c r="P1235" s="271">
        <f t="shared" si="668"/>
        <v>0</v>
      </c>
      <c r="Q1235" s="283">
        <f>SUM(L1235:P1235)</f>
        <v>23000</v>
      </c>
      <c r="R1235" s="169"/>
      <c r="S1235" s="94"/>
      <c r="T1235" s="153"/>
      <c r="U1235" s="653"/>
      <c r="V1235" s="572"/>
      <c r="W1235" s="572"/>
      <c r="X1235" s="572"/>
      <c r="Y1235" s="572"/>
      <c r="Z1235" s="572"/>
    </row>
    <row r="1236" spans="1:26" s="162" customFormat="1" x14ac:dyDescent="0.2">
      <c r="A1236" s="95">
        <v>2</v>
      </c>
      <c r="B1236" s="163" t="str">
        <f>IF(A1236&lt;&gt;0,INDEX(Coûts,'PA-Détails'!A1236, 2),)</f>
        <v>Assistance technique nationale (consultants)</v>
      </c>
      <c r="C1236" s="153"/>
      <c r="D1236" s="94" t="str">
        <f>IF(A1236&lt;&gt;0,INDEX(Coûts, 'PA-Détails'!A1236, 5),)</f>
        <v>Pers / j</v>
      </c>
      <c r="E1236" s="100">
        <f>20</f>
        <v>20</v>
      </c>
      <c r="F1236" s="100"/>
      <c r="G1236" s="100"/>
      <c r="H1236" s="100"/>
      <c r="I1236" s="168"/>
      <c r="J1236" s="101">
        <f t="shared" si="659"/>
        <v>20</v>
      </c>
      <c r="K1236" s="94">
        <f>IF(A1236&lt;&gt;0,INDEX(Coûts, 'PA-Détails'!A1236, 3),)</f>
        <v>300</v>
      </c>
      <c r="L1236" s="167">
        <f t="shared" si="668"/>
        <v>6000</v>
      </c>
      <c r="M1236" s="168">
        <f t="shared" si="668"/>
        <v>0</v>
      </c>
      <c r="N1236" s="168">
        <f t="shared" si="668"/>
        <v>0</v>
      </c>
      <c r="O1236" s="168">
        <f t="shared" si="668"/>
        <v>0</v>
      </c>
      <c r="P1236" s="271">
        <f t="shared" si="668"/>
        <v>0</v>
      </c>
      <c r="Q1236" s="283">
        <f>SUM(L1236:P1236)</f>
        <v>6000</v>
      </c>
      <c r="R1236" s="169"/>
      <c r="S1236" s="94"/>
      <c r="T1236" s="153"/>
      <c r="U1236" s="653"/>
      <c r="V1236" s="572"/>
      <c r="W1236" s="572"/>
      <c r="X1236" s="572"/>
      <c r="Y1236" s="572"/>
      <c r="Z1236" s="572"/>
    </row>
    <row r="1237" spans="1:26" s="162" customFormat="1" x14ac:dyDescent="0.2">
      <c r="A1237" s="95">
        <v>5</v>
      </c>
      <c r="B1237" s="163" t="str">
        <f>IF(A1237&lt;&gt;0,INDEX(Coûts,'PA-Détails'!A1237, 2),)</f>
        <v>Atelier de validation</v>
      </c>
      <c r="C1237" s="153"/>
      <c r="D1237" s="94" t="str">
        <f>IF(A1237&lt;&gt;0,INDEX(Coûts, 'PA-Détails'!A1237, 5),)</f>
        <v>Pers / j</v>
      </c>
      <c r="E1237" s="100">
        <f>80</f>
        <v>80</v>
      </c>
      <c r="F1237" s="100"/>
      <c r="G1237" s="100"/>
      <c r="H1237" s="100"/>
      <c r="I1237" s="168"/>
      <c r="J1237" s="101">
        <f t="shared" si="659"/>
        <v>80</v>
      </c>
      <c r="K1237" s="94">
        <f>IF(A1237&lt;&gt;0,INDEX(Coûts, 'PA-Détails'!A1237, 3),)</f>
        <v>50</v>
      </c>
      <c r="L1237" s="167">
        <f t="shared" si="668"/>
        <v>4000</v>
      </c>
      <c r="M1237" s="168">
        <f t="shared" si="668"/>
        <v>0</v>
      </c>
      <c r="N1237" s="168">
        <f t="shared" si="668"/>
        <v>0</v>
      </c>
      <c r="O1237" s="168">
        <f t="shared" si="668"/>
        <v>0</v>
      </c>
      <c r="P1237" s="271">
        <f t="shared" si="668"/>
        <v>0</v>
      </c>
      <c r="Q1237" s="283">
        <f>SUM(L1237:P1237)</f>
        <v>4000</v>
      </c>
      <c r="R1237" s="169"/>
      <c r="S1237" s="94"/>
      <c r="T1237" s="153"/>
      <c r="U1237" s="653"/>
      <c r="V1237" s="572"/>
      <c r="W1237" s="572"/>
      <c r="X1237" s="572"/>
      <c r="Y1237" s="572"/>
      <c r="Z1237" s="572"/>
    </row>
    <row r="1238" spans="1:26" s="162" customFormat="1" x14ac:dyDescent="0.2">
      <c r="A1238" s="95">
        <v>7</v>
      </c>
      <c r="B1238" s="163" t="str">
        <f>IF(A1238&lt;&gt;0,INDEX(Coûts,'PA-Détails'!A1238, 2),)</f>
        <v>Séminaire</v>
      </c>
      <c r="C1238" s="153"/>
      <c r="D1238" s="94" t="str">
        <f>IF(A1238&lt;&gt;0,INDEX(Coûts, 'PA-Détails'!A1238, 5),)</f>
        <v>Pers / j</v>
      </c>
      <c r="E1238" s="100"/>
      <c r="F1238" s="100">
        <v>500</v>
      </c>
      <c r="G1238" s="100"/>
      <c r="H1238" s="100"/>
      <c r="I1238" s="168"/>
      <c r="J1238" s="101">
        <f t="shared" si="659"/>
        <v>500</v>
      </c>
      <c r="K1238" s="94">
        <f>IF(A1238&lt;&gt;0,INDEX(Coûts, 'PA-Détails'!A1238, 3),)</f>
        <v>190</v>
      </c>
      <c r="L1238" s="167">
        <f t="shared" si="668"/>
        <v>0</v>
      </c>
      <c r="M1238" s="168">
        <f t="shared" si="668"/>
        <v>95000</v>
      </c>
      <c r="N1238" s="168">
        <f t="shared" si="668"/>
        <v>0</v>
      </c>
      <c r="O1238" s="168">
        <f t="shared" si="668"/>
        <v>0</v>
      </c>
      <c r="P1238" s="271">
        <f t="shared" si="668"/>
        <v>0</v>
      </c>
      <c r="Q1238" s="283">
        <f>SUM(L1238:P1238)</f>
        <v>95000</v>
      </c>
      <c r="R1238" s="169"/>
      <c r="S1238" s="94"/>
      <c r="T1238" s="153"/>
      <c r="U1238" s="653"/>
      <c r="V1238" s="572"/>
      <c r="W1238" s="572"/>
      <c r="X1238" s="572"/>
      <c r="Y1238" s="572"/>
      <c r="Z1238" s="572"/>
    </row>
    <row r="1239" spans="1:26" s="162" customFormat="1" x14ac:dyDescent="0.2">
      <c r="A1239" s="122" t="s">
        <v>138</v>
      </c>
      <c r="B1239" s="152"/>
      <c r="C1239" s="153"/>
      <c r="D1239" s="155"/>
      <c r="E1239" s="98"/>
      <c r="F1239" s="98"/>
      <c r="G1239" s="98"/>
      <c r="H1239" s="98"/>
      <c r="I1239" s="157"/>
      <c r="J1239" s="101">
        <f t="shared" si="659"/>
        <v>0</v>
      </c>
      <c r="K1239" s="208"/>
      <c r="L1239" s="161">
        <f t="shared" si="668"/>
        <v>0</v>
      </c>
      <c r="M1239" s="157">
        <f t="shared" si="668"/>
        <v>0</v>
      </c>
      <c r="N1239" s="157">
        <f t="shared" si="668"/>
        <v>0</v>
      </c>
      <c r="O1239" s="157">
        <f t="shared" si="668"/>
        <v>0</v>
      </c>
      <c r="P1239" s="270">
        <f t="shared" si="668"/>
        <v>0</v>
      </c>
      <c r="Q1239" s="284">
        <f>SUM(L1239:P1239)</f>
        <v>0</v>
      </c>
      <c r="R1239" s="159"/>
      <c r="S1239" s="208"/>
      <c r="T1239" s="154"/>
      <c r="U1239" s="653"/>
      <c r="V1239" s="572"/>
      <c r="W1239" s="572"/>
      <c r="X1239" s="572"/>
      <c r="Y1239" s="572"/>
      <c r="Z1239" s="572"/>
    </row>
    <row r="1240" spans="1:26" s="162" customFormat="1" x14ac:dyDescent="0.2">
      <c r="A1240" s="123" t="s">
        <v>1128</v>
      </c>
      <c r="B1240" s="202"/>
      <c r="C1240" s="153"/>
      <c r="D1240" s="203"/>
      <c r="E1240" s="100"/>
      <c r="F1240" s="100"/>
      <c r="G1240" s="100"/>
      <c r="H1240" s="100"/>
      <c r="I1240" s="168"/>
      <c r="J1240" s="101">
        <f t="shared" si="659"/>
        <v>0</v>
      </c>
      <c r="K1240" s="94"/>
      <c r="L1240" s="161">
        <f t="shared" ref="L1240:Q1240" si="669">SUM(L1241:L1243)</f>
        <v>0</v>
      </c>
      <c r="M1240" s="157">
        <f t="shared" si="669"/>
        <v>33000</v>
      </c>
      <c r="N1240" s="157">
        <f t="shared" si="669"/>
        <v>0</v>
      </c>
      <c r="O1240" s="157">
        <f t="shared" si="669"/>
        <v>0</v>
      </c>
      <c r="P1240" s="270">
        <f t="shared" si="669"/>
        <v>0</v>
      </c>
      <c r="Q1240" s="284">
        <f t="shared" si="669"/>
        <v>33000</v>
      </c>
      <c r="R1240" s="169" t="str">
        <f>+R1234</f>
        <v>SPACE</v>
      </c>
      <c r="S1240" s="94"/>
      <c r="T1240" s="153"/>
      <c r="U1240" s="653"/>
      <c r="V1240" s="572"/>
      <c r="W1240" s="572"/>
      <c r="X1240" s="572"/>
      <c r="Y1240" s="572"/>
      <c r="Z1240" s="572"/>
    </row>
    <row r="1241" spans="1:26" s="162" customFormat="1" x14ac:dyDescent="0.2">
      <c r="A1241" s="95">
        <v>1</v>
      </c>
      <c r="B1241" s="163" t="str">
        <f>IF(A1241&lt;&gt;0,INDEX(Coûts,'PA-Détails'!A1241, 2),)</f>
        <v>Assistance technique internationale (consultants)</v>
      </c>
      <c r="C1241" s="153"/>
      <c r="D1241" s="94" t="str">
        <f>IF(A1241&lt;&gt;0,INDEX(Coûts, 'PA-Détails'!A1241, 5),)</f>
        <v>Pers / j</v>
      </c>
      <c r="E1241" s="100"/>
      <c r="F1241" s="100">
        <f>20</f>
        <v>20</v>
      </c>
      <c r="G1241" s="100"/>
      <c r="H1241" s="100"/>
      <c r="I1241" s="168"/>
      <c r="J1241" s="101">
        <f t="shared" si="659"/>
        <v>20</v>
      </c>
      <c r="K1241" s="94">
        <f>IF(A1241&lt;&gt;0,INDEX(Coûts, 'PA-Détails'!A1241, 3),)</f>
        <v>1150</v>
      </c>
      <c r="L1241" s="167">
        <f t="shared" ref="L1241:P1243" si="670">ROUND(+$K1241*E1241,0)</f>
        <v>0</v>
      </c>
      <c r="M1241" s="168">
        <f t="shared" si="670"/>
        <v>23000</v>
      </c>
      <c r="N1241" s="168">
        <f t="shared" si="670"/>
        <v>0</v>
      </c>
      <c r="O1241" s="168">
        <f t="shared" si="670"/>
        <v>0</v>
      </c>
      <c r="P1241" s="271">
        <f t="shared" si="670"/>
        <v>0</v>
      </c>
      <c r="Q1241" s="283">
        <f>SUM(L1241:P1241)</f>
        <v>23000</v>
      </c>
      <c r="R1241" s="169"/>
      <c r="S1241" s="94"/>
      <c r="T1241" s="153"/>
      <c r="U1241" s="653"/>
      <c r="V1241" s="572"/>
      <c r="W1241" s="572"/>
      <c r="X1241" s="572"/>
      <c r="Y1241" s="572"/>
      <c r="Z1241" s="572"/>
    </row>
    <row r="1242" spans="1:26" s="162" customFormat="1" x14ac:dyDescent="0.2">
      <c r="A1242" s="95">
        <v>2</v>
      </c>
      <c r="B1242" s="163" t="str">
        <f>IF(A1242&lt;&gt;0,INDEX(Coûts,'PA-Détails'!A1242, 2),)</f>
        <v>Assistance technique nationale (consultants)</v>
      </c>
      <c r="C1242" s="153"/>
      <c r="D1242" s="94" t="str">
        <f>IF(A1242&lt;&gt;0,INDEX(Coûts, 'PA-Détails'!A1242, 5),)</f>
        <v>Pers / j</v>
      </c>
      <c r="E1242" s="100"/>
      <c r="F1242" s="100">
        <f>20</f>
        <v>20</v>
      </c>
      <c r="G1242" s="100"/>
      <c r="H1242" s="100"/>
      <c r="I1242" s="168"/>
      <c r="J1242" s="101">
        <f t="shared" si="659"/>
        <v>20</v>
      </c>
      <c r="K1242" s="94">
        <f>IF(A1242&lt;&gt;0,INDEX(Coûts, 'PA-Détails'!A1242, 3),)</f>
        <v>300</v>
      </c>
      <c r="L1242" s="167">
        <f t="shared" si="670"/>
        <v>0</v>
      </c>
      <c r="M1242" s="168">
        <f t="shared" si="670"/>
        <v>6000</v>
      </c>
      <c r="N1242" s="168">
        <f t="shared" si="670"/>
        <v>0</v>
      </c>
      <c r="O1242" s="168">
        <f t="shared" si="670"/>
        <v>0</v>
      </c>
      <c r="P1242" s="271">
        <f t="shared" si="670"/>
        <v>0</v>
      </c>
      <c r="Q1242" s="283">
        <f>SUM(L1242:P1242)</f>
        <v>6000</v>
      </c>
      <c r="R1242" s="169"/>
      <c r="S1242" s="94"/>
      <c r="T1242" s="153"/>
      <c r="U1242" s="653"/>
      <c r="V1242" s="572"/>
      <c r="W1242" s="572"/>
      <c r="X1242" s="572"/>
      <c r="Y1242" s="572"/>
      <c r="Z1242" s="572"/>
    </row>
    <row r="1243" spans="1:26" s="162" customFormat="1" x14ac:dyDescent="0.2">
      <c r="A1243" s="95">
        <v>5</v>
      </c>
      <c r="B1243" s="163" t="str">
        <f>IF(A1243&lt;&gt;0,INDEX(Coûts,'PA-Détails'!A1243, 2),)</f>
        <v>Atelier de validation</v>
      </c>
      <c r="C1243" s="153"/>
      <c r="D1243" s="94" t="str">
        <f>IF(A1243&lt;&gt;0,INDEX(Coûts, 'PA-Détails'!A1243, 5),)</f>
        <v>Pers / j</v>
      </c>
      <c r="E1243" s="100"/>
      <c r="F1243" s="100">
        <f>80</f>
        <v>80</v>
      </c>
      <c r="G1243" s="100"/>
      <c r="H1243" s="100"/>
      <c r="I1243" s="168"/>
      <c r="J1243" s="101">
        <f t="shared" si="659"/>
        <v>80</v>
      </c>
      <c r="K1243" s="94">
        <f>IF(A1243&lt;&gt;0,INDEX(Coûts, 'PA-Détails'!A1243, 3),)</f>
        <v>50</v>
      </c>
      <c r="L1243" s="167">
        <f t="shared" si="670"/>
        <v>0</v>
      </c>
      <c r="M1243" s="168">
        <f t="shared" si="670"/>
        <v>4000</v>
      </c>
      <c r="N1243" s="168">
        <f t="shared" si="670"/>
        <v>0</v>
      </c>
      <c r="O1243" s="168">
        <f t="shared" si="670"/>
        <v>0</v>
      </c>
      <c r="P1243" s="271">
        <f t="shared" si="670"/>
        <v>0</v>
      </c>
      <c r="Q1243" s="283">
        <f>SUM(L1243:P1243)</f>
        <v>4000</v>
      </c>
      <c r="R1243" s="169"/>
      <c r="S1243" s="94"/>
      <c r="T1243" s="153"/>
      <c r="U1243" s="653"/>
      <c r="V1243" s="572"/>
      <c r="W1243" s="572"/>
      <c r="X1243" s="572"/>
      <c r="Y1243" s="572"/>
      <c r="Z1243" s="572"/>
    </row>
    <row r="1244" spans="1:26" x14ac:dyDescent="0.2">
      <c r="A1244" s="14" t="s">
        <v>1197</v>
      </c>
      <c r="B1244" s="44"/>
      <c r="C1244" s="112"/>
      <c r="D1244" s="15"/>
      <c r="E1244" s="102"/>
      <c r="F1244" s="103"/>
      <c r="G1244" s="103"/>
      <c r="H1244" s="103"/>
      <c r="I1244" s="103"/>
      <c r="J1244" s="104">
        <f t="shared" ref="J1244:J1313" si="671">SUM(E1244:I1244)</f>
        <v>0</v>
      </c>
      <c r="K1244" s="145"/>
      <c r="L1244" s="33">
        <f t="shared" ref="L1244:P1245" si="672">ROUND(+$K1244*E1244,0)</f>
        <v>0</v>
      </c>
      <c r="M1244" s="32">
        <f t="shared" si="672"/>
        <v>0</v>
      </c>
      <c r="N1244" s="32">
        <f t="shared" si="672"/>
        <v>0</v>
      </c>
      <c r="O1244" s="32">
        <f t="shared" si="672"/>
        <v>0</v>
      </c>
      <c r="P1244" s="267">
        <f t="shared" si="672"/>
        <v>0</v>
      </c>
      <c r="Q1244" s="278">
        <f>SUM(L1244:P1244)</f>
        <v>0</v>
      </c>
      <c r="R1244" s="40"/>
      <c r="S1244" s="145"/>
      <c r="T1244" s="49">
        <v>3</v>
      </c>
    </row>
    <row r="1245" spans="1:26" x14ac:dyDescent="0.2">
      <c r="A1245" s="17" t="s">
        <v>1198</v>
      </c>
      <c r="B1245" s="45"/>
      <c r="C1245" s="51"/>
      <c r="D1245" s="18"/>
      <c r="E1245" s="97"/>
      <c r="F1245" s="98"/>
      <c r="G1245" s="98"/>
      <c r="H1245" s="98"/>
      <c r="I1245" s="98"/>
      <c r="J1245" s="99">
        <f t="shared" si="671"/>
        <v>0</v>
      </c>
      <c r="K1245" s="116"/>
      <c r="L1245" s="35">
        <f t="shared" si="672"/>
        <v>0</v>
      </c>
      <c r="M1245" s="34">
        <f t="shared" si="672"/>
        <v>0</v>
      </c>
      <c r="N1245" s="34">
        <f t="shared" si="672"/>
        <v>0</v>
      </c>
      <c r="O1245" s="34">
        <f t="shared" si="672"/>
        <v>0</v>
      </c>
      <c r="P1245" s="269">
        <f t="shared" si="672"/>
        <v>0</v>
      </c>
      <c r="Q1245" s="279">
        <f>SUM(L1245:P1245)</f>
        <v>0</v>
      </c>
      <c r="R1245" s="38"/>
      <c r="S1245" s="116"/>
      <c r="T1245" s="50"/>
    </row>
    <row r="1246" spans="1:26" x14ac:dyDescent="0.2">
      <c r="A1246" s="20" t="s">
        <v>1202</v>
      </c>
      <c r="B1246" s="149"/>
      <c r="C1246" s="51"/>
      <c r="D1246" s="21"/>
      <c r="E1246" s="96"/>
      <c r="F1246" s="100"/>
      <c r="G1246" s="100"/>
      <c r="H1246" s="100"/>
      <c r="I1246" s="100"/>
      <c r="J1246" s="101">
        <f t="shared" si="671"/>
        <v>0</v>
      </c>
      <c r="K1246" s="115"/>
      <c r="L1246" s="161">
        <f>SUM(L1247:L1248)</f>
        <v>18000</v>
      </c>
      <c r="M1246" s="157">
        <f t="shared" ref="M1246:Q1246" si="673">SUM(M1247:M1248)</f>
        <v>0</v>
      </c>
      <c r="N1246" s="157">
        <f t="shared" si="673"/>
        <v>17400</v>
      </c>
      <c r="O1246" s="157">
        <f t="shared" si="673"/>
        <v>0</v>
      </c>
      <c r="P1246" s="270">
        <f t="shared" si="673"/>
        <v>17400</v>
      </c>
      <c r="Q1246" s="284">
        <f t="shared" si="673"/>
        <v>52800</v>
      </c>
      <c r="R1246" s="39" t="s">
        <v>852</v>
      </c>
      <c r="S1246" s="115" t="s">
        <v>665</v>
      </c>
      <c r="T1246" s="51"/>
    </row>
    <row r="1247" spans="1:26" s="162" customFormat="1" x14ac:dyDescent="0.2">
      <c r="A1247" s="95">
        <v>2</v>
      </c>
      <c r="B1247" s="108" t="str">
        <f>IF(A1247&lt;&gt;0,INDEX(Coûts,'PA-Détails'!A1247, 2),)</f>
        <v>Assistance technique nationale (consultants)</v>
      </c>
      <c r="C1247" s="51"/>
      <c r="D1247" s="94" t="str">
        <f>IF(A1247&lt;&gt;0,INDEX(Coûts, 'PA-Détails'!A1247, 5),)</f>
        <v>Pers / j</v>
      </c>
      <c r="E1247" s="96">
        <v>10</v>
      </c>
      <c r="F1247" s="100"/>
      <c r="G1247" s="100">
        <v>8</v>
      </c>
      <c r="H1247" s="100"/>
      <c r="I1247" s="100">
        <v>8</v>
      </c>
      <c r="J1247" s="101">
        <f t="shared" si="671"/>
        <v>26</v>
      </c>
      <c r="K1247" s="94">
        <f>IF(A1247&lt;&gt;0,INDEX(Coûts, 'PA-Détails'!A1247, 3),)</f>
        <v>300</v>
      </c>
      <c r="L1247" s="167">
        <f t="shared" ref="L1247" si="674">ROUND(+$K1247*E1247,0)</f>
        <v>3000</v>
      </c>
      <c r="M1247" s="168">
        <f t="shared" ref="M1247" si="675">ROUND(+$K1247*F1247,0)</f>
        <v>0</v>
      </c>
      <c r="N1247" s="168">
        <f t="shared" ref="N1247" si="676">ROUND(+$K1247*G1247,0)</f>
        <v>2400</v>
      </c>
      <c r="O1247" s="168">
        <f t="shared" ref="O1247" si="677">ROUND(+$K1247*H1247,0)</f>
        <v>0</v>
      </c>
      <c r="P1247" s="271">
        <f t="shared" ref="P1247" si="678">ROUND(+$K1247*I1247,0)</f>
        <v>2400</v>
      </c>
      <c r="Q1247" s="283">
        <f>SUM(L1247:P1247)</f>
        <v>7800</v>
      </c>
      <c r="R1247" s="169"/>
      <c r="S1247" s="94"/>
      <c r="T1247" s="153"/>
      <c r="U1247" s="653"/>
      <c r="V1247" s="572"/>
      <c r="W1247" s="572"/>
      <c r="X1247" s="572"/>
      <c r="Y1247" s="572"/>
      <c r="Z1247" s="572"/>
    </row>
    <row r="1248" spans="1:26" s="162" customFormat="1" x14ac:dyDescent="0.2">
      <c r="A1248" s="95">
        <v>12</v>
      </c>
      <c r="B1248" s="108" t="str">
        <f>IF(A1248&lt;&gt;0,INDEX(Coûts,'PA-Détails'!A1248, 2),)</f>
        <v>Formation - Action et Formation de formateurs</v>
      </c>
      <c r="C1248" s="51"/>
      <c r="D1248" s="94" t="str">
        <f>IF(A1248&lt;&gt;0,INDEX(Coûts, 'PA-Détails'!A1248, 5),)</f>
        <v>Pers / j</v>
      </c>
      <c r="E1248" s="96">
        <f>20*5</f>
        <v>100</v>
      </c>
      <c r="F1248" s="100"/>
      <c r="G1248" s="100">
        <f>20*5</f>
        <v>100</v>
      </c>
      <c r="H1248" s="100"/>
      <c r="I1248" s="100">
        <f>20*5</f>
        <v>100</v>
      </c>
      <c r="J1248" s="101">
        <f t="shared" ref="J1248" si="679">SUM(E1248:I1248)</f>
        <v>300</v>
      </c>
      <c r="K1248" s="94">
        <f>IF(A1248&lt;&gt;0,INDEX(Coûts, 'PA-Détails'!A1248, 3),)</f>
        <v>150</v>
      </c>
      <c r="L1248" s="167">
        <f t="shared" ref="L1248" si="680">ROUND(+$K1248*E1248,0)</f>
        <v>15000</v>
      </c>
      <c r="M1248" s="168">
        <f t="shared" ref="M1248" si="681">ROUND(+$K1248*F1248,0)</f>
        <v>0</v>
      </c>
      <c r="N1248" s="168">
        <f t="shared" ref="N1248" si="682">ROUND(+$K1248*G1248,0)</f>
        <v>15000</v>
      </c>
      <c r="O1248" s="168">
        <f t="shared" ref="O1248" si="683">ROUND(+$K1248*H1248,0)</f>
        <v>0</v>
      </c>
      <c r="P1248" s="271">
        <f t="shared" ref="P1248" si="684">ROUND(+$K1248*I1248,0)</f>
        <v>15000</v>
      </c>
      <c r="Q1248" s="283">
        <f>SUM(L1248:P1248)</f>
        <v>45000</v>
      </c>
      <c r="R1248" s="169"/>
      <c r="S1248" s="94"/>
      <c r="T1248" s="153"/>
      <c r="U1248" s="653"/>
      <c r="V1248" s="572"/>
      <c r="W1248" s="572"/>
      <c r="X1248" s="572"/>
      <c r="Y1248" s="572"/>
      <c r="Z1248" s="572"/>
    </row>
    <row r="1249" spans="1:26" x14ac:dyDescent="0.2">
      <c r="A1249" s="20" t="s">
        <v>1201</v>
      </c>
      <c r="B1249" s="149"/>
      <c r="C1249" s="51"/>
      <c r="D1249" s="21"/>
      <c r="E1249" s="96"/>
      <c r="F1249" s="100"/>
      <c r="G1249" s="100"/>
      <c r="H1249" s="100"/>
      <c r="I1249" s="100"/>
      <c r="J1249" s="101">
        <f t="shared" si="671"/>
        <v>0</v>
      </c>
      <c r="K1249" s="115"/>
      <c r="L1249" s="161">
        <f t="shared" ref="L1249:Q1249" si="685">SUM(L1250:L1250)</f>
        <v>111600</v>
      </c>
      <c r="M1249" s="157">
        <f t="shared" si="685"/>
        <v>0</v>
      </c>
      <c r="N1249" s="157">
        <f t="shared" si="685"/>
        <v>111600</v>
      </c>
      <c r="O1249" s="157">
        <f t="shared" si="685"/>
        <v>0</v>
      </c>
      <c r="P1249" s="270">
        <f t="shared" si="685"/>
        <v>111600</v>
      </c>
      <c r="Q1249" s="284">
        <f t="shared" si="685"/>
        <v>334800</v>
      </c>
      <c r="R1249" s="39" t="s">
        <v>852</v>
      </c>
      <c r="S1249" s="115"/>
      <c r="T1249" s="51"/>
    </row>
    <row r="1250" spans="1:26" x14ac:dyDescent="0.2">
      <c r="A1250" s="95">
        <v>221</v>
      </c>
      <c r="B1250" s="108" t="str">
        <f>IF(A1250&lt;&gt;0,INDEX(Coûts,'PA-Détails'!A1250, 2),)</f>
        <v>Mission en province des services centraux</v>
      </c>
      <c r="C1250" s="51"/>
      <c r="D1250" s="94" t="str">
        <f>IF(A1250&lt;&gt;0,INDEX(Coûts, 'PA-Détails'!A1250, 5),)</f>
        <v>P/j</v>
      </c>
      <c r="E1250" s="96">
        <f>(26+26+11+30)*5</f>
        <v>465</v>
      </c>
      <c r="F1250" s="100"/>
      <c r="G1250" s="100">
        <f>(26+26+11+30)*5</f>
        <v>465</v>
      </c>
      <c r="H1250" s="100"/>
      <c r="I1250" s="100">
        <f>(26+26+11+30)*5</f>
        <v>465</v>
      </c>
      <c r="J1250" s="101">
        <f t="shared" si="671"/>
        <v>1395</v>
      </c>
      <c r="K1250" s="115">
        <f>IF(A1250&lt;&gt;0,INDEX(Coûts, 'PA-Détails'!A1250, 3),)</f>
        <v>240</v>
      </c>
      <c r="L1250" s="37">
        <f>ROUND(+$K1250*E1250,0)</f>
        <v>111600</v>
      </c>
      <c r="M1250" s="36">
        <f>ROUND(+$K1250*F1250,0)</f>
        <v>0</v>
      </c>
      <c r="N1250" s="36">
        <f>ROUND(+$K1250*G1250,0)</f>
        <v>111600</v>
      </c>
      <c r="O1250" s="36">
        <f>ROUND(+$K1250*H1250,0)</f>
        <v>0</v>
      </c>
      <c r="P1250" s="268">
        <f>ROUND(+$K1250*I1250,0)</f>
        <v>111600</v>
      </c>
      <c r="Q1250" s="281">
        <f>SUM(L1250:P1250)</f>
        <v>334800</v>
      </c>
      <c r="R1250" s="39"/>
      <c r="S1250" s="115"/>
      <c r="T1250" s="51"/>
    </row>
    <row r="1251" spans="1:26" x14ac:dyDescent="0.2">
      <c r="A1251" s="20" t="s">
        <v>1619</v>
      </c>
      <c r="B1251" s="149"/>
      <c r="C1251" s="51"/>
      <c r="D1251" s="21"/>
      <c r="E1251" s="96"/>
      <c r="F1251" s="100"/>
      <c r="G1251" s="100"/>
      <c r="H1251" s="100"/>
      <c r="I1251" s="100"/>
      <c r="J1251" s="101">
        <f t="shared" si="671"/>
        <v>0</v>
      </c>
      <c r="K1251" s="115"/>
      <c r="L1251" s="161">
        <f t="shared" ref="L1251:Q1251" si="686">SUM(L1252:L1252)</f>
        <v>0</v>
      </c>
      <c r="M1251" s="157">
        <f t="shared" si="686"/>
        <v>111600</v>
      </c>
      <c r="N1251" s="157">
        <f t="shared" si="686"/>
        <v>0</v>
      </c>
      <c r="O1251" s="157">
        <f t="shared" si="686"/>
        <v>111600</v>
      </c>
      <c r="P1251" s="270">
        <f t="shared" si="686"/>
        <v>0</v>
      </c>
      <c r="Q1251" s="284">
        <f t="shared" si="686"/>
        <v>223200</v>
      </c>
      <c r="R1251" s="39" t="s">
        <v>852</v>
      </c>
      <c r="S1251" s="115"/>
      <c r="T1251" s="51"/>
    </row>
    <row r="1252" spans="1:26" x14ac:dyDescent="0.2">
      <c r="A1252" s="95">
        <v>221</v>
      </c>
      <c r="B1252" s="108" t="str">
        <f>IF(A1252&lt;&gt;0,INDEX(Coûts,'PA-Détails'!A1252, 2),)</f>
        <v>Mission en province des services centraux</v>
      </c>
      <c r="C1252" s="51"/>
      <c r="D1252" s="94" t="str">
        <f>IF(A1252&lt;&gt;0,INDEX(Coûts, 'PA-Détails'!A1252, 5),)</f>
        <v>P/j</v>
      </c>
      <c r="E1252" s="96"/>
      <c r="F1252" s="100">
        <f>(26+26+11+30)*5</f>
        <v>465</v>
      </c>
      <c r="G1252" s="100"/>
      <c r="H1252" s="100">
        <f>(26+26+11+30)*5</f>
        <v>465</v>
      </c>
      <c r="I1252" s="100"/>
      <c r="J1252" s="101">
        <f t="shared" si="671"/>
        <v>930</v>
      </c>
      <c r="K1252" s="115">
        <f>IF(A1252&lt;&gt;0,INDEX(Coûts, 'PA-Détails'!A1252, 3),)</f>
        <v>240</v>
      </c>
      <c r="L1252" s="37">
        <f t="shared" ref="L1252:P1254" si="687">ROUND(+$K1252*E1252,0)</f>
        <v>0</v>
      </c>
      <c r="M1252" s="36">
        <f t="shared" si="687"/>
        <v>111600</v>
      </c>
      <c r="N1252" s="36">
        <f t="shared" si="687"/>
        <v>0</v>
      </c>
      <c r="O1252" s="36">
        <f t="shared" si="687"/>
        <v>111600</v>
      </c>
      <c r="P1252" s="268">
        <f t="shared" si="687"/>
        <v>0</v>
      </c>
      <c r="Q1252" s="281">
        <f>SUM(L1252:P1252)</f>
        <v>223200</v>
      </c>
      <c r="R1252" s="39"/>
      <c r="S1252" s="115"/>
      <c r="T1252" s="51"/>
    </row>
    <row r="1253" spans="1:26" x14ac:dyDescent="0.2">
      <c r="A1253" s="14" t="s">
        <v>1200</v>
      </c>
      <c r="B1253" s="44"/>
      <c r="C1253" s="112"/>
      <c r="D1253" s="15"/>
      <c r="E1253" s="102"/>
      <c r="F1253" s="103"/>
      <c r="G1253" s="103"/>
      <c r="H1253" s="103"/>
      <c r="I1253" s="103"/>
      <c r="J1253" s="104">
        <f t="shared" ref="J1253:J1259" si="688">SUM(E1253:I1253)</f>
        <v>0</v>
      </c>
      <c r="K1253" s="145"/>
      <c r="L1253" s="33">
        <f t="shared" si="687"/>
        <v>0</v>
      </c>
      <c r="M1253" s="32">
        <f t="shared" si="687"/>
        <v>0</v>
      </c>
      <c r="N1253" s="32">
        <f t="shared" si="687"/>
        <v>0</v>
      </c>
      <c r="O1253" s="32">
        <f t="shared" si="687"/>
        <v>0</v>
      </c>
      <c r="P1253" s="267">
        <f t="shared" si="687"/>
        <v>0</v>
      </c>
      <c r="Q1253" s="278">
        <f>SUM(L1253:P1253)</f>
        <v>0</v>
      </c>
      <c r="R1253" s="40"/>
      <c r="S1253" s="145"/>
      <c r="T1253" s="49">
        <v>3</v>
      </c>
    </row>
    <row r="1254" spans="1:26" x14ac:dyDescent="0.2">
      <c r="A1254" s="17" t="s">
        <v>1208</v>
      </c>
      <c r="B1254" s="45"/>
      <c r="C1254" s="51"/>
      <c r="D1254" s="18"/>
      <c r="E1254" s="97"/>
      <c r="F1254" s="98"/>
      <c r="G1254" s="98"/>
      <c r="H1254" s="98"/>
      <c r="I1254" s="98"/>
      <c r="J1254" s="99">
        <f t="shared" si="688"/>
        <v>0</v>
      </c>
      <c r="K1254" s="116"/>
      <c r="L1254" s="35">
        <f t="shared" si="687"/>
        <v>0</v>
      </c>
      <c r="M1254" s="34">
        <f t="shared" si="687"/>
        <v>0</v>
      </c>
      <c r="N1254" s="34">
        <f t="shared" si="687"/>
        <v>0</v>
      </c>
      <c r="O1254" s="34">
        <f t="shared" si="687"/>
        <v>0</v>
      </c>
      <c r="P1254" s="269">
        <f t="shared" si="687"/>
        <v>0</v>
      </c>
      <c r="Q1254" s="279">
        <f>SUM(L1254:P1254)</f>
        <v>0</v>
      </c>
      <c r="R1254" s="38"/>
      <c r="S1254" s="116"/>
      <c r="T1254" s="50"/>
    </row>
    <row r="1255" spans="1:26" x14ac:dyDescent="0.2">
      <c r="A1255" s="20" t="s">
        <v>1209</v>
      </c>
      <c r="B1255" s="149"/>
      <c r="C1255" s="51"/>
      <c r="D1255" s="21"/>
      <c r="E1255" s="96"/>
      <c r="F1255" s="100"/>
      <c r="G1255" s="100"/>
      <c r="H1255" s="100"/>
      <c r="I1255" s="100"/>
      <c r="J1255" s="101">
        <f t="shared" si="688"/>
        <v>0</v>
      </c>
      <c r="K1255" s="115"/>
      <c r="L1255" s="161">
        <f>SUM(L1256:L1257)</f>
        <v>28000</v>
      </c>
      <c r="M1255" s="157">
        <f t="shared" ref="M1255:Q1255" si="689">SUM(M1256:M1257)</f>
        <v>0</v>
      </c>
      <c r="N1255" s="157">
        <f t="shared" si="689"/>
        <v>0</v>
      </c>
      <c r="O1255" s="157">
        <f t="shared" si="689"/>
        <v>0</v>
      </c>
      <c r="P1255" s="270">
        <f t="shared" si="689"/>
        <v>0</v>
      </c>
      <c r="Q1255" s="284">
        <f t="shared" si="689"/>
        <v>28000</v>
      </c>
      <c r="R1255" s="169" t="s">
        <v>753</v>
      </c>
      <c r="S1255" s="115" t="s">
        <v>665</v>
      </c>
      <c r="T1255" s="51"/>
    </row>
    <row r="1256" spans="1:26" s="162" customFormat="1" x14ac:dyDescent="0.2">
      <c r="A1256" s="95">
        <v>1</v>
      </c>
      <c r="B1256" s="163" t="str">
        <f>IF(A1256&lt;&gt;0,INDEX(Coûts,'PA-Détails'!A1256, 2),)</f>
        <v>Assistance technique internationale (consultants)</v>
      </c>
      <c r="C1256" s="153"/>
      <c r="D1256" s="94" t="str">
        <f>IF(A1256&lt;&gt;0,INDEX(Coûts, 'PA-Détails'!A1256, 5),)</f>
        <v>Pers / j</v>
      </c>
      <c r="E1256" s="100">
        <f>20</f>
        <v>20</v>
      </c>
      <c r="F1256" s="100"/>
      <c r="G1256" s="100"/>
      <c r="H1256" s="100"/>
      <c r="I1256" s="168"/>
      <c r="J1256" s="101">
        <f t="shared" ref="J1256" si="690">SUM(E1256:I1256)</f>
        <v>20</v>
      </c>
      <c r="K1256" s="94">
        <f>IF(A1256&lt;&gt;0,INDEX(Coûts, 'PA-Détails'!A1256, 3),)</f>
        <v>1150</v>
      </c>
      <c r="L1256" s="167">
        <f t="shared" ref="L1256" si="691">ROUND(+$K1256*E1256,0)</f>
        <v>23000</v>
      </c>
      <c r="M1256" s="168">
        <f t="shared" ref="M1256" si="692">ROUND(+$K1256*F1256,0)</f>
        <v>0</v>
      </c>
      <c r="N1256" s="168">
        <f t="shared" ref="N1256" si="693">ROUND(+$K1256*G1256,0)</f>
        <v>0</v>
      </c>
      <c r="O1256" s="168">
        <f t="shared" ref="O1256" si="694">ROUND(+$K1256*H1256,0)</f>
        <v>0</v>
      </c>
      <c r="P1256" s="271">
        <f t="shared" ref="P1256" si="695">ROUND(+$K1256*I1256,0)</f>
        <v>0</v>
      </c>
      <c r="Q1256" s="283">
        <f>SUM(L1256:P1256)</f>
        <v>23000</v>
      </c>
      <c r="R1256" s="169"/>
      <c r="S1256" s="94"/>
      <c r="T1256" s="153"/>
      <c r="U1256" s="653"/>
      <c r="V1256" s="572"/>
      <c r="W1256" s="572"/>
      <c r="X1256" s="572"/>
      <c r="Y1256" s="572"/>
      <c r="Z1256" s="572"/>
    </row>
    <row r="1257" spans="1:26" x14ac:dyDescent="0.2">
      <c r="A1257" s="95">
        <v>5</v>
      </c>
      <c r="B1257" s="108" t="str">
        <f>IF(A1257&lt;&gt;0,INDEX(Coûts,'PA-Détails'!A1257, 2),)</f>
        <v>Atelier de validation</v>
      </c>
      <c r="C1257" s="51"/>
      <c r="D1257" s="94" t="str">
        <f>IF(A1257&lt;&gt;0,INDEX(Coûts, 'PA-Détails'!A1257, 5),)</f>
        <v>Pers / j</v>
      </c>
      <c r="E1257" s="96">
        <f>20*5</f>
        <v>100</v>
      </c>
      <c r="F1257" s="100"/>
      <c r="G1257" s="100"/>
      <c r="H1257" s="100"/>
      <c r="I1257" s="100"/>
      <c r="J1257" s="101">
        <f t="shared" si="688"/>
        <v>100</v>
      </c>
      <c r="K1257" s="115">
        <f>IF(A1257&lt;&gt;0,INDEX(Coûts, 'PA-Détails'!A1257, 3),)</f>
        <v>50</v>
      </c>
      <c r="L1257" s="37">
        <f>ROUND(+$K1257*E1257,0)</f>
        <v>5000</v>
      </c>
      <c r="M1257" s="36">
        <f>ROUND(+$K1257*F1257,0)</f>
        <v>0</v>
      </c>
      <c r="N1257" s="36">
        <f>ROUND(+$K1257*G1257,0)</f>
        <v>0</v>
      </c>
      <c r="O1257" s="36">
        <f>ROUND(+$K1257*H1257,0)</f>
        <v>0</v>
      </c>
      <c r="P1257" s="268">
        <f>ROUND(+$K1257*I1257,0)</f>
        <v>0</v>
      </c>
      <c r="Q1257" s="281">
        <f>SUM(L1257:P1257)</f>
        <v>5000</v>
      </c>
      <c r="R1257" s="39"/>
      <c r="S1257" s="115"/>
      <c r="T1257" s="51"/>
    </row>
    <row r="1258" spans="1:26" x14ac:dyDescent="0.2">
      <c r="A1258" s="17" t="s">
        <v>1210</v>
      </c>
      <c r="B1258" s="45"/>
      <c r="C1258" s="51"/>
      <c r="D1258" s="18"/>
      <c r="E1258" s="97"/>
      <c r="F1258" s="98"/>
      <c r="G1258" s="98"/>
      <c r="H1258" s="98"/>
      <c r="I1258" s="98"/>
      <c r="J1258" s="99">
        <f t="shared" ref="J1258" si="696">SUM(E1258:I1258)</f>
        <v>0</v>
      </c>
      <c r="K1258" s="116"/>
      <c r="L1258" s="35">
        <f t="shared" ref="L1258" si="697">ROUND(+$K1258*E1258,0)</f>
        <v>0</v>
      </c>
      <c r="M1258" s="34">
        <f t="shared" ref="M1258" si="698">ROUND(+$K1258*F1258,0)</f>
        <v>0</v>
      </c>
      <c r="N1258" s="34">
        <f t="shared" ref="N1258" si="699">ROUND(+$K1258*G1258,0)</f>
        <v>0</v>
      </c>
      <c r="O1258" s="34">
        <f t="shared" ref="O1258" si="700">ROUND(+$K1258*H1258,0)</f>
        <v>0</v>
      </c>
      <c r="P1258" s="269">
        <f t="shared" ref="P1258" si="701">ROUND(+$K1258*I1258,0)</f>
        <v>0</v>
      </c>
      <c r="Q1258" s="279">
        <f>SUM(L1258:P1258)</f>
        <v>0</v>
      </c>
      <c r="R1258" s="38"/>
      <c r="S1258" s="116"/>
      <c r="T1258" s="50"/>
    </row>
    <row r="1259" spans="1:26" x14ac:dyDescent="0.2">
      <c r="A1259" s="20" t="s">
        <v>1360</v>
      </c>
      <c r="B1259" s="149"/>
      <c r="C1259" s="51"/>
      <c r="D1259" s="21"/>
      <c r="E1259" s="96"/>
      <c r="F1259" s="100"/>
      <c r="G1259" s="100"/>
      <c r="H1259" s="100"/>
      <c r="I1259" s="100"/>
      <c r="J1259" s="101">
        <f t="shared" si="688"/>
        <v>0</v>
      </c>
      <c r="K1259" s="115"/>
      <c r="L1259" s="161">
        <f>SUM(L1260)</f>
        <v>0</v>
      </c>
      <c r="M1259" s="157">
        <f t="shared" ref="M1259:Q1259" si="702">SUM(M1260)</f>
        <v>12000</v>
      </c>
      <c r="N1259" s="157">
        <f t="shared" si="702"/>
        <v>24000</v>
      </c>
      <c r="O1259" s="157">
        <f t="shared" si="702"/>
        <v>36000</v>
      </c>
      <c r="P1259" s="270">
        <f t="shared" si="702"/>
        <v>48000</v>
      </c>
      <c r="Q1259" s="284">
        <f t="shared" si="702"/>
        <v>120000</v>
      </c>
      <c r="R1259" s="169" t="s">
        <v>753</v>
      </c>
      <c r="S1259" s="115" t="s">
        <v>665</v>
      </c>
      <c r="T1259" s="51"/>
    </row>
    <row r="1260" spans="1:26" x14ac:dyDescent="0.2">
      <c r="A1260" s="95">
        <v>218</v>
      </c>
      <c r="B1260" s="108" t="str">
        <f>IF(A1260&lt;&gt;0,INDEX(Coûts,'PA-Détails'!A1260, 2),)</f>
        <v>Rémunération d'ingégneur (DIS)</v>
      </c>
      <c r="C1260" s="51"/>
      <c r="D1260" s="94" t="str">
        <f>IF(A1260&lt;&gt;0,INDEX(Coûts, 'PA-Détails'!A1260, 5),)</f>
        <v>Salaire/an/p</v>
      </c>
      <c r="E1260" s="96"/>
      <c r="F1260" s="100">
        <v>5</v>
      </c>
      <c r="G1260" s="100">
        <f>+F1260+5</f>
        <v>10</v>
      </c>
      <c r="H1260" s="100">
        <f t="shared" ref="H1260:I1260" si="703">+G1260+5</f>
        <v>15</v>
      </c>
      <c r="I1260" s="100">
        <f t="shared" si="703"/>
        <v>20</v>
      </c>
      <c r="J1260" s="101">
        <f t="shared" ref="J1260" si="704">SUM(E1260:I1260)</f>
        <v>50</v>
      </c>
      <c r="K1260" s="115">
        <f>IF(A1260&lt;&gt;0,INDEX(Coûts, 'PA-Détails'!A1260, 3),)</f>
        <v>2400</v>
      </c>
      <c r="L1260" s="37">
        <f>ROUND(+$K1260*E1260,0)</f>
        <v>0</v>
      </c>
      <c r="M1260" s="36">
        <f>ROUND(+$K1260*F1260,0)</f>
        <v>12000</v>
      </c>
      <c r="N1260" s="36">
        <f>ROUND(+$K1260*G1260,0)</f>
        <v>24000</v>
      </c>
      <c r="O1260" s="36">
        <f>ROUND(+$K1260*H1260,0)</f>
        <v>36000</v>
      </c>
      <c r="P1260" s="268">
        <f>ROUND(+$K1260*I1260,0)</f>
        <v>48000</v>
      </c>
      <c r="Q1260" s="281">
        <f>SUM(L1260:P1260)</f>
        <v>120000</v>
      </c>
      <c r="R1260" s="39"/>
      <c r="S1260" s="115"/>
      <c r="T1260" s="51"/>
    </row>
    <row r="1261" spans="1:26" x14ac:dyDescent="0.2">
      <c r="A1261" s="20" t="s">
        <v>1361</v>
      </c>
      <c r="B1261" s="149"/>
      <c r="C1261" s="51"/>
      <c r="D1261" s="21"/>
      <c r="E1261" s="96"/>
      <c r="F1261" s="100"/>
      <c r="G1261" s="100"/>
      <c r="H1261" s="100"/>
      <c r="I1261" s="100"/>
      <c r="J1261" s="101">
        <f t="shared" ref="J1261:J1265" si="705">SUM(E1261:I1261)</f>
        <v>0</v>
      </c>
      <c r="K1261" s="115"/>
      <c r="L1261" s="161">
        <f t="shared" ref="L1261" si="706">SUM(L1265:L1265)</f>
        <v>0</v>
      </c>
      <c r="M1261" s="157">
        <f>SUM(M1262:M1265)</f>
        <v>39400</v>
      </c>
      <c r="N1261" s="157">
        <f>SUM(N1262:N1265)</f>
        <v>39700</v>
      </c>
      <c r="O1261" s="157">
        <f t="shared" ref="O1261:Q1261" si="707">SUM(O1262:O1265)</f>
        <v>40000</v>
      </c>
      <c r="P1261" s="270">
        <f t="shared" si="707"/>
        <v>40300</v>
      </c>
      <c r="Q1261" s="284">
        <f t="shared" si="707"/>
        <v>159400</v>
      </c>
      <c r="R1261" s="169" t="s">
        <v>753</v>
      </c>
      <c r="S1261" s="115" t="s">
        <v>665</v>
      </c>
      <c r="T1261" s="51"/>
    </row>
    <row r="1262" spans="1:26" x14ac:dyDescent="0.2">
      <c r="A1262" s="95">
        <v>1</v>
      </c>
      <c r="B1262" s="108" t="str">
        <f>IF(A1262&lt;&gt;0,INDEX(Coûts,'PA-Détails'!A1262, 2),)</f>
        <v>Assistance technique internationale (consultants)</v>
      </c>
      <c r="C1262" s="51"/>
      <c r="D1262" s="94" t="str">
        <f>IF(A1262&lt;&gt;0,INDEX(Coûts, 'PA-Détails'!A1262, 5),)</f>
        <v>Pers / j</v>
      </c>
      <c r="E1262" s="96"/>
      <c r="F1262" s="100">
        <v>10</v>
      </c>
      <c r="G1262" s="100">
        <f>+F1262</f>
        <v>10</v>
      </c>
      <c r="H1262" s="100">
        <f>+G1262</f>
        <v>10</v>
      </c>
      <c r="I1262" s="100">
        <f>+H1262</f>
        <v>10</v>
      </c>
      <c r="J1262" s="101">
        <f t="shared" si="705"/>
        <v>40</v>
      </c>
      <c r="K1262" s="115">
        <f>IF(A1262&lt;&gt;0,INDEX(Coûts, 'PA-Détails'!A1262, 3),)</f>
        <v>1150</v>
      </c>
      <c r="L1262" s="37">
        <f t="shared" ref="L1262:P1265" si="708">ROUND(+$K1262*E1262,0)</f>
        <v>0</v>
      </c>
      <c r="M1262" s="36">
        <f t="shared" si="708"/>
        <v>11500</v>
      </c>
      <c r="N1262" s="36">
        <f t="shared" si="708"/>
        <v>11500</v>
      </c>
      <c r="O1262" s="36">
        <f t="shared" si="708"/>
        <v>11500</v>
      </c>
      <c r="P1262" s="268">
        <f t="shared" si="708"/>
        <v>11500</v>
      </c>
      <c r="Q1262" s="281">
        <f t="shared" ref="Q1262:Q1267" si="709">SUM(L1262:P1262)</f>
        <v>46000</v>
      </c>
      <c r="R1262" s="39"/>
      <c r="S1262" s="115"/>
      <c r="T1262" s="51"/>
    </row>
    <row r="1263" spans="1:26" x14ac:dyDescent="0.2">
      <c r="A1263" s="95">
        <v>2</v>
      </c>
      <c r="B1263" s="108" t="str">
        <f>IF(A1263&lt;&gt;0,INDEX(Coûts,'PA-Détails'!A1263, 2),)</f>
        <v>Assistance technique nationale (consultants)</v>
      </c>
      <c r="C1263" s="51"/>
      <c r="D1263" s="94" t="str">
        <f>IF(A1263&lt;&gt;0,INDEX(Coûts, 'PA-Détails'!A1263, 5),)</f>
        <v>Pers / j</v>
      </c>
      <c r="E1263" s="96"/>
      <c r="F1263" s="100">
        <v>20</v>
      </c>
      <c r="G1263" s="100">
        <v>21</v>
      </c>
      <c r="H1263" s="100">
        <v>22</v>
      </c>
      <c r="I1263" s="100">
        <v>23</v>
      </c>
      <c r="J1263" s="101">
        <f t="shared" ref="J1263" si="710">SUM(E1263:I1263)</f>
        <v>86</v>
      </c>
      <c r="K1263" s="115">
        <f>IF(A1263&lt;&gt;0,INDEX(Coûts, 'PA-Détails'!A1263, 3),)</f>
        <v>300</v>
      </c>
      <c r="L1263" s="37">
        <f t="shared" si="708"/>
        <v>0</v>
      </c>
      <c r="M1263" s="36">
        <f t="shared" si="708"/>
        <v>6000</v>
      </c>
      <c r="N1263" s="36">
        <f t="shared" si="708"/>
        <v>6300</v>
      </c>
      <c r="O1263" s="36">
        <f t="shared" si="708"/>
        <v>6600</v>
      </c>
      <c r="P1263" s="268">
        <f t="shared" si="708"/>
        <v>6900</v>
      </c>
      <c r="Q1263" s="281">
        <f t="shared" si="709"/>
        <v>25800</v>
      </c>
      <c r="R1263" s="39"/>
      <c r="S1263" s="115"/>
      <c r="T1263" s="51"/>
    </row>
    <row r="1264" spans="1:26" x14ac:dyDescent="0.2">
      <c r="A1264" s="95">
        <v>12</v>
      </c>
      <c r="B1264" s="108" t="str">
        <f>IF(A1264&lt;&gt;0,INDEX(Coûts,'PA-Détails'!A1264, 2),)</f>
        <v>Formation - Action et Formation de formateurs</v>
      </c>
      <c r="C1264" s="51"/>
      <c r="D1264" s="94" t="str">
        <f>IF(A1264&lt;&gt;0,INDEX(Coûts, 'PA-Détails'!A1264, 5),)</f>
        <v>Pers / j</v>
      </c>
      <c r="E1264" s="96"/>
      <c r="F1264" s="100">
        <f>10*5</f>
        <v>50</v>
      </c>
      <c r="G1264" s="100">
        <f t="shared" ref="G1264:I1264" si="711">10*5</f>
        <v>50</v>
      </c>
      <c r="H1264" s="100">
        <f t="shared" si="711"/>
        <v>50</v>
      </c>
      <c r="I1264" s="100">
        <f t="shared" si="711"/>
        <v>50</v>
      </c>
      <c r="J1264" s="101">
        <f t="shared" ref="J1264" si="712">SUM(E1264:I1264)</f>
        <v>200</v>
      </c>
      <c r="K1264" s="115">
        <f>IF(A1264&lt;&gt;0,INDEX(Coûts, 'PA-Détails'!A1264, 3),)</f>
        <v>150</v>
      </c>
      <c r="L1264" s="37">
        <f t="shared" ref="L1264" si="713">ROUND(+$K1264*E1264,0)</f>
        <v>0</v>
      </c>
      <c r="M1264" s="36">
        <f t="shared" ref="M1264" si="714">ROUND(+$K1264*F1264,0)</f>
        <v>7500</v>
      </c>
      <c r="N1264" s="36">
        <f t="shared" ref="N1264" si="715">ROUND(+$K1264*G1264,0)</f>
        <v>7500</v>
      </c>
      <c r="O1264" s="36">
        <f t="shared" ref="O1264" si="716">ROUND(+$K1264*H1264,0)</f>
        <v>7500</v>
      </c>
      <c r="P1264" s="268">
        <f t="shared" ref="P1264" si="717">ROUND(+$K1264*I1264,0)</f>
        <v>7500</v>
      </c>
      <c r="Q1264" s="281">
        <f t="shared" si="709"/>
        <v>30000</v>
      </c>
      <c r="R1264" s="39"/>
      <c r="S1264" s="115"/>
      <c r="T1264" s="51"/>
    </row>
    <row r="1265" spans="1:26" x14ac:dyDescent="0.2">
      <c r="A1265" s="95">
        <v>221</v>
      </c>
      <c r="B1265" s="108" t="str">
        <f>IF(A1265&lt;&gt;0,INDEX(Coûts,'PA-Détails'!A1265, 2),)</f>
        <v>Mission en province des services centraux</v>
      </c>
      <c r="C1265" s="51"/>
      <c r="D1265" s="94" t="str">
        <f>IF(A1265&lt;&gt;0,INDEX(Coûts, 'PA-Détails'!A1265, 5),)</f>
        <v>P/j</v>
      </c>
      <c r="E1265" s="96"/>
      <c r="F1265" s="100">
        <f>10*6</f>
        <v>60</v>
      </c>
      <c r="G1265" s="100">
        <f>F1265</f>
        <v>60</v>
      </c>
      <c r="H1265" s="100">
        <f t="shared" ref="H1265:I1265" si="718">G1265</f>
        <v>60</v>
      </c>
      <c r="I1265" s="100">
        <f t="shared" si="718"/>
        <v>60</v>
      </c>
      <c r="J1265" s="101">
        <f t="shared" si="705"/>
        <v>240</v>
      </c>
      <c r="K1265" s="115">
        <f>IF(A1265&lt;&gt;0,INDEX(Coûts, 'PA-Détails'!A1265, 3),)</f>
        <v>240</v>
      </c>
      <c r="L1265" s="37">
        <f t="shared" si="708"/>
        <v>0</v>
      </c>
      <c r="M1265" s="36">
        <f t="shared" si="708"/>
        <v>14400</v>
      </c>
      <c r="N1265" s="36">
        <f t="shared" si="708"/>
        <v>14400</v>
      </c>
      <c r="O1265" s="36">
        <f t="shared" si="708"/>
        <v>14400</v>
      </c>
      <c r="P1265" s="268">
        <f t="shared" si="708"/>
        <v>14400</v>
      </c>
      <c r="Q1265" s="281">
        <f t="shared" si="709"/>
        <v>57600</v>
      </c>
      <c r="R1265" s="39"/>
      <c r="S1265" s="115"/>
      <c r="T1265" s="51"/>
    </row>
    <row r="1266" spans="1:26" x14ac:dyDescent="0.2">
      <c r="A1266" s="14" t="s">
        <v>1218</v>
      </c>
      <c r="B1266" s="44"/>
      <c r="C1266" s="112"/>
      <c r="D1266" s="15"/>
      <c r="E1266" s="102"/>
      <c r="F1266" s="103"/>
      <c r="G1266" s="103"/>
      <c r="H1266" s="103"/>
      <c r="I1266" s="103"/>
      <c r="J1266" s="104">
        <f t="shared" ref="J1266:J1287" si="719">SUM(E1266:I1266)</f>
        <v>0</v>
      </c>
      <c r="K1266" s="145"/>
      <c r="L1266" s="33">
        <f t="shared" ref="L1266:L1275" si="720">ROUND(+$K1266*E1266,0)</f>
        <v>0</v>
      </c>
      <c r="M1266" s="32">
        <f t="shared" ref="M1266:M1275" si="721">ROUND(+$K1266*F1266,0)</f>
        <v>0</v>
      </c>
      <c r="N1266" s="32">
        <f t="shared" ref="N1266:N1275" si="722">ROUND(+$K1266*G1266,0)</f>
        <v>0</v>
      </c>
      <c r="O1266" s="32">
        <f t="shared" ref="O1266:O1275" si="723">ROUND(+$K1266*H1266,0)</f>
        <v>0</v>
      </c>
      <c r="P1266" s="267">
        <f t="shared" ref="P1266:P1275" si="724">ROUND(+$K1266*I1266,0)</f>
        <v>0</v>
      </c>
      <c r="Q1266" s="278">
        <f t="shared" si="709"/>
        <v>0</v>
      </c>
      <c r="R1266" s="40"/>
      <c r="S1266" s="145"/>
      <c r="T1266" s="49">
        <v>3</v>
      </c>
    </row>
    <row r="1267" spans="1:26" x14ac:dyDescent="0.2">
      <c r="A1267" s="17" t="s">
        <v>1211</v>
      </c>
      <c r="B1267" s="45"/>
      <c r="C1267" s="51"/>
      <c r="D1267" s="18"/>
      <c r="E1267" s="97"/>
      <c r="F1267" s="98"/>
      <c r="G1267" s="98"/>
      <c r="H1267" s="98"/>
      <c r="I1267" s="98"/>
      <c r="J1267" s="99">
        <f t="shared" ref="J1267:J1274" si="725">SUM(E1267:I1267)</f>
        <v>0</v>
      </c>
      <c r="K1267" s="116"/>
      <c r="L1267" s="35">
        <f>ROUND(+$K1267*E1267,0)</f>
        <v>0</v>
      </c>
      <c r="M1267" s="34">
        <f>ROUND(+$K1267*F1267,0)</f>
        <v>0</v>
      </c>
      <c r="N1267" s="34">
        <f>ROUND(+$K1267*G1267,0)</f>
        <v>0</v>
      </c>
      <c r="O1267" s="34">
        <f>ROUND(+$K1267*H1267,0)</f>
        <v>0</v>
      </c>
      <c r="P1267" s="269">
        <f>ROUND(+$K1267*I1267,0)</f>
        <v>0</v>
      </c>
      <c r="Q1267" s="279">
        <f t="shared" si="709"/>
        <v>0</v>
      </c>
      <c r="R1267" s="38"/>
      <c r="S1267" s="116"/>
      <c r="T1267" s="50"/>
    </row>
    <row r="1268" spans="1:26" x14ac:dyDescent="0.2">
      <c r="A1268" s="20" t="s">
        <v>1212</v>
      </c>
      <c r="B1268" s="149"/>
      <c r="C1268" s="51"/>
      <c r="D1268" s="21"/>
      <c r="E1268" s="96"/>
      <c r="F1268" s="100"/>
      <c r="G1268" s="100"/>
      <c r="H1268" s="100"/>
      <c r="I1268" s="100"/>
      <c r="J1268" s="101">
        <f t="shared" si="725"/>
        <v>0</v>
      </c>
      <c r="K1268" s="115"/>
      <c r="L1268" s="161">
        <f t="shared" ref="L1268:Q1268" si="726">SUM(L1269:L1270)</f>
        <v>0</v>
      </c>
      <c r="M1268" s="157">
        <f t="shared" si="726"/>
        <v>16250</v>
      </c>
      <c r="N1268" s="157">
        <f t="shared" si="726"/>
        <v>0</v>
      </c>
      <c r="O1268" s="157">
        <f t="shared" si="726"/>
        <v>0</v>
      </c>
      <c r="P1268" s="270">
        <f t="shared" si="726"/>
        <v>0</v>
      </c>
      <c r="Q1268" s="284">
        <f t="shared" si="726"/>
        <v>16250</v>
      </c>
      <c r="R1268" s="39" t="s">
        <v>1419</v>
      </c>
      <c r="S1268" s="115" t="s">
        <v>665</v>
      </c>
      <c r="T1268" s="51"/>
    </row>
    <row r="1269" spans="1:26" x14ac:dyDescent="0.2">
      <c r="A1269" s="95">
        <v>4</v>
      </c>
      <c r="B1269" s="108" t="str">
        <f>IF(A1269&lt;&gt;0,INDEX(Coûts,'PA-Détails'!A1269, 2),)</f>
        <v>Assistance technique nationale (bureaux d'études)</v>
      </c>
      <c r="C1269" s="51"/>
      <c r="D1269" s="94" t="str">
        <f>IF(A1269&lt;&gt;0,INDEX(Coûts, 'PA-Détails'!A1269, 5),)</f>
        <v>Pers / j</v>
      </c>
      <c r="E1269" s="96"/>
      <c r="F1269" s="100">
        <v>25</v>
      </c>
      <c r="G1269" s="100"/>
      <c r="H1269" s="100"/>
      <c r="I1269" s="100"/>
      <c r="J1269" s="101">
        <f t="shared" si="725"/>
        <v>25</v>
      </c>
      <c r="K1269" s="115">
        <f>IF(A1269&lt;&gt;0,INDEX(Coûts, 'PA-Détails'!A1269, 3),)</f>
        <v>450</v>
      </c>
      <c r="L1269" s="37">
        <f t="shared" ref="L1269:P1270" si="727">ROUND(+$K1269*E1269,0)</f>
        <v>0</v>
      </c>
      <c r="M1269" s="36">
        <f t="shared" si="727"/>
        <v>11250</v>
      </c>
      <c r="N1269" s="36">
        <f t="shared" si="727"/>
        <v>0</v>
      </c>
      <c r="O1269" s="36">
        <f t="shared" si="727"/>
        <v>0</v>
      </c>
      <c r="P1269" s="268">
        <f t="shared" si="727"/>
        <v>0</v>
      </c>
      <c r="Q1269" s="281">
        <f>SUM(L1269:P1269)</f>
        <v>11250</v>
      </c>
      <c r="R1269" s="39"/>
      <c r="S1269" s="115"/>
      <c r="T1269" s="51"/>
    </row>
    <row r="1270" spans="1:26" x14ac:dyDescent="0.2">
      <c r="A1270" s="95">
        <v>5</v>
      </c>
      <c r="B1270" s="108" t="str">
        <f>IF(A1270&lt;&gt;0,INDEX(Coûts,'PA-Détails'!A1270, 2),)</f>
        <v>Atelier de validation</v>
      </c>
      <c r="C1270" s="51"/>
      <c r="D1270" s="94" t="str">
        <f>IF(A1270&lt;&gt;0,INDEX(Coûts, 'PA-Détails'!A1270, 5),)</f>
        <v>Pers / j</v>
      </c>
      <c r="E1270" s="96"/>
      <c r="F1270" s="100">
        <v>100</v>
      </c>
      <c r="G1270" s="100"/>
      <c r="H1270" s="100"/>
      <c r="I1270" s="100"/>
      <c r="J1270" s="101">
        <f t="shared" si="725"/>
        <v>100</v>
      </c>
      <c r="K1270" s="115">
        <f>IF(A1270&lt;&gt;0,INDEX(Coûts, 'PA-Détails'!A1270, 3),)</f>
        <v>50</v>
      </c>
      <c r="L1270" s="37">
        <f t="shared" si="727"/>
        <v>0</v>
      </c>
      <c r="M1270" s="36">
        <f t="shared" si="727"/>
        <v>5000</v>
      </c>
      <c r="N1270" s="36">
        <f t="shared" si="727"/>
        <v>0</v>
      </c>
      <c r="O1270" s="36">
        <f t="shared" si="727"/>
        <v>0</v>
      </c>
      <c r="P1270" s="268">
        <f t="shared" si="727"/>
        <v>0</v>
      </c>
      <c r="Q1270" s="281">
        <f>SUM(L1270:P1270)</f>
        <v>5000</v>
      </c>
      <c r="R1270" s="39"/>
      <c r="S1270" s="115"/>
      <c r="T1270" s="51"/>
    </row>
    <row r="1271" spans="1:26" x14ac:dyDescent="0.2">
      <c r="A1271" s="20" t="s">
        <v>1217</v>
      </c>
      <c r="B1271" s="149"/>
      <c r="C1271" s="51"/>
      <c r="D1271" s="21"/>
      <c r="E1271" s="96"/>
      <c r="F1271" s="100"/>
      <c r="G1271" s="100"/>
      <c r="H1271" s="100"/>
      <c r="I1271" s="100"/>
      <c r="J1271" s="101">
        <f t="shared" si="725"/>
        <v>0</v>
      </c>
      <c r="K1271" s="115"/>
      <c r="L1271" s="161">
        <f t="shared" ref="L1271:Q1271" si="728">SUM(L1272:L1274)</f>
        <v>0</v>
      </c>
      <c r="M1271" s="157">
        <f t="shared" si="728"/>
        <v>0</v>
      </c>
      <c r="N1271" s="157">
        <f t="shared" si="728"/>
        <v>67500</v>
      </c>
      <c r="O1271" s="157">
        <f t="shared" si="728"/>
        <v>67500</v>
      </c>
      <c r="P1271" s="270">
        <f t="shared" si="728"/>
        <v>67500</v>
      </c>
      <c r="Q1271" s="284">
        <f t="shared" si="728"/>
        <v>202500</v>
      </c>
      <c r="R1271" s="39" t="s">
        <v>1419</v>
      </c>
      <c r="S1271" s="115" t="s">
        <v>665</v>
      </c>
      <c r="T1271" s="51"/>
    </row>
    <row r="1272" spans="1:26" x14ac:dyDescent="0.2">
      <c r="A1272" s="95">
        <v>4</v>
      </c>
      <c r="B1272" s="108" t="str">
        <f>IF(A1272&lt;&gt;0,INDEX(Coûts,'PA-Détails'!A1272, 2),)</f>
        <v>Assistance technique nationale (bureaux d'études)</v>
      </c>
      <c r="C1272" s="51"/>
      <c r="D1272" s="94" t="str">
        <f>IF(A1272&lt;&gt;0,INDEX(Coûts, 'PA-Détails'!A1272, 5),)</f>
        <v>Pers / j</v>
      </c>
      <c r="E1272" s="96"/>
      <c r="F1272" s="100"/>
      <c r="G1272" s="100">
        <v>30</v>
      </c>
      <c r="H1272" s="100">
        <v>30</v>
      </c>
      <c r="I1272" s="100">
        <v>30</v>
      </c>
      <c r="J1272" s="101">
        <f t="shared" si="725"/>
        <v>90</v>
      </c>
      <c r="K1272" s="115">
        <f>IF(A1272&lt;&gt;0,INDEX(Coûts, 'PA-Détails'!A1272, 3),)</f>
        <v>450</v>
      </c>
      <c r="L1272" s="37">
        <f t="shared" ref="L1272:P1274" si="729">ROUND(+$K1272*E1272,0)</f>
        <v>0</v>
      </c>
      <c r="M1272" s="36">
        <f t="shared" si="729"/>
        <v>0</v>
      </c>
      <c r="N1272" s="36">
        <f t="shared" si="729"/>
        <v>13500</v>
      </c>
      <c r="O1272" s="36">
        <f t="shared" si="729"/>
        <v>13500</v>
      </c>
      <c r="P1272" s="268">
        <f t="shared" si="729"/>
        <v>13500</v>
      </c>
      <c r="Q1272" s="281">
        <f>SUM(L1272:P1272)</f>
        <v>40500</v>
      </c>
      <c r="R1272" s="39"/>
      <c r="S1272" s="115"/>
      <c r="T1272" s="51"/>
    </row>
    <row r="1273" spans="1:26" x14ac:dyDescent="0.2">
      <c r="A1273" s="95">
        <v>12</v>
      </c>
      <c r="B1273" s="108" t="str">
        <f>IF(A1273&lt;&gt;0,INDEX(Coûts,'PA-Détails'!A1273, 2),)</f>
        <v>Formation - Action et Formation de formateurs</v>
      </c>
      <c r="C1273" s="51"/>
      <c r="D1273" s="94" t="str">
        <f>IF(A1273&lt;&gt;0,INDEX(Coûts, 'PA-Détails'!A1273, 5),)</f>
        <v>Pers / j</v>
      </c>
      <c r="E1273" s="96"/>
      <c r="F1273" s="100"/>
      <c r="G1273" s="100">
        <f>20*10</f>
        <v>200</v>
      </c>
      <c r="H1273" s="100">
        <f>+G1273</f>
        <v>200</v>
      </c>
      <c r="I1273" s="100">
        <f>+H1273</f>
        <v>200</v>
      </c>
      <c r="J1273" s="101">
        <f t="shared" si="725"/>
        <v>600</v>
      </c>
      <c r="K1273" s="115">
        <f>IF(A1273&lt;&gt;0,INDEX(Coûts, 'PA-Détails'!A1273, 3),)</f>
        <v>150</v>
      </c>
      <c r="L1273" s="37">
        <f t="shared" si="729"/>
        <v>0</v>
      </c>
      <c r="M1273" s="36">
        <f t="shared" si="729"/>
        <v>0</v>
      </c>
      <c r="N1273" s="36">
        <f t="shared" si="729"/>
        <v>30000</v>
      </c>
      <c r="O1273" s="36">
        <f t="shared" si="729"/>
        <v>30000</v>
      </c>
      <c r="P1273" s="268">
        <f t="shared" si="729"/>
        <v>30000</v>
      </c>
      <c r="Q1273" s="281">
        <f>SUM(L1273:P1273)</f>
        <v>90000</v>
      </c>
      <c r="R1273" s="39"/>
      <c r="S1273" s="115"/>
      <c r="T1273" s="51"/>
    </row>
    <row r="1274" spans="1:26" x14ac:dyDescent="0.2">
      <c r="A1274" s="95">
        <v>221</v>
      </c>
      <c r="B1274" s="108" t="str">
        <f>IF(A1274&lt;&gt;0,INDEX(Coûts,'PA-Détails'!A1274, 2),)</f>
        <v>Mission en province des services centraux</v>
      </c>
      <c r="C1274" s="51"/>
      <c r="D1274" s="94" t="str">
        <f>IF(A1274&lt;&gt;0,INDEX(Coûts, 'PA-Détails'!A1274, 5),)</f>
        <v>P/j</v>
      </c>
      <c r="E1274" s="96"/>
      <c r="F1274" s="100"/>
      <c r="G1274" s="100">
        <f>10*10</f>
        <v>100</v>
      </c>
      <c r="H1274" s="100">
        <f t="shared" ref="H1274:I1274" si="730">10*10</f>
        <v>100</v>
      </c>
      <c r="I1274" s="100">
        <f t="shared" si="730"/>
        <v>100</v>
      </c>
      <c r="J1274" s="101">
        <f t="shared" si="725"/>
        <v>300</v>
      </c>
      <c r="K1274" s="115">
        <f>IF(A1274&lt;&gt;0,INDEX(Coûts, 'PA-Détails'!A1274, 3),)</f>
        <v>240</v>
      </c>
      <c r="L1274" s="37">
        <f t="shared" si="729"/>
        <v>0</v>
      </c>
      <c r="M1274" s="36">
        <f t="shared" si="729"/>
        <v>0</v>
      </c>
      <c r="N1274" s="36">
        <f t="shared" si="729"/>
        <v>24000</v>
      </c>
      <c r="O1274" s="36">
        <f t="shared" si="729"/>
        <v>24000</v>
      </c>
      <c r="P1274" s="268">
        <f t="shared" si="729"/>
        <v>24000</v>
      </c>
      <c r="Q1274" s="281">
        <f>SUM(L1274:P1274)</f>
        <v>72000</v>
      </c>
      <c r="R1274" s="39"/>
      <c r="S1274" s="115"/>
      <c r="T1274" s="51"/>
    </row>
    <row r="1275" spans="1:26" s="315" customFormat="1" x14ac:dyDescent="0.2">
      <c r="A1275" s="496" t="s">
        <v>1219</v>
      </c>
      <c r="B1275" s="497"/>
      <c r="C1275" s="314" t="s">
        <v>643</v>
      </c>
      <c r="D1275" s="498"/>
      <c r="E1275" s="487"/>
      <c r="F1275" s="488"/>
      <c r="G1275" s="488"/>
      <c r="H1275" s="488"/>
      <c r="I1275" s="488"/>
      <c r="J1275" s="489">
        <f t="shared" si="719"/>
        <v>0</v>
      </c>
      <c r="K1275" s="490"/>
      <c r="L1275" s="491">
        <f t="shared" si="720"/>
        <v>0</v>
      </c>
      <c r="M1275" s="492">
        <f t="shared" si="721"/>
        <v>0</v>
      </c>
      <c r="N1275" s="492">
        <f t="shared" si="722"/>
        <v>0</v>
      </c>
      <c r="O1275" s="492">
        <f t="shared" si="723"/>
        <v>0</v>
      </c>
      <c r="P1275" s="493">
        <f t="shared" si="724"/>
        <v>0</v>
      </c>
      <c r="Q1275" s="494">
        <f>SUM(L1275:P1275)</f>
        <v>0</v>
      </c>
      <c r="R1275" s="495"/>
      <c r="S1275" s="490"/>
      <c r="T1275" s="318"/>
      <c r="U1275" s="653"/>
      <c r="V1275" s="610"/>
      <c r="W1275" s="610"/>
      <c r="X1275" s="610"/>
      <c r="Y1275" s="610"/>
      <c r="Z1275" s="610"/>
    </row>
    <row r="1276" spans="1:26" s="315" customFormat="1" x14ac:dyDescent="0.2">
      <c r="A1276" s="499" t="s">
        <v>1220</v>
      </c>
      <c r="B1276" s="500"/>
      <c r="C1276" s="314" t="s">
        <v>1143</v>
      </c>
      <c r="D1276" s="501"/>
      <c r="E1276" s="114"/>
      <c r="F1276" s="188"/>
      <c r="G1276" s="188"/>
      <c r="H1276" s="188"/>
      <c r="I1276" s="188"/>
      <c r="J1276" s="502">
        <f t="shared" si="719"/>
        <v>0</v>
      </c>
      <c r="K1276" s="317"/>
      <c r="L1276" s="503">
        <f t="shared" ref="L1276:Q1276" si="731">SUM(L1277:L1280)</f>
        <v>80000</v>
      </c>
      <c r="M1276" s="492">
        <f t="shared" si="731"/>
        <v>0</v>
      </c>
      <c r="N1276" s="492">
        <f t="shared" si="731"/>
        <v>0</v>
      </c>
      <c r="O1276" s="492">
        <f t="shared" si="731"/>
        <v>0</v>
      </c>
      <c r="P1276" s="493">
        <f t="shared" si="731"/>
        <v>0</v>
      </c>
      <c r="Q1276" s="494">
        <f t="shared" si="731"/>
        <v>80000</v>
      </c>
      <c r="R1276" s="316" t="s">
        <v>1137</v>
      </c>
      <c r="S1276" s="317" t="s">
        <v>670</v>
      </c>
      <c r="T1276" s="314"/>
      <c r="U1276" s="653"/>
      <c r="V1276" s="610"/>
      <c r="W1276" s="610"/>
      <c r="X1276" s="610"/>
      <c r="Y1276" s="610"/>
      <c r="Z1276" s="610"/>
    </row>
    <row r="1277" spans="1:26" s="315" customFormat="1" x14ac:dyDescent="0.2">
      <c r="A1277" s="504">
        <v>1</v>
      </c>
      <c r="B1277" s="505" t="str">
        <f>IF(A1277&lt;&gt;0,INDEX(Coûts,'PA-Détails'!A1277, 2),)</f>
        <v>Assistance technique internationale (consultants)</v>
      </c>
      <c r="C1277" s="314"/>
      <c r="D1277" s="321" t="str">
        <f>IF(A1277&lt;&gt;0,INDEX(Coûts, 'PA-Détails'!A1277, 5),)</f>
        <v>Pers / j</v>
      </c>
      <c r="E1277" s="114">
        <v>10</v>
      </c>
      <c r="F1277" s="188"/>
      <c r="G1277" s="188"/>
      <c r="H1277" s="188"/>
      <c r="I1277" s="188"/>
      <c r="J1277" s="502">
        <f t="shared" si="719"/>
        <v>10</v>
      </c>
      <c r="K1277" s="317">
        <f>IF(A1277&lt;&gt;0,INDEX(Coûts, 'PA-Détails'!A1277, 3),)</f>
        <v>1150</v>
      </c>
      <c r="L1277" s="312">
        <f t="shared" ref="L1277:L1280" si="732">ROUND(+$K1277*E1277,0)</f>
        <v>11500</v>
      </c>
      <c r="M1277" s="313">
        <f t="shared" ref="M1277:M1280" si="733">ROUND(+$K1277*F1277,0)</f>
        <v>0</v>
      </c>
      <c r="N1277" s="313">
        <f t="shared" ref="N1277:N1280" si="734">ROUND(+$K1277*G1277,0)</f>
        <v>0</v>
      </c>
      <c r="O1277" s="313">
        <f t="shared" ref="O1277:O1280" si="735">ROUND(+$K1277*H1277,0)</f>
        <v>0</v>
      </c>
      <c r="P1277" s="506">
        <f t="shared" ref="P1277:P1280" si="736">ROUND(+$K1277*I1277,0)</f>
        <v>0</v>
      </c>
      <c r="Q1277" s="507">
        <f>SUM(L1277:P1277)</f>
        <v>11500</v>
      </c>
      <c r="R1277" s="316"/>
      <c r="S1277" s="317"/>
      <c r="T1277" s="314"/>
      <c r="U1277" s="653"/>
      <c r="V1277" s="610"/>
      <c r="W1277" s="610"/>
      <c r="X1277" s="610"/>
      <c r="Y1277" s="610"/>
      <c r="Z1277" s="610"/>
    </row>
    <row r="1278" spans="1:26" s="315" customFormat="1" x14ac:dyDescent="0.2">
      <c r="A1278" s="504">
        <v>2</v>
      </c>
      <c r="B1278" s="505" t="str">
        <f>IF(A1278&lt;&gt;0,INDEX(Coûts,'PA-Détails'!A1278, 2),)</f>
        <v>Assistance technique nationale (consultants)</v>
      </c>
      <c r="C1278" s="314"/>
      <c r="D1278" s="321" t="str">
        <f>IF(A1278&lt;&gt;0,INDEX(Coûts, 'PA-Détails'!A1278, 5),)</f>
        <v>Pers / j</v>
      </c>
      <c r="E1278" s="114">
        <v>30</v>
      </c>
      <c r="F1278" s="188"/>
      <c r="G1278" s="188"/>
      <c r="H1278" s="188"/>
      <c r="I1278" s="188"/>
      <c r="J1278" s="502">
        <f t="shared" ref="J1278" si="737">SUM(E1278:I1278)</f>
        <v>30</v>
      </c>
      <c r="K1278" s="317">
        <f>IF(A1278&lt;&gt;0,INDEX(Coûts, 'PA-Détails'!A1278, 3),)</f>
        <v>300</v>
      </c>
      <c r="L1278" s="312">
        <f t="shared" ref="L1278" si="738">ROUND(+$K1278*E1278,0)</f>
        <v>9000</v>
      </c>
      <c r="M1278" s="313">
        <f t="shared" ref="M1278" si="739">ROUND(+$K1278*F1278,0)</f>
        <v>0</v>
      </c>
      <c r="N1278" s="313">
        <f t="shared" ref="N1278" si="740">ROUND(+$K1278*G1278,0)</f>
        <v>0</v>
      </c>
      <c r="O1278" s="313">
        <f t="shared" ref="O1278" si="741">ROUND(+$K1278*H1278,0)</f>
        <v>0</v>
      </c>
      <c r="P1278" s="506">
        <f t="shared" ref="P1278" si="742">ROUND(+$K1278*I1278,0)</f>
        <v>0</v>
      </c>
      <c r="Q1278" s="507">
        <f>SUM(L1278:P1278)</f>
        <v>9000</v>
      </c>
      <c r="R1278" s="316"/>
      <c r="S1278" s="317"/>
      <c r="T1278" s="314"/>
      <c r="U1278" s="653"/>
      <c r="V1278" s="610"/>
      <c r="W1278" s="610"/>
      <c r="X1278" s="610"/>
      <c r="Y1278" s="610"/>
      <c r="Z1278" s="610"/>
    </row>
    <row r="1279" spans="1:26" s="315" customFormat="1" x14ac:dyDescent="0.2">
      <c r="A1279" s="504">
        <v>5</v>
      </c>
      <c r="B1279" s="505" t="str">
        <f>IF(A1279&lt;&gt;0,INDEX(Coûts,'PA-Détails'!A1279, 2),)</f>
        <v>Atelier de validation</v>
      </c>
      <c r="C1279" s="314"/>
      <c r="D1279" s="321" t="str">
        <f>IF(A1279&lt;&gt;0,INDEX(Coûts, 'PA-Détails'!A1279, 5),)</f>
        <v>Pers / j</v>
      </c>
      <c r="E1279" s="114">
        <v>50</v>
      </c>
      <c r="F1279" s="188"/>
      <c r="G1279" s="188"/>
      <c r="H1279" s="188"/>
      <c r="I1279" s="188"/>
      <c r="J1279" s="502">
        <f t="shared" si="719"/>
        <v>50</v>
      </c>
      <c r="K1279" s="317">
        <f>IF(A1279&lt;&gt;0,INDEX(Coûts, 'PA-Détails'!A1279, 3),)</f>
        <v>50</v>
      </c>
      <c r="L1279" s="312">
        <f t="shared" si="732"/>
        <v>2500</v>
      </c>
      <c r="M1279" s="313">
        <f t="shared" si="733"/>
        <v>0</v>
      </c>
      <c r="N1279" s="313">
        <f t="shared" si="734"/>
        <v>0</v>
      </c>
      <c r="O1279" s="313">
        <f t="shared" si="735"/>
        <v>0</v>
      </c>
      <c r="P1279" s="506">
        <f t="shared" si="736"/>
        <v>0</v>
      </c>
      <c r="Q1279" s="507">
        <f>SUM(L1279:P1279)</f>
        <v>2500</v>
      </c>
      <c r="R1279" s="316"/>
      <c r="S1279" s="317"/>
      <c r="T1279" s="314"/>
      <c r="U1279" s="653"/>
      <c r="V1279" s="610"/>
      <c r="W1279" s="610"/>
      <c r="X1279" s="610"/>
      <c r="Y1279" s="610"/>
      <c r="Z1279" s="610"/>
    </row>
    <row r="1280" spans="1:26" s="315" customFormat="1" x14ac:dyDescent="0.2">
      <c r="A1280" s="504">
        <v>7</v>
      </c>
      <c r="B1280" s="505" t="str">
        <f>IF(A1280&lt;&gt;0,INDEX(Coûts,'PA-Détails'!A1280, 2),)</f>
        <v>Séminaire</v>
      </c>
      <c r="C1280" s="314"/>
      <c r="D1280" s="321" t="str">
        <f>IF(A1280&lt;&gt;0,INDEX(Coûts, 'PA-Détails'!A1280, 5),)</f>
        <v>Pers / j</v>
      </c>
      <c r="E1280" s="114">
        <f>30*5*2</f>
        <v>300</v>
      </c>
      <c r="F1280" s="188"/>
      <c r="G1280" s="188"/>
      <c r="H1280" s="188"/>
      <c r="I1280" s="188"/>
      <c r="J1280" s="502">
        <f t="shared" si="719"/>
        <v>300</v>
      </c>
      <c r="K1280" s="317">
        <f>IF(A1280&lt;&gt;0,INDEX(Coûts, 'PA-Détails'!A1280, 3),)</f>
        <v>190</v>
      </c>
      <c r="L1280" s="312">
        <f t="shared" si="732"/>
        <v>57000</v>
      </c>
      <c r="M1280" s="313">
        <f t="shared" si="733"/>
        <v>0</v>
      </c>
      <c r="N1280" s="313">
        <f t="shared" si="734"/>
        <v>0</v>
      </c>
      <c r="O1280" s="313">
        <f t="shared" si="735"/>
        <v>0</v>
      </c>
      <c r="P1280" s="506">
        <f t="shared" si="736"/>
        <v>0</v>
      </c>
      <c r="Q1280" s="507">
        <f>SUM(L1280:P1280)</f>
        <v>57000</v>
      </c>
      <c r="R1280" s="316"/>
      <c r="S1280" s="317"/>
      <c r="T1280" s="314"/>
      <c r="U1280" s="653"/>
      <c r="V1280" s="610"/>
      <c r="W1280" s="610"/>
      <c r="X1280" s="610"/>
      <c r="Y1280" s="610"/>
      <c r="Z1280" s="610"/>
    </row>
    <row r="1281" spans="1:26" s="315" customFormat="1" x14ac:dyDescent="0.2">
      <c r="A1281" s="499" t="s">
        <v>1221</v>
      </c>
      <c r="B1281" s="500"/>
      <c r="C1281" s="314" t="s">
        <v>1144</v>
      </c>
      <c r="D1281" s="501"/>
      <c r="E1281" s="114"/>
      <c r="F1281" s="188"/>
      <c r="G1281" s="188"/>
      <c r="H1281" s="188"/>
      <c r="I1281" s="188"/>
      <c r="J1281" s="502">
        <f t="shared" si="719"/>
        <v>0</v>
      </c>
      <c r="K1281" s="317"/>
      <c r="L1281" s="503">
        <f t="shared" ref="L1281:Q1281" si="743">SUM(L1282:L1285)</f>
        <v>73750</v>
      </c>
      <c r="M1281" s="492">
        <f t="shared" si="743"/>
        <v>57000</v>
      </c>
      <c r="N1281" s="492">
        <f t="shared" si="743"/>
        <v>0</v>
      </c>
      <c r="O1281" s="492">
        <f t="shared" si="743"/>
        <v>0</v>
      </c>
      <c r="P1281" s="493">
        <f t="shared" si="743"/>
        <v>0</v>
      </c>
      <c r="Q1281" s="494">
        <f t="shared" si="743"/>
        <v>130750</v>
      </c>
      <c r="R1281" s="316" t="str">
        <f>+R1276</f>
        <v>SPACE</v>
      </c>
      <c r="S1281" s="317" t="s">
        <v>670</v>
      </c>
      <c r="T1281" s="314"/>
      <c r="U1281" s="653"/>
      <c r="V1281" s="610"/>
      <c r="W1281" s="610"/>
      <c r="X1281" s="610"/>
      <c r="Y1281" s="610"/>
      <c r="Z1281" s="610"/>
    </row>
    <row r="1282" spans="1:26" s="315" customFormat="1" x14ac:dyDescent="0.2">
      <c r="A1282" s="504">
        <v>1</v>
      </c>
      <c r="B1282" s="505" t="str">
        <f>IF(A1282&lt;&gt;0,INDEX(Coûts,'PA-Détails'!A1282, 2),)</f>
        <v>Assistance technique internationale (consultants)</v>
      </c>
      <c r="C1282" s="314"/>
      <c r="D1282" s="321" t="str">
        <f>IF(A1282&lt;&gt;0,INDEX(Coûts, 'PA-Détails'!A1282, 5),)</f>
        <v>Pers / j</v>
      </c>
      <c r="E1282" s="114">
        <v>5</v>
      </c>
      <c r="F1282" s="188"/>
      <c r="G1282" s="188"/>
      <c r="H1282" s="188"/>
      <c r="I1282" s="188"/>
      <c r="J1282" s="502">
        <f t="shared" si="719"/>
        <v>5</v>
      </c>
      <c r="K1282" s="317">
        <f>IF(A1282&lt;&gt;0,INDEX(Coûts, 'PA-Détails'!A1282, 3),)</f>
        <v>1150</v>
      </c>
      <c r="L1282" s="312">
        <f t="shared" ref="L1282:L1285" si="744">ROUND(+$K1282*E1282,0)</f>
        <v>5750</v>
      </c>
      <c r="M1282" s="313">
        <f t="shared" ref="M1282:M1285" si="745">ROUND(+$K1282*F1282,0)</f>
        <v>0</v>
      </c>
      <c r="N1282" s="313">
        <f t="shared" ref="N1282:N1285" si="746">ROUND(+$K1282*G1282,0)</f>
        <v>0</v>
      </c>
      <c r="O1282" s="313">
        <f t="shared" ref="O1282:O1285" si="747">ROUND(+$K1282*H1282,0)</f>
        <v>0</v>
      </c>
      <c r="P1282" s="506">
        <f t="shared" ref="P1282:P1285" si="748">ROUND(+$K1282*I1282,0)</f>
        <v>0</v>
      </c>
      <c r="Q1282" s="507">
        <f>SUM(L1282:P1282)</f>
        <v>5750</v>
      </c>
      <c r="R1282" s="316"/>
      <c r="S1282" s="317"/>
      <c r="T1282" s="314"/>
      <c r="U1282" s="653"/>
      <c r="V1282" s="610"/>
      <c r="W1282" s="610"/>
      <c r="X1282" s="610"/>
      <c r="Y1282" s="610"/>
      <c r="Z1282" s="610"/>
    </row>
    <row r="1283" spans="1:26" s="315" customFormat="1" x14ac:dyDescent="0.2">
      <c r="A1283" s="504">
        <v>2</v>
      </c>
      <c r="B1283" s="505" t="str">
        <f>IF(A1283&lt;&gt;0,INDEX(Coûts,'PA-Détails'!A1283, 2),)</f>
        <v>Assistance technique nationale (consultants)</v>
      </c>
      <c r="C1283" s="314"/>
      <c r="D1283" s="321" t="str">
        <f>IF(A1283&lt;&gt;0,INDEX(Coûts, 'PA-Détails'!A1283, 5),)</f>
        <v>Pers / j</v>
      </c>
      <c r="E1283" s="114">
        <v>30</v>
      </c>
      <c r="F1283" s="188"/>
      <c r="G1283" s="188"/>
      <c r="H1283" s="188"/>
      <c r="I1283" s="188"/>
      <c r="J1283" s="502">
        <f t="shared" ref="J1283" si="749">SUM(E1283:I1283)</f>
        <v>30</v>
      </c>
      <c r="K1283" s="317">
        <f>IF(A1283&lt;&gt;0,INDEX(Coûts, 'PA-Détails'!A1283, 3),)</f>
        <v>300</v>
      </c>
      <c r="L1283" s="312">
        <f t="shared" ref="L1283" si="750">ROUND(+$K1283*E1283,0)</f>
        <v>9000</v>
      </c>
      <c r="M1283" s="313">
        <f t="shared" ref="M1283" si="751">ROUND(+$K1283*F1283,0)</f>
        <v>0</v>
      </c>
      <c r="N1283" s="313">
        <f t="shared" ref="N1283" si="752">ROUND(+$K1283*G1283,0)</f>
        <v>0</v>
      </c>
      <c r="O1283" s="313">
        <f t="shared" ref="O1283" si="753">ROUND(+$K1283*H1283,0)</f>
        <v>0</v>
      </c>
      <c r="P1283" s="506">
        <f t="shared" ref="P1283" si="754">ROUND(+$K1283*I1283,0)</f>
        <v>0</v>
      </c>
      <c r="Q1283" s="507">
        <f>SUM(L1283:P1283)</f>
        <v>9000</v>
      </c>
      <c r="R1283" s="316"/>
      <c r="S1283" s="317"/>
      <c r="T1283" s="314"/>
      <c r="U1283" s="653"/>
      <c r="V1283" s="610"/>
      <c r="W1283" s="610"/>
      <c r="X1283" s="610"/>
      <c r="Y1283" s="610"/>
      <c r="Z1283" s="610"/>
    </row>
    <row r="1284" spans="1:26" s="315" customFormat="1" x14ac:dyDescent="0.2">
      <c r="A1284" s="504">
        <v>5</v>
      </c>
      <c r="B1284" s="505" t="str">
        <f>IF(A1284&lt;&gt;0,INDEX(Coûts,'PA-Détails'!A1284, 2),)</f>
        <v>Atelier de validation</v>
      </c>
      <c r="C1284" s="314"/>
      <c r="D1284" s="321" t="str">
        <f>IF(A1284&lt;&gt;0,INDEX(Coûts, 'PA-Détails'!A1284, 5),)</f>
        <v>Pers / j</v>
      </c>
      <c r="E1284" s="114">
        <v>40</v>
      </c>
      <c r="F1284" s="188"/>
      <c r="G1284" s="188"/>
      <c r="H1284" s="188"/>
      <c r="I1284" s="188"/>
      <c r="J1284" s="502">
        <f t="shared" si="719"/>
        <v>40</v>
      </c>
      <c r="K1284" s="317">
        <f>IF(A1284&lt;&gt;0,INDEX(Coûts, 'PA-Détails'!A1284, 3),)</f>
        <v>50</v>
      </c>
      <c r="L1284" s="312">
        <f t="shared" si="744"/>
        <v>2000</v>
      </c>
      <c r="M1284" s="313">
        <f t="shared" si="745"/>
        <v>0</v>
      </c>
      <c r="N1284" s="313">
        <f t="shared" si="746"/>
        <v>0</v>
      </c>
      <c r="O1284" s="313">
        <f t="shared" si="747"/>
        <v>0</v>
      </c>
      <c r="P1284" s="506">
        <f t="shared" si="748"/>
        <v>0</v>
      </c>
      <c r="Q1284" s="507">
        <f>SUM(L1284:P1284)</f>
        <v>2000</v>
      </c>
      <c r="R1284" s="316"/>
      <c r="S1284" s="317"/>
      <c r="T1284" s="314"/>
      <c r="U1284" s="653"/>
      <c r="V1284" s="610"/>
      <c r="W1284" s="610"/>
      <c r="X1284" s="610"/>
      <c r="Y1284" s="610"/>
      <c r="Z1284" s="610"/>
    </row>
    <row r="1285" spans="1:26" s="315" customFormat="1" x14ac:dyDescent="0.2">
      <c r="A1285" s="504">
        <v>7</v>
      </c>
      <c r="B1285" s="505" t="str">
        <f>IF(A1285&lt;&gt;0,INDEX(Coûts,'PA-Détails'!A1285, 2),)</f>
        <v>Séminaire</v>
      </c>
      <c r="C1285" s="314"/>
      <c r="D1285" s="321" t="str">
        <f>IF(A1285&lt;&gt;0,INDEX(Coûts, 'PA-Détails'!A1285, 5),)</f>
        <v>Pers / j</v>
      </c>
      <c r="E1285" s="114">
        <f>30*5*2</f>
        <v>300</v>
      </c>
      <c r="F1285" s="188">
        <f>+E1285</f>
        <v>300</v>
      </c>
      <c r="G1285" s="188"/>
      <c r="H1285" s="188"/>
      <c r="I1285" s="188"/>
      <c r="J1285" s="502">
        <f t="shared" si="719"/>
        <v>600</v>
      </c>
      <c r="K1285" s="317">
        <f>IF(A1285&lt;&gt;0,INDEX(Coûts, 'PA-Détails'!A1285, 3),)</f>
        <v>190</v>
      </c>
      <c r="L1285" s="312">
        <f t="shared" si="744"/>
        <v>57000</v>
      </c>
      <c r="M1285" s="313">
        <f t="shared" si="745"/>
        <v>57000</v>
      </c>
      <c r="N1285" s="313">
        <f t="shared" si="746"/>
        <v>0</v>
      </c>
      <c r="O1285" s="313">
        <f t="shared" si="747"/>
        <v>0</v>
      </c>
      <c r="P1285" s="506">
        <f t="shared" si="748"/>
        <v>0</v>
      </c>
      <c r="Q1285" s="507">
        <f>SUM(L1285:P1285)</f>
        <v>114000</v>
      </c>
      <c r="R1285" s="316"/>
      <c r="S1285" s="317"/>
      <c r="T1285" s="314"/>
      <c r="U1285" s="653"/>
      <c r="V1285" s="610"/>
      <c r="W1285" s="610"/>
      <c r="X1285" s="610"/>
      <c r="Y1285" s="610"/>
      <c r="Z1285" s="610"/>
    </row>
    <row r="1286" spans="1:26" s="315" customFormat="1" x14ac:dyDescent="0.2">
      <c r="A1286" s="496" t="s">
        <v>1222</v>
      </c>
      <c r="B1286" s="497"/>
      <c r="C1286" s="314" t="s">
        <v>1145</v>
      </c>
      <c r="D1286" s="498"/>
      <c r="E1286" s="487"/>
      <c r="F1286" s="488"/>
      <c r="G1286" s="488"/>
      <c r="H1286" s="488"/>
      <c r="I1286" s="488"/>
      <c r="J1286" s="489">
        <f t="shared" si="719"/>
        <v>0</v>
      </c>
      <c r="K1286" s="490"/>
      <c r="L1286" s="503"/>
      <c r="M1286" s="492"/>
      <c r="N1286" s="492"/>
      <c r="O1286" s="492"/>
      <c r="P1286" s="493"/>
      <c r="Q1286" s="494"/>
      <c r="R1286" s="495"/>
      <c r="S1286" s="490"/>
      <c r="T1286" s="318"/>
      <c r="U1286" s="653"/>
      <c r="V1286" s="610"/>
      <c r="W1286" s="610"/>
      <c r="X1286" s="610"/>
      <c r="Y1286" s="610"/>
      <c r="Z1286" s="610"/>
    </row>
    <row r="1287" spans="1:26" s="315" customFormat="1" x14ac:dyDescent="0.2">
      <c r="A1287" s="499" t="s">
        <v>1223</v>
      </c>
      <c r="B1287" s="500"/>
      <c r="C1287" s="314"/>
      <c r="D1287" s="501"/>
      <c r="E1287" s="114"/>
      <c r="F1287" s="188"/>
      <c r="G1287" s="188"/>
      <c r="H1287" s="188"/>
      <c r="I1287" s="188"/>
      <c r="J1287" s="502">
        <f t="shared" si="719"/>
        <v>0</v>
      </c>
      <c r="K1287" s="317"/>
      <c r="L1287" s="503">
        <f>SUM(L1288:L1291)</f>
        <v>141000</v>
      </c>
      <c r="M1287" s="508">
        <f t="shared" ref="M1287:Q1287" si="755">SUM(M1288:M1291)</f>
        <v>0</v>
      </c>
      <c r="N1287" s="508">
        <f t="shared" si="755"/>
        <v>0</v>
      </c>
      <c r="O1287" s="508">
        <f t="shared" si="755"/>
        <v>0</v>
      </c>
      <c r="P1287" s="509">
        <f t="shared" si="755"/>
        <v>0</v>
      </c>
      <c r="Q1287" s="510">
        <f t="shared" si="755"/>
        <v>141000</v>
      </c>
      <c r="R1287" s="316" t="str">
        <f>+R1281</f>
        <v>SPACE</v>
      </c>
      <c r="S1287" s="317" t="s">
        <v>670</v>
      </c>
      <c r="T1287" s="314"/>
      <c r="U1287" s="653"/>
      <c r="V1287" s="610"/>
      <c r="W1287" s="610"/>
      <c r="X1287" s="610"/>
      <c r="Y1287" s="610"/>
      <c r="Z1287" s="610"/>
    </row>
    <row r="1288" spans="1:26" s="315" customFormat="1" x14ac:dyDescent="0.2">
      <c r="A1288" s="504">
        <v>1</v>
      </c>
      <c r="B1288" s="505" t="str">
        <f>IF(A1288&lt;&gt;0,INDEX(Coûts,'PA-Détails'!A1288, 2),)</f>
        <v>Assistance technique internationale (consultants)</v>
      </c>
      <c r="C1288" s="314"/>
      <c r="D1288" s="321" t="str">
        <f>IF(A1288&lt;&gt;0,INDEX(Coûts, 'PA-Détails'!A1288, 5),)</f>
        <v>Pers / j</v>
      </c>
      <c r="E1288" s="114">
        <v>20</v>
      </c>
      <c r="F1288" s="188"/>
      <c r="G1288" s="188"/>
      <c r="H1288" s="188"/>
      <c r="I1288" s="188"/>
      <c r="J1288" s="502">
        <f t="shared" ref="J1288:J1293" si="756">SUM(E1288:I1288)</f>
        <v>20</v>
      </c>
      <c r="K1288" s="317">
        <f>IF(A1288&lt;&gt;0,INDEX(Coûts, 'PA-Détails'!A1288, 3),)</f>
        <v>1150</v>
      </c>
      <c r="L1288" s="312">
        <f t="shared" ref="L1288:L1291" si="757">ROUND(+$K1288*E1288,0)</f>
        <v>23000</v>
      </c>
      <c r="M1288" s="313">
        <f t="shared" ref="M1288:M1291" si="758">ROUND(+$K1288*F1288,0)</f>
        <v>0</v>
      </c>
      <c r="N1288" s="313">
        <f t="shared" ref="N1288:N1291" si="759">ROUND(+$K1288*G1288,0)</f>
        <v>0</v>
      </c>
      <c r="O1288" s="313">
        <f t="shared" ref="O1288:O1291" si="760">ROUND(+$K1288*H1288,0)</f>
        <v>0</v>
      </c>
      <c r="P1288" s="506">
        <f t="shared" ref="P1288:P1291" si="761">ROUND(+$K1288*I1288,0)</f>
        <v>0</v>
      </c>
      <c r="Q1288" s="507">
        <f>SUM(L1288:P1288)</f>
        <v>23000</v>
      </c>
      <c r="R1288" s="316"/>
      <c r="S1288" s="317"/>
      <c r="T1288" s="314"/>
      <c r="U1288" s="653"/>
      <c r="V1288" s="610"/>
      <c r="W1288" s="610"/>
      <c r="X1288" s="610"/>
      <c r="Y1288" s="610"/>
      <c r="Z1288" s="610"/>
    </row>
    <row r="1289" spans="1:26" s="315" customFormat="1" x14ac:dyDescent="0.2">
      <c r="A1289" s="504">
        <v>2</v>
      </c>
      <c r="B1289" s="505" t="str">
        <f>IF(A1289&lt;&gt;0,INDEX(Coûts,'PA-Détails'!A1289, 2),)</f>
        <v>Assistance technique nationale (consultants)</v>
      </c>
      <c r="C1289" s="314"/>
      <c r="D1289" s="321" t="str">
        <f>IF(A1289&lt;&gt;0,INDEX(Coûts, 'PA-Détails'!A1289, 5),)</f>
        <v>Pers / j</v>
      </c>
      <c r="E1289" s="114">
        <v>60</v>
      </c>
      <c r="F1289" s="188"/>
      <c r="G1289" s="188"/>
      <c r="H1289" s="188"/>
      <c r="I1289" s="188"/>
      <c r="J1289" s="502">
        <f t="shared" si="756"/>
        <v>60</v>
      </c>
      <c r="K1289" s="317">
        <f>IF(A1289&lt;&gt;0,INDEX(Coûts, 'PA-Détails'!A1289, 3),)</f>
        <v>300</v>
      </c>
      <c r="L1289" s="312">
        <f t="shared" si="757"/>
        <v>18000</v>
      </c>
      <c r="M1289" s="313">
        <f t="shared" si="758"/>
        <v>0</v>
      </c>
      <c r="N1289" s="313">
        <f t="shared" si="759"/>
        <v>0</v>
      </c>
      <c r="O1289" s="313">
        <f t="shared" si="760"/>
        <v>0</v>
      </c>
      <c r="P1289" s="506">
        <f t="shared" si="761"/>
        <v>0</v>
      </c>
      <c r="Q1289" s="507">
        <f>SUM(L1289:P1289)</f>
        <v>18000</v>
      </c>
      <c r="R1289" s="316"/>
      <c r="S1289" s="317"/>
      <c r="T1289" s="314"/>
      <c r="U1289" s="653"/>
      <c r="V1289" s="610"/>
      <c r="W1289" s="610"/>
      <c r="X1289" s="610"/>
      <c r="Y1289" s="610"/>
      <c r="Z1289" s="610"/>
    </row>
    <row r="1290" spans="1:26" s="315" customFormat="1" x14ac:dyDescent="0.2">
      <c r="A1290" s="504">
        <v>5</v>
      </c>
      <c r="B1290" s="505" t="str">
        <f>IF(A1290&lt;&gt;0,INDEX(Coûts,'PA-Détails'!A1290, 2),)</f>
        <v>Atelier de validation</v>
      </c>
      <c r="C1290" s="314"/>
      <c r="D1290" s="321" t="str">
        <f>IF(A1290&lt;&gt;0,INDEX(Coûts, 'PA-Détails'!A1290, 5),)</f>
        <v>Pers / j</v>
      </c>
      <c r="E1290" s="114">
        <v>100</v>
      </c>
      <c r="F1290" s="188"/>
      <c r="G1290" s="188"/>
      <c r="H1290" s="188"/>
      <c r="I1290" s="188"/>
      <c r="J1290" s="502">
        <f t="shared" si="756"/>
        <v>100</v>
      </c>
      <c r="K1290" s="317">
        <f>IF(A1290&lt;&gt;0,INDEX(Coûts, 'PA-Détails'!A1290, 3),)</f>
        <v>50</v>
      </c>
      <c r="L1290" s="312">
        <f t="shared" si="757"/>
        <v>5000</v>
      </c>
      <c r="M1290" s="313">
        <f t="shared" si="758"/>
        <v>0</v>
      </c>
      <c r="N1290" s="313">
        <f t="shared" si="759"/>
        <v>0</v>
      </c>
      <c r="O1290" s="313">
        <f t="shared" si="760"/>
        <v>0</v>
      </c>
      <c r="P1290" s="506">
        <f t="shared" si="761"/>
        <v>0</v>
      </c>
      <c r="Q1290" s="507">
        <f>SUM(L1290:P1290)</f>
        <v>5000</v>
      </c>
      <c r="R1290" s="316"/>
      <c r="S1290" s="317"/>
      <c r="T1290" s="314"/>
      <c r="U1290" s="653"/>
      <c r="V1290" s="610"/>
      <c r="W1290" s="610"/>
      <c r="X1290" s="610"/>
      <c r="Y1290" s="610"/>
      <c r="Z1290" s="610"/>
    </row>
    <row r="1291" spans="1:26" s="315" customFormat="1" x14ac:dyDescent="0.2">
      <c r="A1291" s="504">
        <v>7</v>
      </c>
      <c r="B1291" s="505" t="str">
        <f>IF(A1291&lt;&gt;0,INDEX(Coûts,'PA-Détails'!A1291, 2),)</f>
        <v>Séminaire</v>
      </c>
      <c r="C1291" s="314"/>
      <c r="D1291" s="321" t="str">
        <f>IF(A1291&lt;&gt;0,INDEX(Coûts, 'PA-Détails'!A1291, 5),)</f>
        <v>Pers / j</v>
      </c>
      <c r="E1291" s="114">
        <v>500</v>
      </c>
      <c r="F1291" s="188"/>
      <c r="G1291" s="188"/>
      <c r="H1291" s="188"/>
      <c r="I1291" s="188"/>
      <c r="J1291" s="502">
        <f t="shared" si="756"/>
        <v>500</v>
      </c>
      <c r="K1291" s="317">
        <f>IF(A1291&lt;&gt;0,INDEX(Coûts, 'PA-Détails'!A1291, 3),)</f>
        <v>190</v>
      </c>
      <c r="L1291" s="312">
        <f t="shared" si="757"/>
        <v>95000</v>
      </c>
      <c r="M1291" s="313">
        <f t="shared" si="758"/>
        <v>0</v>
      </c>
      <c r="N1291" s="313">
        <f t="shared" si="759"/>
        <v>0</v>
      </c>
      <c r="O1291" s="313">
        <f t="shared" si="760"/>
        <v>0</v>
      </c>
      <c r="P1291" s="506">
        <f t="shared" si="761"/>
        <v>0</v>
      </c>
      <c r="Q1291" s="507">
        <f>SUM(L1291:P1291)</f>
        <v>95000</v>
      </c>
      <c r="R1291" s="316"/>
      <c r="S1291" s="317"/>
      <c r="T1291" s="314"/>
      <c r="U1291" s="653"/>
      <c r="V1291" s="610"/>
      <c r="W1291" s="610"/>
      <c r="X1291" s="610"/>
      <c r="Y1291" s="610"/>
      <c r="Z1291" s="610"/>
    </row>
    <row r="1292" spans="1:26" s="315" customFormat="1" x14ac:dyDescent="0.2">
      <c r="A1292" s="496" t="s">
        <v>1224</v>
      </c>
      <c r="B1292" s="497"/>
      <c r="C1292" s="314" t="s">
        <v>1145</v>
      </c>
      <c r="D1292" s="498"/>
      <c r="E1292" s="487"/>
      <c r="F1292" s="488"/>
      <c r="G1292" s="488"/>
      <c r="H1292" s="488"/>
      <c r="I1292" s="488"/>
      <c r="J1292" s="489">
        <f t="shared" si="756"/>
        <v>0</v>
      </c>
      <c r="K1292" s="490"/>
      <c r="L1292" s="503"/>
      <c r="M1292" s="492"/>
      <c r="N1292" s="492"/>
      <c r="O1292" s="492"/>
      <c r="P1292" s="493"/>
      <c r="Q1292" s="494"/>
      <c r="R1292" s="495"/>
      <c r="S1292" s="490"/>
      <c r="T1292" s="318"/>
      <c r="U1292" s="653"/>
      <c r="V1292" s="610"/>
      <c r="W1292" s="610"/>
      <c r="X1292" s="610"/>
      <c r="Y1292" s="610"/>
      <c r="Z1292" s="610"/>
    </row>
    <row r="1293" spans="1:26" s="315" customFormat="1" x14ac:dyDescent="0.2">
      <c r="A1293" s="499" t="s">
        <v>1225</v>
      </c>
      <c r="B1293" s="500"/>
      <c r="C1293" s="314"/>
      <c r="D1293" s="501"/>
      <c r="E1293" s="114"/>
      <c r="F1293" s="188"/>
      <c r="G1293" s="188"/>
      <c r="H1293" s="188"/>
      <c r="I1293" s="188"/>
      <c r="J1293" s="502">
        <f t="shared" si="756"/>
        <v>0</v>
      </c>
      <c r="K1293" s="317"/>
      <c r="L1293" s="503">
        <f t="shared" ref="L1293:Q1293" si="762">SUM(L1294:L1295)</f>
        <v>48500</v>
      </c>
      <c r="M1293" s="508">
        <f t="shared" si="762"/>
        <v>48500</v>
      </c>
      <c r="N1293" s="508">
        <f t="shared" si="762"/>
        <v>48500</v>
      </c>
      <c r="O1293" s="508">
        <f t="shared" si="762"/>
        <v>0</v>
      </c>
      <c r="P1293" s="509">
        <f t="shared" si="762"/>
        <v>0</v>
      </c>
      <c r="Q1293" s="510">
        <f t="shared" si="762"/>
        <v>145500</v>
      </c>
      <c r="R1293" s="316" t="s">
        <v>1147</v>
      </c>
      <c r="S1293" s="317" t="s">
        <v>670</v>
      </c>
      <c r="T1293" s="314"/>
      <c r="U1293" s="653"/>
      <c r="V1293" s="610"/>
      <c r="W1293" s="610"/>
      <c r="X1293" s="610"/>
      <c r="Y1293" s="610"/>
      <c r="Z1293" s="610"/>
    </row>
    <row r="1294" spans="1:26" s="315" customFormat="1" x14ac:dyDescent="0.2">
      <c r="A1294" s="504">
        <v>98</v>
      </c>
      <c r="B1294" s="505" t="str">
        <f>IF(A1294&lt;&gt;0,INDEX(Coûts,'PA-Détails'!A1294, 2),)</f>
        <v>Fonctionnement d'une commission (budget annuel)</v>
      </c>
      <c r="C1294" s="314"/>
      <c r="D1294" s="321" t="str">
        <f>IF(A1294&lt;&gt;0,INDEX(Coûts, 'PA-Détails'!A1294, 5),)</f>
        <v>Forfait annuel</v>
      </c>
      <c r="E1294" s="114">
        <v>1</v>
      </c>
      <c r="F1294" s="188">
        <v>1</v>
      </c>
      <c r="G1294" s="188">
        <v>1</v>
      </c>
      <c r="H1294" s="188"/>
      <c r="I1294" s="188"/>
      <c r="J1294" s="502">
        <f t="shared" ref="J1294:J1295" si="763">SUM(E1294:I1294)</f>
        <v>3</v>
      </c>
      <c r="K1294" s="317">
        <f>IF(A1294&lt;&gt;0,INDEX(Coûts, 'PA-Détails'!A1294, 3),)</f>
        <v>10500</v>
      </c>
      <c r="L1294" s="312">
        <f t="shared" ref="L1294:L1295" si="764">ROUND(+$K1294*E1294,0)</f>
        <v>10500</v>
      </c>
      <c r="M1294" s="313">
        <f t="shared" ref="M1294:M1295" si="765">ROUND(+$K1294*F1294,0)</f>
        <v>10500</v>
      </c>
      <c r="N1294" s="313">
        <f t="shared" ref="N1294:N1295" si="766">ROUND(+$K1294*G1294,0)</f>
        <v>10500</v>
      </c>
      <c r="O1294" s="313">
        <f t="shared" ref="O1294:O1295" si="767">ROUND(+$K1294*H1294,0)</f>
        <v>0</v>
      </c>
      <c r="P1294" s="506">
        <f t="shared" ref="P1294:P1295" si="768">ROUND(+$K1294*I1294,0)</f>
        <v>0</v>
      </c>
      <c r="Q1294" s="507">
        <f>SUM(L1294:P1294)</f>
        <v>31500</v>
      </c>
      <c r="R1294" s="316"/>
      <c r="S1294" s="317"/>
      <c r="T1294" s="314"/>
      <c r="U1294" s="653"/>
      <c r="V1294" s="610"/>
      <c r="W1294" s="610"/>
      <c r="X1294" s="610"/>
      <c r="Y1294" s="610"/>
      <c r="Z1294" s="610"/>
    </row>
    <row r="1295" spans="1:26" s="315" customFormat="1" x14ac:dyDescent="0.2">
      <c r="A1295" s="504">
        <v>7</v>
      </c>
      <c r="B1295" s="505" t="str">
        <f>IF(A1295&lt;&gt;0,INDEX(Coûts,'PA-Détails'!A1295, 2),)</f>
        <v>Séminaire</v>
      </c>
      <c r="C1295" s="314"/>
      <c r="D1295" s="321" t="str">
        <f>IF(A1295&lt;&gt;0,INDEX(Coûts, 'PA-Détails'!A1295, 5),)</f>
        <v>Pers / j</v>
      </c>
      <c r="E1295" s="114">
        <v>200</v>
      </c>
      <c r="F1295" s="188">
        <v>200</v>
      </c>
      <c r="G1295" s="188">
        <v>200</v>
      </c>
      <c r="H1295" s="188"/>
      <c r="I1295" s="188"/>
      <c r="J1295" s="502">
        <f t="shared" si="763"/>
        <v>600</v>
      </c>
      <c r="K1295" s="317">
        <f>IF(A1295&lt;&gt;0,INDEX(Coûts, 'PA-Détails'!A1295, 3),)</f>
        <v>190</v>
      </c>
      <c r="L1295" s="312">
        <f t="shared" si="764"/>
        <v>38000</v>
      </c>
      <c r="M1295" s="313">
        <f t="shared" si="765"/>
        <v>38000</v>
      </c>
      <c r="N1295" s="313">
        <f t="shared" si="766"/>
        <v>38000</v>
      </c>
      <c r="O1295" s="313">
        <f t="shared" si="767"/>
        <v>0</v>
      </c>
      <c r="P1295" s="506">
        <f t="shared" si="768"/>
        <v>0</v>
      </c>
      <c r="Q1295" s="507">
        <f>SUM(L1295:P1295)</f>
        <v>114000</v>
      </c>
      <c r="R1295" s="316"/>
      <c r="S1295" s="317"/>
      <c r="T1295" s="314"/>
      <c r="U1295" s="653"/>
      <c r="V1295" s="610"/>
      <c r="W1295" s="610"/>
      <c r="X1295" s="610"/>
      <c r="Y1295" s="610"/>
      <c r="Z1295" s="610"/>
    </row>
    <row r="1296" spans="1:26" x14ac:dyDescent="0.2">
      <c r="A1296" s="14" t="s">
        <v>1226</v>
      </c>
      <c r="B1296" s="44"/>
      <c r="C1296" s="112"/>
      <c r="D1296" s="15"/>
      <c r="E1296" s="102"/>
      <c r="F1296" s="103"/>
      <c r="G1296" s="103"/>
      <c r="H1296" s="103"/>
      <c r="I1296" s="103"/>
      <c r="J1296" s="104">
        <f t="shared" si="671"/>
        <v>0</v>
      </c>
      <c r="K1296" s="145"/>
      <c r="L1296" s="33">
        <f t="shared" ref="L1296:P1297" si="769">ROUND(+$K1296*E1296,0)</f>
        <v>0</v>
      </c>
      <c r="M1296" s="32">
        <f t="shared" si="769"/>
        <v>0</v>
      </c>
      <c r="N1296" s="32">
        <f t="shared" si="769"/>
        <v>0</v>
      </c>
      <c r="O1296" s="32">
        <f t="shared" si="769"/>
        <v>0</v>
      </c>
      <c r="P1296" s="267">
        <f t="shared" si="769"/>
        <v>0</v>
      </c>
      <c r="Q1296" s="278">
        <f>SUM(L1296:P1296)</f>
        <v>0</v>
      </c>
      <c r="R1296" s="40"/>
      <c r="S1296" s="145"/>
      <c r="T1296" s="49">
        <v>3</v>
      </c>
    </row>
    <row r="1297" spans="1:20" x14ac:dyDescent="0.2">
      <c r="A1297" s="17" t="s">
        <v>1227</v>
      </c>
      <c r="B1297" s="45"/>
      <c r="C1297" s="51" t="s">
        <v>643</v>
      </c>
      <c r="D1297" s="18"/>
      <c r="E1297" s="97"/>
      <c r="F1297" s="98"/>
      <c r="G1297" s="98"/>
      <c r="H1297" s="98"/>
      <c r="I1297" s="98"/>
      <c r="J1297" s="99">
        <f t="shared" si="671"/>
        <v>0</v>
      </c>
      <c r="K1297" s="116"/>
      <c r="L1297" s="35">
        <f t="shared" si="769"/>
        <v>0</v>
      </c>
      <c r="M1297" s="34">
        <f t="shared" si="769"/>
        <v>0</v>
      </c>
      <c r="N1297" s="34">
        <f t="shared" si="769"/>
        <v>0</v>
      </c>
      <c r="O1297" s="34">
        <f t="shared" si="769"/>
        <v>0</v>
      </c>
      <c r="P1297" s="269">
        <f t="shared" si="769"/>
        <v>0</v>
      </c>
      <c r="Q1297" s="279">
        <f>SUM(L1297:P1297)</f>
        <v>0</v>
      </c>
      <c r="R1297" s="38"/>
      <c r="S1297" s="116"/>
      <c r="T1297" s="50"/>
    </row>
    <row r="1298" spans="1:20" x14ac:dyDescent="0.2">
      <c r="A1298" s="20" t="s">
        <v>1228</v>
      </c>
      <c r="B1298" s="149"/>
      <c r="C1298" s="51"/>
      <c r="D1298" s="21"/>
      <c r="E1298" s="96"/>
      <c r="F1298" s="100"/>
      <c r="G1298" s="100"/>
      <c r="H1298" s="100"/>
      <c r="I1298" s="100"/>
      <c r="J1298" s="101">
        <f t="shared" si="671"/>
        <v>0</v>
      </c>
      <c r="K1298" s="115"/>
      <c r="L1298" s="161">
        <f t="shared" ref="L1298:Q1298" si="770">SUM(L1299:L1301)</f>
        <v>84000</v>
      </c>
      <c r="M1298" s="34">
        <f t="shared" si="770"/>
        <v>84000</v>
      </c>
      <c r="N1298" s="34">
        <f t="shared" si="770"/>
        <v>0</v>
      </c>
      <c r="O1298" s="34">
        <f t="shared" si="770"/>
        <v>0</v>
      </c>
      <c r="P1298" s="269">
        <f t="shared" si="770"/>
        <v>0</v>
      </c>
      <c r="Q1298" s="279">
        <f t="shared" si="770"/>
        <v>168000</v>
      </c>
      <c r="R1298" s="39" t="s">
        <v>1426</v>
      </c>
      <c r="S1298" s="115" t="s">
        <v>670</v>
      </c>
      <c r="T1298" s="51"/>
    </row>
    <row r="1299" spans="1:20" x14ac:dyDescent="0.2">
      <c r="A1299" s="95">
        <v>2</v>
      </c>
      <c r="B1299" s="108" t="str">
        <f>IF(A1299&lt;&gt;0,INDEX(Coûts,'PA-Détails'!A1299, 2),)</f>
        <v>Assistance technique nationale (consultants)</v>
      </c>
      <c r="C1299" s="51"/>
      <c r="D1299" s="94" t="str">
        <f>IF(A1299&lt;&gt;0,INDEX(Coûts, 'PA-Détails'!A1299, 5),)</f>
        <v>Pers / j</v>
      </c>
      <c r="E1299" s="96">
        <v>40</v>
      </c>
      <c r="F1299" s="100">
        <v>40</v>
      </c>
      <c r="G1299" s="100"/>
      <c r="H1299" s="100"/>
      <c r="I1299" s="100"/>
      <c r="J1299" s="101">
        <f t="shared" si="671"/>
        <v>80</v>
      </c>
      <c r="K1299" s="115">
        <f>IF(A1299&lt;&gt;0,INDEX(Coûts, 'PA-Détails'!A1299, 3),)</f>
        <v>300</v>
      </c>
      <c r="L1299" s="37">
        <f t="shared" ref="L1299:P1301" si="771">ROUND(+$K1299*E1299,0)</f>
        <v>12000</v>
      </c>
      <c r="M1299" s="36">
        <f t="shared" si="771"/>
        <v>12000</v>
      </c>
      <c r="N1299" s="36">
        <f t="shared" si="771"/>
        <v>0</v>
      </c>
      <c r="O1299" s="36">
        <f t="shared" si="771"/>
        <v>0</v>
      </c>
      <c r="P1299" s="268">
        <f t="shared" si="771"/>
        <v>0</v>
      </c>
      <c r="Q1299" s="281">
        <f>SUM(L1299:P1299)</f>
        <v>24000</v>
      </c>
      <c r="R1299" s="39"/>
      <c r="S1299" s="115"/>
      <c r="T1299" s="51"/>
    </row>
    <row r="1300" spans="1:20" x14ac:dyDescent="0.2">
      <c r="A1300" s="95">
        <v>12</v>
      </c>
      <c r="B1300" s="108" t="str">
        <f>IF(A1300&lt;&gt;0,INDEX(Coûts,'PA-Détails'!A1300, 2),)</f>
        <v>Formation - Action et Formation de formateurs</v>
      </c>
      <c r="C1300" s="51"/>
      <c r="D1300" s="94" t="str">
        <f>IF(A1300&lt;&gt;0,INDEX(Coûts, 'PA-Détails'!A1300, 5),)</f>
        <v>Pers / j</v>
      </c>
      <c r="E1300" s="96">
        <v>80</v>
      </c>
      <c r="F1300" s="100">
        <v>80</v>
      </c>
      <c r="G1300" s="100"/>
      <c r="H1300" s="100"/>
      <c r="I1300" s="100"/>
      <c r="J1300" s="101">
        <f t="shared" si="671"/>
        <v>160</v>
      </c>
      <c r="K1300" s="115">
        <f>IF(A1300&lt;&gt;0,INDEX(Coûts, 'PA-Détails'!A1300, 3),)</f>
        <v>150</v>
      </c>
      <c r="L1300" s="37">
        <f t="shared" si="771"/>
        <v>12000</v>
      </c>
      <c r="M1300" s="36">
        <f t="shared" si="771"/>
        <v>12000</v>
      </c>
      <c r="N1300" s="36">
        <f t="shared" si="771"/>
        <v>0</v>
      </c>
      <c r="O1300" s="36">
        <f t="shared" si="771"/>
        <v>0</v>
      </c>
      <c r="P1300" s="268">
        <f t="shared" si="771"/>
        <v>0</v>
      </c>
      <c r="Q1300" s="281">
        <f>SUM(L1300:P1300)</f>
        <v>24000</v>
      </c>
      <c r="R1300" s="39"/>
      <c r="S1300" s="115"/>
      <c r="T1300" s="51"/>
    </row>
    <row r="1301" spans="1:20" x14ac:dyDescent="0.2">
      <c r="A1301" s="95">
        <v>13</v>
      </c>
      <c r="B1301" s="108" t="str">
        <f>IF(A1301&lt;&gt;0,INDEX(Coûts,'PA-Détails'!A1301, 2),)</f>
        <v>Formation au niveau local</v>
      </c>
      <c r="C1301" s="51"/>
      <c r="D1301" s="94" t="str">
        <f>IF(A1301&lt;&gt;0,INDEX(Coûts, 'PA-Détails'!A1301, 5),)</f>
        <v>Pers / j</v>
      </c>
      <c r="E1301" s="96">
        <f>800*5</f>
        <v>4000</v>
      </c>
      <c r="F1301" s="100">
        <f>800*5</f>
        <v>4000</v>
      </c>
      <c r="G1301" s="100"/>
      <c r="H1301" s="100"/>
      <c r="I1301" s="100"/>
      <c r="J1301" s="101">
        <f t="shared" si="671"/>
        <v>8000</v>
      </c>
      <c r="K1301" s="115">
        <f>IF(A1301&lt;&gt;0,INDEX(Coûts, 'PA-Détails'!A1301, 3),)</f>
        <v>15</v>
      </c>
      <c r="L1301" s="37">
        <f t="shared" si="771"/>
        <v>60000</v>
      </c>
      <c r="M1301" s="36">
        <f t="shared" si="771"/>
        <v>60000</v>
      </c>
      <c r="N1301" s="36">
        <f t="shared" si="771"/>
        <v>0</v>
      </c>
      <c r="O1301" s="36">
        <f t="shared" si="771"/>
        <v>0</v>
      </c>
      <c r="P1301" s="268">
        <f t="shared" si="771"/>
        <v>0</v>
      </c>
      <c r="Q1301" s="281">
        <f>SUM(L1301:P1301)</f>
        <v>120000</v>
      </c>
      <c r="R1301" s="39"/>
      <c r="S1301" s="115"/>
      <c r="T1301" s="51"/>
    </row>
    <row r="1302" spans="1:20" x14ac:dyDescent="0.2">
      <c r="A1302" s="20" t="s">
        <v>1229</v>
      </c>
      <c r="B1302" s="149"/>
      <c r="C1302" s="51"/>
      <c r="D1302" s="21"/>
      <c r="E1302" s="96"/>
      <c r="F1302" s="100"/>
      <c r="G1302" s="100"/>
      <c r="H1302" s="100"/>
      <c r="I1302" s="100"/>
      <c r="J1302" s="101">
        <f t="shared" si="671"/>
        <v>0</v>
      </c>
      <c r="K1302" s="115"/>
      <c r="L1302" s="161">
        <f t="shared" ref="L1302:Q1302" si="772">SUM(L1303:L1305)</f>
        <v>27000</v>
      </c>
      <c r="M1302" s="34">
        <f t="shared" si="772"/>
        <v>27000</v>
      </c>
      <c r="N1302" s="34">
        <f t="shared" si="772"/>
        <v>0</v>
      </c>
      <c r="O1302" s="34">
        <f t="shared" si="772"/>
        <v>0</v>
      </c>
      <c r="P1302" s="269">
        <f t="shared" si="772"/>
        <v>0</v>
      </c>
      <c r="Q1302" s="279">
        <f t="shared" si="772"/>
        <v>54000</v>
      </c>
      <c r="R1302" s="39" t="s">
        <v>1427</v>
      </c>
      <c r="S1302" s="115" t="s">
        <v>665</v>
      </c>
      <c r="T1302" s="51"/>
    </row>
    <row r="1303" spans="1:20" x14ac:dyDescent="0.2">
      <c r="A1303" s="95">
        <v>2</v>
      </c>
      <c r="B1303" s="108" t="str">
        <f>IF(A1303&lt;&gt;0,INDEX(Coûts,'PA-Détails'!A1303, 2),)</f>
        <v>Assistance technique nationale (consultants)</v>
      </c>
      <c r="C1303" s="51"/>
      <c r="D1303" s="94" t="str">
        <f>IF(A1303&lt;&gt;0,INDEX(Coûts, 'PA-Détails'!A1303, 5),)</f>
        <v>Pers / j</v>
      </c>
      <c r="E1303" s="96">
        <v>20</v>
      </c>
      <c r="F1303" s="100">
        <v>20</v>
      </c>
      <c r="G1303" s="100"/>
      <c r="H1303" s="100"/>
      <c r="I1303" s="100"/>
      <c r="J1303" s="101">
        <f t="shared" si="671"/>
        <v>40</v>
      </c>
      <c r="K1303" s="115">
        <f>IF(A1303&lt;&gt;0,INDEX(Coûts, 'PA-Détails'!A1303, 3),)</f>
        <v>300</v>
      </c>
      <c r="L1303" s="37">
        <f t="shared" ref="L1303:P1305" si="773">ROUND(+$K1303*E1303,0)</f>
        <v>6000</v>
      </c>
      <c r="M1303" s="36">
        <f t="shared" si="773"/>
        <v>6000</v>
      </c>
      <c r="N1303" s="36">
        <f t="shared" si="773"/>
        <v>0</v>
      </c>
      <c r="O1303" s="36">
        <f t="shared" si="773"/>
        <v>0</v>
      </c>
      <c r="P1303" s="268">
        <f t="shared" si="773"/>
        <v>0</v>
      </c>
      <c r="Q1303" s="281">
        <f>SUM(L1303:P1303)</f>
        <v>12000</v>
      </c>
      <c r="R1303" s="39"/>
      <c r="S1303" s="115"/>
      <c r="T1303" s="51"/>
    </row>
    <row r="1304" spans="1:20" x14ac:dyDescent="0.2">
      <c r="A1304" s="95">
        <v>12</v>
      </c>
      <c r="B1304" s="108" t="str">
        <f>IF(A1304&lt;&gt;0,INDEX(Coûts,'PA-Détails'!A1304, 2),)</f>
        <v>Formation - Action et Formation de formateurs</v>
      </c>
      <c r="C1304" s="51"/>
      <c r="D1304" s="94" t="str">
        <f>IF(A1304&lt;&gt;0,INDEX(Coûts, 'PA-Détails'!A1304, 5),)</f>
        <v>Pers / j</v>
      </c>
      <c r="E1304" s="96">
        <v>40</v>
      </c>
      <c r="F1304" s="100">
        <v>40</v>
      </c>
      <c r="G1304" s="100"/>
      <c r="H1304" s="100"/>
      <c r="I1304" s="100"/>
      <c r="J1304" s="101">
        <f t="shared" si="671"/>
        <v>80</v>
      </c>
      <c r="K1304" s="115">
        <f>IF(A1304&lt;&gt;0,INDEX(Coûts, 'PA-Détails'!A1304, 3),)</f>
        <v>150</v>
      </c>
      <c r="L1304" s="37">
        <f t="shared" si="773"/>
        <v>6000</v>
      </c>
      <c r="M1304" s="36">
        <f t="shared" si="773"/>
        <v>6000</v>
      </c>
      <c r="N1304" s="36">
        <f t="shared" si="773"/>
        <v>0</v>
      </c>
      <c r="O1304" s="36">
        <f t="shared" si="773"/>
        <v>0</v>
      </c>
      <c r="P1304" s="268">
        <f t="shared" si="773"/>
        <v>0</v>
      </c>
      <c r="Q1304" s="281">
        <f>SUM(L1304:P1304)</f>
        <v>12000</v>
      </c>
      <c r="R1304" s="39"/>
      <c r="S1304" s="115"/>
      <c r="T1304" s="51"/>
    </row>
    <row r="1305" spans="1:20" x14ac:dyDescent="0.2">
      <c r="A1305" s="95">
        <v>13</v>
      </c>
      <c r="B1305" s="108" t="str">
        <f>IF(A1305&lt;&gt;0,INDEX(Coûts,'PA-Détails'!A1305, 2),)</f>
        <v>Formation au niveau local</v>
      </c>
      <c r="C1305" s="51"/>
      <c r="D1305" s="94" t="str">
        <f>IF(A1305&lt;&gt;0,INDEX(Coûts, 'PA-Détails'!A1305, 5),)</f>
        <v>Pers / j</v>
      </c>
      <c r="E1305" s="96">
        <f>200*5</f>
        <v>1000</v>
      </c>
      <c r="F1305" s="100">
        <f>200*5</f>
        <v>1000</v>
      </c>
      <c r="G1305" s="100"/>
      <c r="H1305" s="100"/>
      <c r="I1305" s="100"/>
      <c r="J1305" s="101">
        <f t="shared" si="671"/>
        <v>2000</v>
      </c>
      <c r="K1305" s="115">
        <f>IF(A1305&lt;&gt;0,INDEX(Coûts, 'PA-Détails'!A1305, 3),)</f>
        <v>15</v>
      </c>
      <c r="L1305" s="37">
        <f t="shared" si="773"/>
        <v>15000</v>
      </c>
      <c r="M1305" s="36">
        <f t="shared" si="773"/>
        <v>15000</v>
      </c>
      <c r="N1305" s="36">
        <f t="shared" si="773"/>
        <v>0</v>
      </c>
      <c r="O1305" s="36">
        <f t="shared" si="773"/>
        <v>0</v>
      </c>
      <c r="P1305" s="268">
        <f t="shared" si="773"/>
        <v>0</v>
      </c>
      <c r="Q1305" s="281">
        <f>SUM(L1305:P1305)</f>
        <v>30000</v>
      </c>
      <c r="R1305" s="39"/>
      <c r="S1305" s="115"/>
      <c r="T1305" s="51"/>
    </row>
    <row r="1306" spans="1:20" x14ac:dyDescent="0.2">
      <c r="A1306" s="20" t="s">
        <v>1230</v>
      </c>
      <c r="B1306" s="149"/>
      <c r="C1306" s="51"/>
      <c r="D1306" s="21"/>
      <c r="E1306" s="96"/>
      <c r="F1306" s="100"/>
      <c r="G1306" s="100"/>
      <c r="H1306" s="100"/>
      <c r="I1306" s="100"/>
      <c r="J1306" s="101">
        <f t="shared" si="671"/>
        <v>0</v>
      </c>
      <c r="K1306" s="115"/>
      <c r="L1306" s="161">
        <f t="shared" ref="L1306:Q1306" si="774">SUM(L1307:L1309)</f>
        <v>27000</v>
      </c>
      <c r="M1306" s="34">
        <f t="shared" si="774"/>
        <v>27000</v>
      </c>
      <c r="N1306" s="34">
        <f t="shared" si="774"/>
        <v>0</v>
      </c>
      <c r="O1306" s="34">
        <f t="shared" si="774"/>
        <v>0</v>
      </c>
      <c r="P1306" s="269">
        <f t="shared" si="774"/>
        <v>0</v>
      </c>
      <c r="Q1306" s="279">
        <f t="shared" si="774"/>
        <v>54000</v>
      </c>
      <c r="R1306" s="39" t="s">
        <v>1428</v>
      </c>
      <c r="S1306" s="115" t="s">
        <v>670</v>
      </c>
      <c r="T1306" s="51"/>
    </row>
    <row r="1307" spans="1:20" x14ac:dyDescent="0.2">
      <c r="A1307" s="95">
        <v>2</v>
      </c>
      <c r="B1307" s="108" t="str">
        <f>IF(A1307&lt;&gt;0,INDEX(Coûts,'PA-Détails'!A1307, 2),)</f>
        <v>Assistance technique nationale (consultants)</v>
      </c>
      <c r="C1307" s="51"/>
      <c r="D1307" s="94" t="str">
        <f>IF(A1307&lt;&gt;0,INDEX(Coûts, 'PA-Détails'!A1307, 5),)</f>
        <v>Pers / j</v>
      </c>
      <c r="E1307" s="96">
        <v>20</v>
      </c>
      <c r="F1307" s="100">
        <v>20</v>
      </c>
      <c r="G1307" s="100"/>
      <c r="H1307" s="100"/>
      <c r="I1307" s="100"/>
      <c r="J1307" s="101">
        <f t="shared" si="671"/>
        <v>40</v>
      </c>
      <c r="K1307" s="115">
        <f>IF(A1307&lt;&gt;0,INDEX(Coûts, 'PA-Détails'!A1307, 3),)</f>
        <v>300</v>
      </c>
      <c r="L1307" s="37">
        <f t="shared" ref="L1307:P1309" si="775">ROUND(+$K1307*E1307,0)</f>
        <v>6000</v>
      </c>
      <c r="M1307" s="36">
        <f t="shared" si="775"/>
        <v>6000</v>
      </c>
      <c r="N1307" s="36">
        <f t="shared" si="775"/>
        <v>0</v>
      </c>
      <c r="O1307" s="36">
        <f t="shared" si="775"/>
        <v>0</v>
      </c>
      <c r="P1307" s="268">
        <f t="shared" si="775"/>
        <v>0</v>
      </c>
      <c r="Q1307" s="281">
        <f>SUM(L1307:P1307)</f>
        <v>12000</v>
      </c>
      <c r="R1307" s="39"/>
      <c r="S1307" s="115"/>
      <c r="T1307" s="51"/>
    </row>
    <row r="1308" spans="1:20" x14ac:dyDescent="0.2">
      <c r="A1308" s="95">
        <v>12</v>
      </c>
      <c r="B1308" s="108" t="str">
        <f>IF(A1308&lt;&gt;0,INDEX(Coûts,'PA-Détails'!A1308, 2),)</f>
        <v>Formation - Action et Formation de formateurs</v>
      </c>
      <c r="C1308" s="51"/>
      <c r="D1308" s="94" t="str">
        <f>IF(A1308&lt;&gt;0,INDEX(Coûts, 'PA-Détails'!A1308, 5),)</f>
        <v>Pers / j</v>
      </c>
      <c r="E1308" s="96">
        <v>40</v>
      </c>
      <c r="F1308" s="100">
        <v>40</v>
      </c>
      <c r="G1308" s="100"/>
      <c r="H1308" s="100"/>
      <c r="I1308" s="100"/>
      <c r="J1308" s="101">
        <f t="shared" si="671"/>
        <v>80</v>
      </c>
      <c r="K1308" s="115">
        <f>IF(A1308&lt;&gt;0,INDEX(Coûts, 'PA-Détails'!A1308, 3),)</f>
        <v>150</v>
      </c>
      <c r="L1308" s="37">
        <f t="shared" si="775"/>
        <v>6000</v>
      </c>
      <c r="M1308" s="36">
        <f t="shared" si="775"/>
        <v>6000</v>
      </c>
      <c r="N1308" s="36">
        <f t="shared" si="775"/>
        <v>0</v>
      </c>
      <c r="O1308" s="36">
        <f t="shared" si="775"/>
        <v>0</v>
      </c>
      <c r="P1308" s="268">
        <f t="shared" si="775"/>
        <v>0</v>
      </c>
      <c r="Q1308" s="281">
        <f>SUM(L1308:P1308)</f>
        <v>12000</v>
      </c>
      <c r="R1308" s="39"/>
      <c r="S1308" s="115"/>
      <c r="T1308" s="51"/>
    </row>
    <row r="1309" spans="1:20" x14ac:dyDescent="0.2">
      <c r="A1309" s="95">
        <v>13</v>
      </c>
      <c r="B1309" s="108" t="str">
        <f>IF(A1309&lt;&gt;0,INDEX(Coûts,'PA-Détails'!A1309, 2),)</f>
        <v>Formation au niveau local</v>
      </c>
      <c r="C1309" s="51"/>
      <c r="D1309" s="94" t="str">
        <f>IF(A1309&lt;&gt;0,INDEX(Coûts, 'PA-Détails'!A1309, 5),)</f>
        <v>Pers / j</v>
      </c>
      <c r="E1309" s="96">
        <f>200*5</f>
        <v>1000</v>
      </c>
      <c r="F1309" s="100">
        <f>200*5</f>
        <v>1000</v>
      </c>
      <c r="G1309" s="100"/>
      <c r="H1309" s="100"/>
      <c r="I1309" s="100"/>
      <c r="J1309" s="101">
        <f t="shared" si="671"/>
        <v>2000</v>
      </c>
      <c r="K1309" s="115">
        <f>IF(A1309&lt;&gt;0,INDEX(Coûts, 'PA-Détails'!A1309, 3),)</f>
        <v>15</v>
      </c>
      <c r="L1309" s="37">
        <f t="shared" si="775"/>
        <v>15000</v>
      </c>
      <c r="M1309" s="36">
        <f t="shared" si="775"/>
        <v>15000</v>
      </c>
      <c r="N1309" s="36">
        <f t="shared" si="775"/>
        <v>0</v>
      </c>
      <c r="O1309" s="36">
        <f t="shared" si="775"/>
        <v>0</v>
      </c>
      <c r="P1309" s="268">
        <f t="shared" si="775"/>
        <v>0</v>
      </c>
      <c r="Q1309" s="281">
        <f>SUM(L1309:P1309)</f>
        <v>30000</v>
      </c>
      <c r="R1309" s="39"/>
      <c r="S1309" s="115"/>
      <c r="T1309" s="51"/>
    </row>
    <row r="1310" spans="1:20" x14ac:dyDescent="0.2">
      <c r="A1310" s="17" t="s">
        <v>1231</v>
      </c>
      <c r="B1310" s="45"/>
      <c r="C1310" s="51" t="s">
        <v>644</v>
      </c>
      <c r="D1310" s="18"/>
      <c r="E1310" s="97"/>
      <c r="F1310" s="98"/>
      <c r="G1310" s="98"/>
      <c r="H1310" s="98"/>
      <c r="I1310" s="98"/>
      <c r="J1310" s="99">
        <f t="shared" si="671"/>
        <v>0</v>
      </c>
      <c r="K1310" s="116"/>
      <c r="L1310" s="161"/>
      <c r="M1310" s="34"/>
      <c r="N1310" s="34"/>
      <c r="O1310" s="34"/>
      <c r="P1310" s="269"/>
      <c r="Q1310" s="279"/>
      <c r="R1310" s="38"/>
      <c r="S1310" s="116"/>
      <c r="T1310" s="50"/>
    </row>
    <row r="1311" spans="1:20" x14ac:dyDescent="0.2">
      <c r="A1311" s="20" t="s">
        <v>1232</v>
      </c>
      <c r="B1311" s="149"/>
      <c r="C1311" s="51"/>
      <c r="D1311" s="21"/>
      <c r="E1311" s="96"/>
      <c r="F1311" s="100"/>
      <c r="G1311" s="100"/>
      <c r="H1311" s="100"/>
      <c r="I1311" s="100"/>
      <c r="J1311" s="101">
        <f t="shared" si="671"/>
        <v>0</v>
      </c>
      <c r="K1311" s="115"/>
      <c r="L1311" s="161">
        <f t="shared" ref="L1311:Q1311" si="776">SUM(L1312:L1313)</f>
        <v>26000</v>
      </c>
      <c r="M1311" s="157">
        <f t="shared" si="776"/>
        <v>26000</v>
      </c>
      <c r="N1311" s="157">
        <f t="shared" si="776"/>
        <v>0</v>
      </c>
      <c r="O1311" s="157">
        <f t="shared" si="776"/>
        <v>0</v>
      </c>
      <c r="P1311" s="270">
        <f t="shared" si="776"/>
        <v>0</v>
      </c>
      <c r="Q1311" s="284">
        <f t="shared" si="776"/>
        <v>52000</v>
      </c>
      <c r="R1311" s="39" t="s">
        <v>1418</v>
      </c>
      <c r="S1311" s="115" t="s">
        <v>670</v>
      </c>
      <c r="T1311" s="51"/>
    </row>
    <row r="1312" spans="1:20" x14ac:dyDescent="0.2">
      <c r="A1312" s="95">
        <v>2</v>
      </c>
      <c r="B1312" s="108" t="str">
        <f>IF(A1312&lt;&gt;0,INDEX(Coûts,'PA-Détails'!A1312, 2),)</f>
        <v>Assistance technique nationale (consultants)</v>
      </c>
      <c r="C1312" s="51"/>
      <c r="D1312" s="94" t="str">
        <f>IF(A1312&lt;&gt;0,INDEX(Coûts, 'PA-Détails'!A1312, 5),)</f>
        <v>Pers / j</v>
      </c>
      <c r="E1312" s="96">
        <v>40</v>
      </c>
      <c r="F1312" s="100">
        <v>40</v>
      </c>
      <c r="G1312" s="100"/>
      <c r="H1312" s="100"/>
      <c r="I1312" s="100"/>
      <c r="J1312" s="101">
        <f t="shared" si="671"/>
        <v>80</v>
      </c>
      <c r="K1312" s="115">
        <f>IF(A1312&lt;&gt;0,INDEX(Coûts, 'PA-Détails'!A1312, 3),)</f>
        <v>300</v>
      </c>
      <c r="L1312" s="37">
        <f t="shared" ref="L1312:P1315" si="777">ROUND(+$K1312*E1312,0)</f>
        <v>12000</v>
      </c>
      <c r="M1312" s="36">
        <f t="shared" si="777"/>
        <v>12000</v>
      </c>
      <c r="N1312" s="36">
        <f t="shared" si="777"/>
        <v>0</v>
      </c>
      <c r="O1312" s="36">
        <f t="shared" si="777"/>
        <v>0</v>
      </c>
      <c r="P1312" s="268">
        <f t="shared" si="777"/>
        <v>0</v>
      </c>
      <c r="Q1312" s="281">
        <f>SUM(L1312:P1312)</f>
        <v>24000</v>
      </c>
      <c r="R1312" s="39"/>
      <c r="S1312" s="115"/>
      <c r="T1312" s="51"/>
    </row>
    <row r="1313" spans="1:20" x14ac:dyDescent="0.2">
      <c r="A1313" s="95">
        <v>11</v>
      </c>
      <c r="B1313" s="108" t="str">
        <f>IF(A1313&lt;&gt;0,INDEX(Coûts,'PA-Détails'!A1313, 2),)</f>
        <v>Atelier technique</v>
      </c>
      <c r="C1313" s="51"/>
      <c r="D1313" s="94" t="str">
        <f>IF(A1313&lt;&gt;0,INDEX(Coûts, 'PA-Détails'!A1313, 5),)</f>
        <v>Pers / j</v>
      </c>
      <c r="E1313" s="96">
        <v>200</v>
      </c>
      <c r="F1313" s="100">
        <v>200</v>
      </c>
      <c r="G1313" s="100"/>
      <c r="H1313" s="100"/>
      <c r="I1313" s="100"/>
      <c r="J1313" s="101">
        <f t="shared" si="671"/>
        <v>400</v>
      </c>
      <c r="K1313" s="115">
        <f>IF(A1313&lt;&gt;0,INDEX(Coûts, 'PA-Détails'!A1313, 3),)</f>
        <v>70</v>
      </c>
      <c r="L1313" s="37">
        <f t="shared" si="777"/>
        <v>14000</v>
      </c>
      <c r="M1313" s="36">
        <f t="shared" si="777"/>
        <v>14000</v>
      </c>
      <c r="N1313" s="36">
        <f t="shared" si="777"/>
        <v>0</v>
      </c>
      <c r="O1313" s="36">
        <f t="shared" si="777"/>
        <v>0</v>
      </c>
      <c r="P1313" s="268">
        <f t="shared" si="777"/>
        <v>0</v>
      </c>
      <c r="Q1313" s="281">
        <f>SUM(L1313:P1313)</f>
        <v>28000</v>
      </c>
      <c r="R1313" s="39"/>
      <c r="S1313" s="115"/>
      <c r="T1313" s="51"/>
    </row>
    <row r="1314" spans="1:20" x14ac:dyDescent="0.2">
      <c r="A1314" s="14" t="s">
        <v>1233</v>
      </c>
      <c r="B1314" s="44"/>
      <c r="C1314" s="112"/>
      <c r="D1314" s="15"/>
      <c r="E1314" s="102"/>
      <c r="F1314" s="103"/>
      <c r="G1314" s="103"/>
      <c r="H1314" s="103"/>
      <c r="I1314" s="103"/>
      <c r="J1314" s="104">
        <f t="shared" ref="J1314:J1344" si="778">SUM(E1314:I1314)</f>
        <v>0</v>
      </c>
      <c r="K1314" s="145"/>
      <c r="L1314" s="33">
        <f t="shared" si="777"/>
        <v>0</v>
      </c>
      <c r="M1314" s="32">
        <f t="shared" si="777"/>
        <v>0</v>
      </c>
      <c r="N1314" s="32">
        <f t="shared" si="777"/>
        <v>0</v>
      </c>
      <c r="O1314" s="32">
        <f t="shared" si="777"/>
        <v>0</v>
      </c>
      <c r="P1314" s="267">
        <f t="shared" si="777"/>
        <v>0</v>
      </c>
      <c r="Q1314" s="278">
        <f>SUM(L1314:P1314)</f>
        <v>0</v>
      </c>
      <c r="R1314" s="16"/>
      <c r="S1314" s="15"/>
      <c r="T1314" s="112">
        <v>3</v>
      </c>
    </row>
    <row r="1315" spans="1:20" x14ac:dyDescent="0.2">
      <c r="A1315" s="17" t="s">
        <v>1234</v>
      </c>
      <c r="B1315" s="45"/>
      <c r="C1315" s="51"/>
      <c r="D1315" s="18"/>
      <c r="E1315" s="97"/>
      <c r="F1315" s="98"/>
      <c r="G1315" s="98"/>
      <c r="H1315" s="98"/>
      <c r="I1315" s="98"/>
      <c r="J1315" s="99">
        <f t="shared" si="778"/>
        <v>0</v>
      </c>
      <c r="K1315" s="116"/>
      <c r="L1315" s="35">
        <f t="shared" si="777"/>
        <v>0</v>
      </c>
      <c r="M1315" s="34">
        <f t="shared" si="777"/>
        <v>0</v>
      </c>
      <c r="N1315" s="34">
        <f t="shared" si="777"/>
        <v>0</v>
      </c>
      <c r="O1315" s="34">
        <f t="shared" si="777"/>
        <v>0</v>
      </c>
      <c r="P1315" s="269">
        <f t="shared" si="777"/>
        <v>0</v>
      </c>
      <c r="Q1315" s="279">
        <f>SUM(L1315:P1315)</f>
        <v>0</v>
      </c>
      <c r="R1315" s="19"/>
      <c r="S1315" s="18"/>
      <c r="T1315" s="51"/>
    </row>
    <row r="1316" spans="1:20" x14ac:dyDescent="0.2">
      <c r="A1316" s="20" t="s">
        <v>1235</v>
      </c>
      <c r="B1316" s="108"/>
      <c r="C1316" s="51"/>
      <c r="D1316" s="94"/>
      <c r="E1316" s="96"/>
      <c r="F1316" s="100"/>
      <c r="G1316" s="100"/>
      <c r="H1316" s="100"/>
      <c r="I1316" s="100"/>
      <c r="J1316" s="101">
        <f t="shared" si="778"/>
        <v>0</v>
      </c>
      <c r="K1316" s="115"/>
      <c r="L1316" s="161">
        <f t="shared" ref="L1316:Q1316" si="779">SUM(L1317:L1317)</f>
        <v>0</v>
      </c>
      <c r="M1316" s="157">
        <f t="shared" si="779"/>
        <v>25000</v>
      </c>
      <c r="N1316" s="157">
        <f t="shared" si="779"/>
        <v>0</v>
      </c>
      <c r="O1316" s="157">
        <f t="shared" si="779"/>
        <v>0</v>
      </c>
      <c r="P1316" s="270">
        <f t="shared" si="779"/>
        <v>0</v>
      </c>
      <c r="Q1316" s="284">
        <f t="shared" si="779"/>
        <v>25000</v>
      </c>
      <c r="R1316" s="39" t="s">
        <v>758</v>
      </c>
      <c r="S1316" s="115" t="s">
        <v>665</v>
      </c>
      <c r="T1316" s="51"/>
    </row>
    <row r="1317" spans="1:20" x14ac:dyDescent="0.2">
      <c r="A1317" s="95">
        <v>6</v>
      </c>
      <c r="B1317" s="108" t="str">
        <f>IF(A1317&lt;&gt;0,INDEX(Coûts,'PA-Détails'!A1317, 2),)</f>
        <v>Édition Rapports</v>
      </c>
      <c r="C1317" s="51"/>
      <c r="D1317" s="94" t="str">
        <f>IF(A1317&lt;&gt;0,INDEX(Coûts, 'PA-Détails'!A1317, 5),)</f>
        <v>Forfait</v>
      </c>
      <c r="E1317" s="96"/>
      <c r="F1317" s="100">
        <v>2500</v>
      </c>
      <c r="G1317" s="100"/>
      <c r="H1317" s="100"/>
      <c r="I1317" s="100"/>
      <c r="J1317" s="101">
        <f t="shared" si="778"/>
        <v>2500</v>
      </c>
      <c r="K1317" s="115">
        <f>IF(A1317&lt;&gt;0,INDEX(Coûts, 'PA-Détails'!A1317, 3),)</f>
        <v>10</v>
      </c>
      <c r="L1317" s="37">
        <f t="shared" ref="L1317:P1318" si="780">ROUND(+$K1317*E1317,0)</f>
        <v>0</v>
      </c>
      <c r="M1317" s="36">
        <f t="shared" si="780"/>
        <v>25000</v>
      </c>
      <c r="N1317" s="36">
        <f t="shared" si="780"/>
        <v>0</v>
      </c>
      <c r="O1317" s="36">
        <f t="shared" si="780"/>
        <v>0</v>
      </c>
      <c r="P1317" s="268">
        <f t="shared" si="780"/>
        <v>0</v>
      </c>
      <c r="Q1317" s="281">
        <f>SUM(L1317:P1317)</f>
        <v>25000</v>
      </c>
      <c r="R1317" s="22"/>
      <c r="S1317" s="21"/>
      <c r="T1317" s="51"/>
    </row>
    <row r="1318" spans="1:20" x14ac:dyDescent="0.2">
      <c r="A1318" s="17" t="s">
        <v>1236</v>
      </c>
      <c r="B1318" s="45"/>
      <c r="C1318" s="51"/>
      <c r="D1318" s="18"/>
      <c r="E1318" s="97"/>
      <c r="F1318" s="98"/>
      <c r="G1318" s="98"/>
      <c r="H1318" s="98"/>
      <c r="I1318" s="98"/>
      <c r="J1318" s="99">
        <f t="shared" si="778"/>
        <v>0</v>
      </c>
      <c r="K1318" s="116"/>
      <c r="L1318" s="35">
        <f t="shared" si="780"/>
        <v>0</v>
      </c>
      <c r="M1318" s="34">
        <f t="shared" si="780"/>
        <v>0</v>
      </c>
      <c r="N1318" s="34">
        <f t="shared" si="780"/>
        <v>0</v>
      </c>
      <c r="O1318" s="34">
        <f t="shared" si="780"/>
        <v>0</v>
      </c>
      <c r="P1318" s="269">
        <f t="shared" si="780"/>
        <v>0</v>
      </c>
      <c r="Q1318" s="279">
        <f>SUM(L1318:P1318)</f>
        <v>0</v>
      </c>
      <c r="R1318" s="19"/>
      <c r="S1318" s="18"/>
      <c r="T1318" s="51"/>
    </row>
    <row r="1319" spans="1:20" x14ac:dyDescent="0.2">
      <c r="A1319" s="20" t="s">
        <v>1237</v>
      </c>
      <c r="B1319" s="141"/>
      <c r="C1319" s="51"/>
      <c r="D1319" s="142"/>
      <c r="E1319" s="96"/>
      <c r="F1319" s="100"/>
      <c r="G1319" s="100"/>
      <c r="H1319" s="100"/>
      <c r="I1319" s="100"/>
      <c r="J1319" s="101">
        <f t="shared" si="778"/>
        <v>0</v>
      </c>
      <c r="K1319" s="115"/>
      <c r="L1319" s="161">
        <f t="shared" ref="L1319:Q1319" si="781">SUM(L1320:L1322)</f>
        <v>71200</v>
      </c>
      <c r="M1319" s="34">
        <f t="shared" si="781"/>
        <v>0</v>
      </c>
      <c r="N1319" s="34">
        <f t="shared" si="781"/>
        <v>0</v>
      </c>
      <c r="O1319" s="34">
        <f t="shared" si="781"/>
        <v>0</v>
      </c>
      <c r="P1319" s="269">
        <f t="shared" si="781"/>
        <v>0</v>
      </c>
      <c r="Q1319" s="279">
        <f t="shared" si="781"/>
        <v>71200</v>
      </c>
      <c r="R1319" s="39" t="s">
        <v>758</v>
      </c>
      <c r="S1319" s="115" t="s">
        <v>665</v>
      </c>
      <c r="T1319" s="51"/>
    </row>
    <row r="1320" spans="1:20" x14ac:dyDescent="0.2">
      <c r="A1320" s="95">
        <v>2</v>
      </c>
      <c r="B1320" s="108" t="str">
        <f>IF(A1320&lt;&gt;0,INDEX(Coûts,'PA-Détails'!A1320, 2),)</f>
        <v>Assistance technique nationale (consultants)</v>
      </c>
      <c r="C1320" s="51"/>
      <c r="D1320" s="94" t="str">
        <f>IF(A1320&lt;&gt;0,INDEX(Coûts, 'PA-Détails'!A1320, 5),)</f>
        <v>Pers / j</v>
      </c>
      <c r="E1320" s="96">
        <f>8*20</f>
        <v>160</v>
      </c>
      <c r="F1320" s="100"/>
      <c r="G1320" s="100"/>
      <c r="H1320" s="100"/>
      <c r="I1320" s="100"/>
      <c r="J1320" s="101">
        <f t="shared" si="778"/>
        <v>160</v>
      </c>
      <c r="K1320" s="115">
        <f>IF(A1320&lt;&gt;0,INDEX(Coûts, 'PA-Détails'!A1320, 3),)</f>
        <v>300</v>
      </c>
      <c r="L1320" s="37">
        <f t="shared" ref="L1320:P1322" si="782">ROUND(+$K1320*E1320,0)</f>
        <v>48000</v>
      </c>
      <c r="M1320" s="36">
        <f t="shared" si="782"/>
        <v>0</v>
      </c>
      <c r="N1320" s="36">
        <f t="shared" si="782"/>
        <v>0</v>
      </c>
      <c r="O1320" s="36">
        <f t="shared" si="782"/>
        <v>0</v>
      </c>
      <c r="P1320" s="268">
        <f t="shared" si="782"/>
        <v>0</v>
      </c>
      <c r="Q1320" s="281">
        <f>SUM(L1320:P1320)</f>
        <v>48000</v>
      </c>
      <c r="R1320" s="22"/>
      <c r="S1320" s="21"/>
      <c r="T1320" s="51"/>
    </row>
    <row r="1321" spans="1:20" x14ac:dyDescent="0.2">
      <c r="A1321" s="95">
        <v>11</v>
      </c>
      <c r="B1321" s="108" t="str">
        <f>IF(A1321&lt;&gt;0,INDEX(Coûts,'PA-Détails'!A1321, 2),)</f>
        <v>Atelier technique</v>
      </c>
      <c r="C1321" s="51"/>
      <c r="D1321" s="94" t="str">
        <f>IF(A1321&lt;&gt;0,INDEX(Coûts, 'PA-Détails'!A1321, 5),)</f>
        <v>Pers / j</v>
      </c>
      <c r="E1321" s="96">
        <f>8*20</f>
        <v>160</v>
      </c>
      <c r="F1321" s="100"/>
      <c r="G1321" s="100"/>
      <c r="H1321" s="100"/>
      <c r="I1321" s="100"/>
      <c r="J1321" s="101">
        <f t="shared" si="778"/>
        <v>160</v>
      </c>
      <c r="K1321" s="115">
        <f>IF(A1321&lt;&gt;0,INDEX(Coûts, 'PA-Détails'!A1321, 3),)</f>
        <v>70</v>
      </c>
      <c r="L1321" s="37">
        <f t="shared" si="782"/>
        <v>11200</v>
      </c>
      <c r="M1321" s="36">
        <f t="shared" si="782"/>
        <v>0</v>
      </c>
      <c r="N1321" s="36">
        <f t="shared" si="782"/>
        <v>0</v>
      </c>
      <c r="O1321" s="36">
        <f t="shared" si="782"/>
        <v>0</v>
      </c>
      <c r="P1321" s="268">
        <f t="shared" si="782"/>
        <v>0</v>
      </c>
      <c r="Q1321" s="281">
        <f>SUM(L1321:P1321)</f>
        <v>11200</v>
      </c>
      <c r="R1321" s="22"/>
      <c r="S1321" s="21"/>
      <c r="T1321" s="51"/>
    </row>
    <row r="1322" spans="1:20" x14ac:dyDescent="0.2">
      <c r="A1322" s="95">
        <v>5</v>
      </c>
      <c r="B1322" s="108" t="str">
        <f>IF(A1322&lt;&gt;0,INDEX(Coûts,'PA-Détails'!A1322, 2),)</f>
        <v>Atelier de validation</v>
      </c>
      <c r="C1322" s="51"/>
      <c r="D1322" s="94" t="str">
        <f>IF(A1322&lt;&gt;0,INDEX(Coûts, 'PA-Détails'!A1322, 5),)</f>
        <v>Pers / j</v>
      </c>
      <c r="E1322" s="96">
        <f>8*30</f>
        <v>240</v>
      </c>
      <c r="F1322" s="100"/>
      <c r="G1322" s="100"/>
      <c r="H1322" s="100"/>
      <c r="I1322" s="100"/>
      <c r="J1322" s="101">
        <f t="shared" si="778"/>
        <v>240</v>
      </c>
      <c r="K1322" s="115">
        <f>IF(A1322&lt;&gt;0,INDEX(Coûts, 'PA-Détails'!A1322, 3),)</f>
        <v>50</v>
      </c>
      <c r="L1322" s="37">
        <f t="shared" si="782"/>
        <v>12000</v>
      </c>
      <c r="M1322" s="36">
        <f t="shared" si="782"/>
        <v>0</v>
      </c>
      <c r="N1322" s="36">
        <f t="shared" si="782"/>
        <v>0</v>
      </c>
      <c r="O1322" s="36">
        <f t="shared" si="782"/>
        <v>0</v>
      </c>
      <c r="P1322" s="268">
        <f t="shared" si="782"/>
        <v>0</v>
      </c>
      <c r="Q1322" s="281">
        <f>SUM(L1322:P1322)</f>
        <v>12000</v>
      </c>
      <c r="R1322" s="22"/>
      <c r="S1322" s="21"/>
      <c r="T1322" s="51"/>
    </row>
    <row r="1323" spans="1:20" x14ac:dyDescent="0.2">
      <c r="A1323" s="20" t="s">
        <v>1238</v>
      </c>
      <c r="B1323" s="46"/>
      <c r="C1323" s="51"/>
      <c r="D1323" s="21"/>
      <c r="E1323" s="96"/>
      <c r="F1323" s="100"/>
      <c r="G1323" s="100"/>
      <c r="H1323" s="100"/>
      <c r="I1323" s="100"/>
      <c r="J1323" s="101">
        <f t="shared" si="778"/>
        <v>0</v>
      </c>
      <c r="K1323" s="115"/>
      <c r="L1323" s="161">
        <f t="shared" ref="L1323:Q1323" si="783">SUM(L1324:L1325)</f>
        <v>34000</v>
      </c>
      <c r="M1323" s="157">
        <f t="shared" si="783"/>
        <v>0</v>
      </c>
      <c r="N1323" s="157">
        <f t="shared" si="783"/>
        <v>0</v>
      </c>
      <c r="O1323" s="157">
        <f t="shared" si="783"/>
        <v>0</v>
      </c>
      <c r="P1323" s="270">
        <f t="shared" si="783"/>
        <v>0</v>
      </c>
      <c r="Q1323" s="284">
        <f t="shared" si="783"/>
        <v>34000</v>
      </c>
      <c r="R1323" s="39" t="s">
        <v>758</v>
      </c>
      <c r="S1323" s="21" t="s">
        <v>665</v>
      </c>
      <c r="T1323" s="51"/>
    </row>
    <row r="1324" spans="1:20" x14ac:dyDescent="0.2">
      <c r="A1324" s="95">
        <v>2</v>
      </c>
      <c r="B1324" s="108" t="str">
        <f>IF(A1324&lt;&gt;0,INDEX(Coûts,'PA-Détails'!A1324, 2),)</f>
        <v>Assistance technique nationale (consultants)</v>
      </c>
      <c r="C1324" s="51"/>
      <c r="D1324" s="94" t="str">
        <f>IF(A1324&lt;&gt;0,INDEX(Coûts, 'PA-Détails'!A1324, 5),)</f>
        <v>Pers / j</v>
      </c>
      <c r="E1324" s="96">
        <v>20</v>
      </c>
      <c r="F1324" s="100"/>
      <c r="G1324" s="100"/>
      <c r="H1324" s="100"/>
      <c r="I1324" s="100"/>
      <c r="J1324" s="101">
        <f t="shared" si="778"/>
        <v>20</v>
      </c>
      <c r="K1324" s="115">
        <f>IF(A1324&lt;&gt;0,INDEX(Coûts, 'PA-Détails'!A1324, 3),)</f>
        <v>300</v>
      </c>
      <c r="L1324" s="37">
        <f t="shared" ref="L1324:P1327" si="784">ROUND(+$K1324*E1324,0)</f>
        <v>6000</v>
      </c>
      <c r="M1324" s="36">
        <f t="shared" si="784"/>
        <v>0</v>
      </c>
      <c r="N1324" s="36">
        <f t="shared" si="784"/>
        <v>0</v>
      </c>
      <c r="O1324" s="36">
        <f t="shared" si="784"/>
        <v>0</v>
      </c>
      <c r="P1324" s="268">
        <f t="shared" si="784"/>
        <v>0</v>
      </c>
      <c r="Q1324" s="281">
        <f>SUM(L1324:P1324)</f>
        <v>6000</v>
      </c>
      <c r="R1324" s="22"/>
      <c r="S1324" s="21"/>
      <c r="T1324" s="51"/>
    </row>
    <row r="1325" spans="1:20" x14ac:dyDescent="0.2">
      <c r="A1325" s="95">
        <v>11</v>
      </c>
      <c r="B1325" s="108" t="str">
        <f>IF(A1325&lt;&gt;0,INDEX(Coûts,'PA-Détails'!A1325, 2),)</f>
        <v>Atelier technique</v>
      </c>
      <c r="C1325" s="51"/>
      <c r="D1325" s="94" t="str">
        <f>IF(A1325&lt;&gt;0,INDEX(Coûts, 'PA-Détails'!A1325, 5),)</f>
        <v>Pers / j</v>
      </c>
      <c r="E1325" s="96">
        <f>20*20</f>
        <v>400</v>
      </c>
      <c r="F1325" s="100"/>
      <c r="G1325" s="100"/>
      <c r="H1325" s="100"/>
      <c r="I1325" s="100"/>
      <c r="J1325" s="101">
        <f t="shared" si="778"/>
        <v>400</v>
      </c>
      <c r="K1325" s="115">
        <f>IF(A1325&lt;&gt;0,INDEX(Coûts, 'PA-Détails'!A1325, 3),)</f>
        <v>70</v>
      </c>
      <c r="L1325" s="37">
        <f t="shared" si="784"/>
        <v>28000</v>
      </c>
      <c r="M1325" s="36">
        <f t="shared" si="784"/>
        <v>0</v>
      </c>
      <c r="N1325" s="36">
        <f t="shared" si="784"/>
        <v>0</v>
      </c>
      <c r="O1325" s="36">
        <f t="shared" si="784"/>
        <v>0</v>
      </c>
      <c r="P1325" s="268">
        <f t="shared" si="784"/>
        <v>0</v>
      </c>
      <c r="Q1325" s="281">
        <f>SUM(L1325:P1325)</f>
        <v>28000</v>
      </c>
      <c r="R1325" s="22"/>
      <c r="S1325" s="21"/>
      <c r="T1325" s="51"/>
    </row>
    <row r="1326" spans="1:20" x14ac:dyDescent="0.2">
      <c r="A1326" s="14" t="s">
        <v>1239</v>
      </c>
      <c r="B1326" s="44"/>
      <c r="C1326" s="112"/>
      <c r="D1326" s="15"/>
      <c r="E1326" s="102"/>
      <c r="F1326" s="103"/>
      <c r="G1326" s="103"/>
      <c r="H1326" s="103"/>
      <c r="I1326" s="103"/>
      <c r="J1326" s="104">
        <f t="shared" si="778"/>
        <v>0</v>
      </c>
      <c r="K1326" s="145"/>
      <c r="L1326" s="33">
        <f t="shared" si="784"/>
        <v>0</v>
      </c>
      <c r="M1326" s="32">
        <f t="shared" si="784"/>
        <v>0</v>
      </c>
      <c r="N1326" s="32">
        <f t="shared" si="784"/>
        <v>0</v>
      </c>
      <c r="O1326" s="32">
        <f t="shared" si="784"/>
        <v>0</v>
      </c>
      <c r="P1326" s="267">
        <f t="shared" si="784"/>
        <v>0</v>
      </c>
      <c r="Q1326" s="278">
        <f>SUM(L1326:P1326)</f>
        <v>0</v>
      </c>
      <c r="R1326" s="40"/>
      <c r="S1326" s="145"/>
      <c r="T1326" s="49">
        <v>3</v>
      </c>
    </row>
    <row r="1327" spans="1:20" x14ac:dyDescent="0.2">
      <c r="A1327" s="17" t="s">
        <v>1240</v>
      </c>
      <c r="B1327" s="45"/>
      <c r="C1327" s="51"/>
      <c r="D1327" s="18"/>
      <c r="E1327" s="97"/>
      <c r="F1327" s="98"/>
      <c r="G1327" s="98"/>
      <c r="H1327" s="98"/>
      <c r="I1327" s="98"/>
      <c r="J1327" s="99">
        <f t="shared" si="778"/>
        <v>0</v>
      </c>
      <c r="K1327" s="116"/>
      <c r="L1327" s="35">
        <f t="shared" si="784"/>
        <v>0</v>
      </c>
      <c r="M1327" s="34">
        <f t="shared" si="784"/>
        <v>0</v>
      </c>
      <c r="N1327" s="34">
        <f t="shared" si="784"/>
        <v>0</v>
      </c>
      <c r="O1327" s="34">
        <f t="shared" si="784"/>
        <v>0</v>
      </c>
      <c r="P1327" s="269">
        <f t="shared" si="784"/>
        <v>0</v>
      </c>
      <c r="Q1327" s="279">
        <f>SUM(L1327:P1327)</f>
        <v>0</v>
      </c>
      <c r="R1327" s="38"/>
      <c r="S1327" s="116"/>
      <c r="T1327" s="50"/>
    </row>
    <row r="1328" spans="1:20" x14ac:dyDescent="0.2">
      <c r="A1328" s="20" t="s">
        <v>1241</v>
      </c>
      <c r="B1328" s="149"/>
      <c r="C1328" s="51" t="s">
        <v>645</v>
      </c>
      <c r="D1328" s="21"/>
      <c r="E1328" s="96"/>
      <c r="F1328" s="100"/>
      <c r="G1328" s="100"/>
      <c r="H1328" s="100"/>
      <c r="I1328" s="100"/>
      <c r="J1328" s="101">
        <f t="shared" si="778"/>
        <v>0</v>
      </c>
      <c r="K1328" s="115"/>
      <c r="L1328" s="161">
        <f t="shared" ref="L1328:Q1328" si="785">SUM(L1329:L1330)</f>
        <v>0</v>
      </c>
      <c r="M1328" s="157">
        <f t="shared" si="785"/>
        <v>101000</v>
      </c>
      <c r="N1328" s="157">
        <f t="shared" si="785"/>
        <v>0</v>
      </c>
      <c r="O1328" s="157">
        <f t="shared" si="785"/>
        <v>0</v>
      </c>
      <c r="P1328" s="270">
        <f t="shared" si="785"/>
        <v>0</v>
      </c>
      <c r="Q1328" s="284">
        <f t="shared" si="785"/>
        <v>101000</v>
      </c>
      <c r="R1328" s="39" t="s">
        <v>1416</v>
      </c>
      <c r="S1328" s="115" t="s">
        <v>665</v>
      </c>
      <c r="T1328" s="51"/>
    </row>
    <row r="1329" spans="1:20" x14ac:dyDescent="0.2">
      <c r="A1329" s="95">
        <v>2</v>
      </c>
      <c r="B1329" s="108" t="str">
        <f>IF(A1329&lt;&gt;0,INDEX(Coûts,'PA-Détails'!A1329, 2),)</f>
        <v>Assistance technique nationale (consultants)</v>
      </c>
      <c r="C1329" s="51"/>
      <c r="D1329" s="94" t="str">
        <f>IF(A1329&lt;&gt;0,INDEX(Coûts, 'PA-Détails'!A1329, 5),)</f>
        <v>Pers / j</v>
      </c>
      <c r="E1329" s="96"/>
      <c r="F1329" s="100">
        <v>20</v>
      </c>
      <c r="G1329" s="100"/>
      <c r="H1329" s="100"/>
      <c r="I1329" s="100"/>
      <c r="J1329" s="101">
        <f t="shared" si="778"/>
        <v>20</v>
      </c>
      <c r="K1329" s="115">
        <f>IF(A1329&lt;&gt;0,INDEX(Coûts, 'PA-Détails'!A1329, 3),)</f>
        <v>300</v>
      </c>
      <c r="L1329" s="37">
        <f t="shared" ref="L1329:P1331" si="786">ROUND(+$K1329*E1329,0)</f>
        <v>0</v>
      </c>
      <c r="M1329" s="36">
        <f t="shared" si="786"/>
        <v>6000</v>
      </c>
      <c r="N1329" s="36">
        <f t="shared" si="786"/>
        <v>0</v>
      </c>
      <c r="O1329" s="36">
        <f t="shared" si="786"/>
        <v>0</v>
      </c>
      <c r="P1329" s="268">
        <f t="shared" si="786"/>
        <v>0</v>
      </c>
      <c r="Q1329" s="281">
        <f>SUM(L1329:P1329)</f>
        <v>6000</v>
      </c>
      <c r="R1329" s="39"/>
      <c r="S1329" s="115"/>
      <c r="T1329" s="51"/>
    </row>
    <row r="1330" spans="1:20" x14ac:dyDescent="0.2">
      <c r="A1330" s="95">
        <v>7</v>
      </c>
      <c r="B1330" s="108" t="str">
        <f>IF(A1330&lt;&gt;0,INDEX(Coûts,'PA-Détails'!A1330, 2),)</f>
        <v>Séminaire</v>
      </c>
      <c r="C1330" s="51"/>
      <c r="D1330" s="94" t="str">
        <f>IF(A1330&lt;&gt;0,INDEX(Coûts, 'PA-Détails'!A1330, 5),)</f>
        <v>Pers / j</v>
      </c>
      <c r="E1330" s="96"/>
      <c r="F1330" s="100">
        <v>500</v>
      </c>
      <c r="G1330" s="100"/>
      <c r="H1330" s="100"/>
      <c r="I1330" s="100"/>
      <c r="J1330" s="101">
        <f t="shared" si="778"/>
        <v>500</v>
      </c>
      <c r="K1330" s="115">
        <f>IF(A1330&lt;&gt;0,INDEX(Coûts, 'PA-Détails'!A1330, 3),)</f>
        <v>190</v>
      </c>
      <c r="L1330" s="37">
        <f t="shared" si="786"/>
        <v>0</v>
      </c>
      <c r="M1330" s="36">
        <f t="shared" si="786"/>
        <v>95000</v>
      </c>
      <c r="N1330" s="36">
        <f t="shared" si="786"/>
        <v>0</v>
      </c>
      <c r="O1330" s="36">
        <f t="shared" si="786"/>
        <v>0</v>
      </c>
      <c r="P1330" s="268">
        <f t="shared" si="786"/>
        <v>0</v>
      </c>
      <c r="Q1330" s="281">
        <f>SUM(L1330:P1330)</f>
        <v>95000</v>
      </c>
      <c r="R1330" s="39"/>
      <c r="S1330" s="115"/>
      <c r="T1330" s="51"/>
    </row>
    <row r="1331" spans="1:20" x14ac:dyDescent="0.2">
      <c r="A1331" s="17" t="s">
        <v>1242</v>
      </c>
      <c r="B1331" s="45"/>
      <c r="C1331" s="51" t="s">
        <v>646</v>
      </c>
      <c r="D1331" s="18"/>
      <c r="E1331" s="97"/>
      <c r="F1331" s="98"/>
      <c r="G1331" s="98"/>
      <c r="H1331" s="98"/>
      <c r="I1331" s="98"/>
      <c r="J1331" s="99">
        <f t="shared" si="778"/>
        <v>0</v>
      </c>
      <c r="K1331" s="116"/>
      <c r="L1331" s="35">
        <f t="shared" si="786"/>
        <v>0</v>
      </c>
      <c r="M1331" s="34">
        <f t="shared" si="786"/>
        <v>0</v>
      </c>
      <c r="N1331" s="34">
        <f t="shared" si="786"/>
        <v>0</v>
      </c>
      <c r="O1331" s="34">
        <f t="shared" si="786"/>
        <v>0</v>
      </c>
      <c r="P1331" s="269">
        <f t="shared" si="786"/>
        <v>0</v>
      </c>
      <c r="Q1331" s="279">
        <f>SUM(L1331:P1331)</f>
        <v>0</v>
      </c>
      <c r="R1331" s="38"/>
      <c r="S1331" s="116"/>
      <c r="T1331" s="50"/>
    </row>
    <row r="1332" spans="1:20" x14ac:dyDescent="0.2">
      <c r="A1332" s="20" t="s">
        <v>1243</v>
      </c>
      <c r="B1332" s="149"/>
      <c r="C1332" s="51"/>
      <c r="D1332" s="21"/>
      <c r="E1332" s="96"/>
      <c r="F1332" s="100"/>
      <c r="G1332" s="100"/>
      <c r="H1332" s="100"/>
      <c r="I1332" s="100"/>
      <c r="J1332" s="101">
        <f t="shared" si="778"/>
        <v>0</v>
      </c>
      <c r="K1332" s="115"/>
      <c r="L1332" s="161">
        <f t="shared" ref="L1332:Q1332" si="787">SUM(L1333:L1335)</f>
        <v>9500</v>
      </c>
      <c r="M1332" s="34">
        <f t="shared" si="787"/>
        <v>20400</v>
      </c>
      <c r="N1332" s="34">
        <f t="shared" si="787"/>
        <v>0</v>
      </c>
      <c r="O1332" s="34">
        <f t="shared" si="787"/>
        <v>0</v>
      </c>
      <c r="P1332" s="269">
        <f t="shared" si="787"/>
        <v>0</v>
      </c>
      <c r="Q1332" s="279">
        <f t="shared" si="787"/>
        <v>29900</v>
      </c>
      <c r="R1332" s="39" t="s">
        <v>1416</v>
      </c>
      <c r="S1332" s="115" t="s">
        <v>665</v>
      </c>
      <c r="T1332" s="51"/>
    </row>
    <row r="1333" spans="1:20" x14ac:dyDescent="0.2">
      <c r="A1333" s="95">
        <v>2</v>
      </c>
      <c r="B1333" s="108" t="str">
        <f>IF(A1333&lt;&gt;0,INDEX(Coûts,'PA-Détails'!A1333, 2),)</f>
        <v>Assistance technique nationale (consultants)</v>
      </c>
      <c r="C1333" s="51"/>
      <c r="D1333" s="94" t="str">
        <f>IF(A1333&lt;&gt;0,INDEX(Coûts, 'PA-Détails'!A1333, 5),)</f>
        <v>Pers / j</v>
      </c>
      <c r="E1333" s="96">
        <v>10</v>
      </c>
      <c r="F1333" s="100">
        <f>20</f>
        <v>20</v>
      </c>
      <c r="G1333" s="100"/>
      <c r="H1333" s="100"/>
      <c r="I1333" s="100"/>
      <c r="J1333" s="101">
        <f t="shared" si="778"/>
        <v>30</v>
      </c>
      <c r="K1333" s="115">
        <f>IF(A1333&lt;&gt;0,INDEX(Coûts, 'PA-Détails'!A1333, 3),)</f>
        <v>300</v>
      </c>
      <c r="L1333" s="37">
        <f t="shared" ref="L1333:P1336" si="788">ROUND(+$K1333*E1333,0)</f>
        <v>3000</v>
      </c>
      <c r="M1333" s="36">
        <f t="shared" si="788"/>
        <v>6000</v>
      </c>
      <c r="N1333" s="36">
        <f t="shared" si="788"/>
        <v>0</v>
      </c>
      <c r="O1333" s="36">
        <f t="shared" si="788"/>
        <v>0</v>
      </c>
      <c r="P1333" s="268">
        <f t="shared" si="788"/>
        <v>0</v>
      </c>
      <c r="Q1333" s="281">
        <f>SUM(L1333:P1333)</f>
        <v>9000</v>
      </c>
      <c r="R1333" s="39"/>
      <c r="S1333" s="115"/>
      <c r="T1333" s="51"/>
    </row>
    <row r="1334" spans="1:20" x14ac:dyDescent="0.2">
      <c r="A1334" s="95">
        <v>11</v>
      </c>
      <c r="B1334" s="108" t="str">
        <f>IF(A1334&lt;&gt;0,INDEX(Coûts,'PA-Détails'!A1334, 2),)</f>
        <v>Atelier technique</v>
      </c>
      <c r="C1334" s="51"/>
      <c r="D1334" s="94" t="str">
        <f>IF(A1334&lt;&gt;0,INDEX(Coûts, 'PA-Détails'!A1334, 5),)</f>
        <v>Pers / j</v>
      </c>
      <c r="E1334" s="96">
        <v>50</v>
      </c>
      <c r="F1334" s="100">
        <f>30*4</f>
        <v>120</v>
      </c>
      <c r="G1334" s="100"/>
      <c r="H1334" s="100"/>
      <c r="I1334" s="100"/>
      <c r="J1334" s="101">
        <f t="shared" si="778"/>
        <v>170</v>
      </c>
      <c r="K1334" s="115">
        <f>IF(A1334&lt;&gt;0,INDEX(Coûts, 'PA-Détails'!A1334, 3),)</f>
        <v>70</v>
      </c>
      <c r="L1334" s="37">
        <f t="shared" si="788"/>
        <v>3500</v>
      </c>
      <c r="M1334" s="36">
        <f t="shared" si="788"/>
        <v>8400</v>
      </c>
      <c r="N1334" s="36">
        <f t="shared" si="788"/>
        <v>0</v>
      </c>
      <c r="O1334" s="36">
        <f t="shared" si="788"/>
        <v>0</v>
      </c>
      <c r="P1334" s="268">
        <f t="shared" si="788"/>
        <v>0</v>
      </c>
      <c r="Q1334" s="281">
        <f>SUM(L1334:P1334)</f>
        <v>11900</v>
      </c>
      <c r="R1334" s="39"/>
      <c r="S1334" s="115"/>
      <c r="T1334" s="51"/>
    </row>
    <row r="1335" spans="1:20" x14ac:dyDescent="0.2">
      <c r="A1335" s="95">
        <v>5</v>
      </c>
      <c r="B1335" s="108" t="str">
        <f>IF(A1335&lt;&gt;0,INDEX(Coûts,'PA-Détails'!A1335, 2),)</f>
        <v>Atelier de validation</v>
      </c>
      <c r="C1335" s="51"/>
      <c r="D1335" s="94" t="str">
        <f>IF(A1335&lt;&gt;0,INDEX(Coûts, 'PA-Détails'!A1335, 5),)</f>
        <v>Pers / j</v>
      </c>
      <c r="E1335" s="96">
        <v>60</v>
      </c>
      <c r="F1335" s="100">
        <v>120</v>
      </c>
      <c r="G1335" s="100"/>
      <c r="H1335" s="100"/>
      <c r="I1335" s="100"/>
      <c r="J1335" s="101">
        <f t="shared" si="778"/>
        <v>180</v>
      </c>
      <c r="K1335" s="115">
        <f>IF(A1335&lt;&gt;0,INDEX(Coûts, 'PA-Détails'!A1335, 3),)</f>
        <v>50</v>
      </c>
      <c r="L1335" s="37">
        <f t="shared" si="788"/>
        <v>3000</v>
      </c>
      <c r="M1335" s="36">
        <f t="shared" si="788"/>
        <v>6000</v>
      </c>
      <c r="N1335" s="36">
        <f t="shared" si="788"/>
        <v>0</v>
      </c>
      <c r="O1335" s="36">
        <f t="shared" si="788"/>
        <v>0</v>
      </c>
      <c r="P1335" s="268">
        <f t="shared" si="788"/>
        <v>0</v>
      </c>
      <c r="Q1335" s="281">
        <f>SUM(L1335:P1335)</f>
        <v>9000</v>
      </c>
      <c r="R1335" s="39"/>
      <c r="S1335" s="115"/>
      <c r="T1335" s="51"/>
    </row>
    <row r="1336" spans="1:20" x14ac:dyDescent="0.2">
      <c r="A1336" s="17" t="s">
        <v>1244</v>
      </c>
      <c r="B1336" s="45"/>
      <c r="C1336" s="51"/>
      <c r="D1336" s="18"/>
      <c r="E1336" s="97"/>
      <c r="F1336" s="98"/>
      <c r="G1336" s="98"/>
      <c r="H1336" s="98"/>
      <c r="I1336" s="98"/>
      <c r="J1336" s="99">
        <f t="shared" si="778"/>
        <v>0</v>
      </c>
      <c r="K1336" s="116"/>
      <c r="L1336" s="35">
        <f t="shared" si="788"/>
        <v>0</v>
      </c>
      <c r="M1336" s="34">
        <f t="shared" si="788"/>
        <v>0</v>
      </c>
      <c r="N1336" s="34">
        <f t="shared" si="788"/>
        <v>0</v>
      </c>
      <c r="O1336" s="34">
        <f t="shared" si="788"/>
        <v>0</v>
      </c>
      <c r="P1336" s="269">
        <f t="shared" si="788"/>
        <v>0</v>
      </c>
      <c r="Q1336" s="279">
        <f>SUM(L1336:P1336)</f>
        <v>0</v>
      </c>
      <c r="R1336" s="38"/>
      <c r="S1336" s="116"/>
      <c r="T1336" s="50"/>
    </row>
    <row r="1337" spans="1:20" x14ac:dyDescent="0.2">
      <c r="A1337" s="20" t="s">
        <v>1245</v>
      </c>
      <c r="B1337" s="149"/>
      <c r="C1337" s="51"/>
      <c r="D1337" s="21"/>
      <c r="E1337" s="96"/>
      <c r="F1337" s="100"/>
      <c r="G1337" s="100"/>
      <c r="H1337" s="100"/>
      <c r="I1337" s="100"/>
      <c r="J1337" s="101">
        <f t="shared" si="778"/>
        <v>0</v>
      </c>
      <c r="K1337" s="115"/>
      <c r="L1337" s="161">
        <f t="shared" ref="L1337:Q1337" si="789">SUM(L1338:L1339)</f>
        <v>54000</v>
      </c>
      <c r="M1337" s="157">
        <f t="shared" si="789"/>
        <v>54000</v>
      </c>
      <c r="N1337" s="157">
        <f t="shared" si="789"/>
        <v>54000</v>
      </c>
      <c r="O1337" s="157">
        <f t="shared" si="789"/>
        <v>0</v>
      </c>
      <c r="P1337" s="270">
        <f t="shared" si="789"/>
        <v>0</v>
      </c>
      <c r="Q1337" s="284">
        <f t="shared" si="789"/>
        <v>162000</v>
      </c>
      <c r="R1337" s="39" t="s">
        <v>1417</v>
      </c>
      <c r="S1337" s="115" t="s">
        <v>665</v>
      </c>
      <c r="T1337" s="51"/>
    </row>
    <row r="1338" spans="1:20" x14ac:dyDescent="0.2">
      <c r="A1338" s="95">
        <v>12</v>
      </c>
      <c r="B1338" s="108" t="str">
        <f>IF(A1338&lt;&gt;0,INDEX(Coûts,'PA-Détails'!A1338, 2),)</f>
        <v>Formation - Action et Formation de formateurs</v>
      </c>
      <c r="C1338" s="51"/>
      <c r="D1338" s="94" t="str">
        <f>IF(A1338&lt;&gt;0,INDEX(Coûts, 'PA-Détails'!A1338, 5),)</f>
        <v>Pers / j</v>
      </c>
      <c r="E1338" s="96">
        <f>30*4</f>
        <v>120</v>
      </c>
      <c r="F1338" s="100">
        <f>E1338</f>
        <v>120</v>
      </c>
      <c r="G1338" s="100">
        <f>F1338</f>
        <v>120</v>
      </c>
      <c r="H1338" s="100"/>
      <c r="I1338" s="100"/>
      <c r="J1338" s="101">
        <f t="shared" si="778"/>
        <v>360</v>
      </c>
      <c r="K1338" s="115">
        <f>IF(A1338&lt;&gt;0,INDEX(Coûts, 'PA-Détails'!A1338, 3),)</f>
        <v>150</v>
      </c>
      <c r="L1338" s="37">
        <f t="shared" ref="L1338:P1341" si="790">ROUND(+$K1338*E1338,0)</f>
        <v>18000</v>
      </c>
      <c r="M1338" s="36">
        <f t="shared" si="790"/>
        <v>18000</v>
      </c>
      <c r="N1338" s="36">
        <f t="shared" si="790"/>
        <v>18000</v>
      </c>
      <c r="O1338" s="36">
        <f t="shared" si="790"/>
        <v>0</v>
      </c>
      <c r="P1338" s="268">
        <f t="shared" si="790"/>
        <v>0</v>
      </c>
      <c r="Q1338" s="281">
        <f>SUM(L1338:P1338)</f>
        <v>54000</v>
      </c>
      <c r="R1338" s="39"/>
      <c r="S1338" s="115"/>
      <c r="T1338" s="51"/>
    </row>
    <row r="1339" spans="1:20" x14ac:dyDescent="0.2">
      <c r="A1339" s="95">
        <v>13</v>
      </c>
      <c r="B1339" s="108" t="str">
        <f>IF(A1339&lt;&gt;0,INDEX(Coûts,'PA-Détails'!A1339, 2),)</f>
        <v>Formation au niveau local</v>
      </c>
      <c r="C1339" s="51"/>
      <c r="D1339" s="94" t="str">
        <f>IF(A1339&lt;&gt;0,INDEX(Coûts, 'PA-Détails'!A1339, 5),)</f>
        <v>Pers / j</v>
      </c>
      <c r="E1339" s="96">
        <f>30*80</f>
        <v>2400</v>
      </c>
      <c r="F1339" s="100">
        <f>30*80</f>
        <v>2400</v>
      </c>
      <c r="G1339" s="100">
        <f>30*80</f>
        <v>2400</v>
      </c>
      <c r="H1339" s="100"/>
      <c r="I1339" s="100"/>
      <c r="J1339" s="101">
        <f t="shared" si="778"/>
        <v>7200</v>
      </c>
      <c r="K1339" s="115">
        <f>IF(A1339&lt;&gt;0,INDEX(Coûts, 'PA-Détails'!A1339, 3),)</f>
        <v>15</v>
      </c>
      <c r="L1339" s="37">
        <f t="shared" si="790"/>
        <v>36000</v>
      </c>
      <c r="M1339" s="36">
        <f t="shared" si="790"/>
        <v>36000</v>
      </c>
      <c r="N1339" s="36">
        <f t="shared" si="790"/>
        <v>36000</v>
      </c>
      <c r="O1339" s="36">
        <f t="shared" si="790"/>
        <v>0</v>
      </c>
      <c r="P1339" s="268">
        <f t="shared" si="790"/>
        <v>0</v>
      </c>
      <c r="Q1339" s="281">
        <f>SUM(L1339:P1339)</f>
        <v>108000</v>
      </c>
      <c r="R1339" s="39"/>
      <c r="S1339" s="115"/>
      <c r="T1339" s="51"/>
    </row>
    <row r="1340" spans="1:20" x14ac:dyDescent="0.2">
      <c r="A1340" s="14" t="s">
        <v>1246</v>
      </c>
      <c r="B1340" s="44"/>
      <c r="C1340" s="112"/>
      <c r="D1340" s="15"/>
      <c r="E1340" s="102"/>
      <c r="F1340" s="103"/>
      <c r="G1340" s="103"/>
      <c r="H1340" s="103"/>
      <c r="I1340" s="103"/>
      <c r="J1340" s="104">
        <f t="shared" si="778"/>
        <v>0</v>
      </c>
      <c r="K1340" s="145"/>
      <c r="L1340" s="33">
        <f t="shared" si="790"/>
        <v>0</v>
      </c>
      <c r="M1340" s="32">
        <f t="shared" si="790"/>
        <v>0</v>
      </c>
      <c r="N1340" s="32">
        <f t="shared" si="790"/>
        <v>0</v>
      </c>
      <c r="O1340" s="32">
        <f t="shared" si="790"/>
        <v>0</v>
      </c>
      <c r="P1340" s="267">
        <f t="shared" si="790"/>
        <v>0</v>
      </c>
      <c r="Q1340" s="278">
        <f>SUM(L1340:P1340)</f>
        <v>0</v>
      </c>
      <c r="R1340" s="178"/>
      <c r="S1340" s="179"/>
      <c r="T1340" s="49">
        <v>3</v>
      </c>
    </row>
    <row r="1341" spans="1:20" x14ac:dyDescent="0.2">
      <c r="A1341" s="17" t="s">
        <v>1620</v>
      </c>
      <c r="B1341" s="45"/>
      <c r="C1341" s="51" t="s">
        <v>817</v>
      </c>
      <c r="D1341" s="18"/>
      <c r="E1341" s="97"/>
      <c r="F1341" s="98"/>
      <c r="G1341" s="98"/>
      <c r="H1341" s="98"/>
      <c r="I1341" s="98"/>
      <c r="J1341" s="99">
        <f t="shared" si="778"/>
        <v>0</v>
      </c>
      <c r="K1341" s="116"/>
      <c r="L1341" s="35">
        <f t="shared" si="790"/>
        <v>0</v>
      </c>
      <c r="M1341" s="34">
        <f t="shared" si="790"/>
        <v>0</v>
      </c>
      <c r="N1341" s="34">
        <f t="shared" si="790"/>
        <v>0</v>
      </c>
      <c r="O1341" s="34">
        <f t="shared" si="790"/>
        <v>0</v>
      </c>
      <c r="P1341" s="269">
        <f t="shared" si="790"/>
        <v>0</v>
      </c>
      <c r="Q1341" s="279">
        <f>SUM(L1341:P1341)</f>
        <v>0</v>
      </c>
      <c r="R1341" s="180"/>
      <c r="S1341" s="181"/>
      <c r="T1341" s="50"/>
    </row>
    <row r="1342" spans="1:20" x14ac:dyDescent="0.2">
      <c r="A1342" s="20" t="s">
        <v>1247</v>
      </c>
      <c r="B1342" s="46"/>
      <c r="C1342" s="51"/>
      <c r="D1342" s="21"/>
      <c r="E1342" s="96"/>
      <c r="F1342" s="100"/>
      <c r="G1342" s="100"/>
      <c r="H1342" s="100"/>
      <c r="I1342" s="100"/>
      <c r="J1342" s="101">
        <f t="shared" si="778"/>
        <v>0</v>
      </c>
      <c r="K1342" s="115"/>
      <c r="L1342" s="161">
        <f t="shared" ref="L1342:Q1342" si="791">SUM(L1343:L1345)</f>
        <v>13100</v>
      </c>
      <c r="M1342" s="34">
        <f t="shared" si="791"/>
        <v>0</v>
      </c>
      <c r="N1342" s="34">
        <f t="shared" si="791"/>
        <v>0</v>
      </c>
      <c r="O1342" s="34">
        <f t="shared" si="791"/>
        <v>0</v>
      </c>
      <c r="P1342" s="269">
        <f t="shared" si="791"/>
        <v>0</v>
      </c>
      <c r="Q1342" s="279">
        <f t="shared" si="791"/>
        <v>13100</v>
      </c>
      <c r="R1342" s="182" t="s">
        <v>1415</v>
      </c>
      <c r="S1342" s="183" t="s">
        <v>665</v>
      </c>
      <c r="T1342" s="51"/>
    </row>
    <row r="1343" spans="1:20" x14ac:dyDescent="0.2">
      <c r="A1343" s="95">
        <v>2</v>
      </c>
      <c r="B1343" s="108" t="str">
        <f>IF(A1343&lt;&gt;0,INDEX(Coûts,'PA-Détails'!A1343, 2),)</f>
        <v>Assistance technique nationale (consultants)</v>
      </c>
      <c r="C1343" s="51"/>
      <c r="D1343" s="94" t="str">
        <f>IF(A1343&lt;&gt;0,INDEX(Coûts, 'PA-Détails'!A1343, 5),)</f>
        <v>Pers / j</v>
      </c>
      <c r="E1343" s="96">
        <v>20</v>
      </c>
      <c r="F1343" s="100"/>
      <c r="G1343" s="100"/>
      <c r="H1343" s="100"/>
      <c r="I1343" s="100"/>
      <c r="J1343" s="101">
        <f t="shared" si="778"/>
        <v>20</v>
      </c>
      <c r="K1343" s="115">
        <f>IF(A1343&lt;&gt;0,INDEX(Coûts, 'PA-Détails'!A1343, 3),)</f>
        <v>300</v>
      </c>
      <c r="L1343" s="37">
        <f t="shared" ref="L1343:P1345" si="792">ROUND(+$K1343*E1343,0)</f>
        <v>6000</v>
      </c>
      <c r="M1343" s="36">
        <f t="shared" si="792"/>
        <v>0</v>
      </c>
      <c r="N1343" s="36">
        <f t="shared" si="792"/>
        <v>0</v>
      </c>
      <c r="O1343" s="36">
        <f t="shared" si="792"/>
        <v>0</v>
      </c>
      <c r="P1343" s="268">
        <f t="shared" si="792"/>
        <v>0</v>
      </c>
      <c r="Q1343" s="281">
        <f>SUM(L1343:P1343)</f>
        <v>6000</v>
      </c>
      <c r="R1343" s="39"/>
      <c r="S1343" s="115"/>
      <c r="T1343" s="51"/>
    </row>
    <row r="1344" spans="1:20" x14ac:dyDescent="0.2">
      <c r="A1344" s="95">
        <v>11</v>
      </c>
      <c r="B1344" s="108" t="str">
        <f>IF(A1344&lt;&gt;0,INDEX(Coûts,'PA-Détails'!A1344, 2),)</f>
        <v>Atelier technique</v>
      </c>
      <c r="C1344" s="51"/>
      <c r="D1344" s="94" t="str">
        <f>IF(A1344&lt;&gt;0,INDEX(Coûts, 'PA-Détails'!A1344, 5),)</f>
        <v>Pers / j</v>
      </c>
      <c r="E1344" s="96">
        <v>30</v>
      </c>
      <c r="F1344" s="100"/>
      <c r="G1344" s="100"/>
      <c r="H1344" s="100"/>
      <c r="I1344" s="100"/>
      <c r="J1344" s="101">
        <f t="shared" si="778"/>
        <v>30</v>
      </c>
      <c r="K1344" s="115">
        <f>IF(A1344&lt;&gt;0,INDEX(Coûts, 'PA-Détails'!A1344, 3),)</f>
        <v>70</v>
      </c>
      <c r="L1344" s="37">
        <f t="shared" si="792"/>
        <v>2100</v>
      </c>
      <c r="M1344" s="36">
        <f t="shared" si="792"/>
        <v>0</v>
      </c>
      <c r="N1344" s="36">
        <f t="shared" si="792"/>
        <v>0</v>
      </c>
      <c r="O1344" s="36">
        <f t="shared" si="792"/>
        <v>0</v>
      </c>
      <c r="P1344" s="268">
        <f t="shared" si="792"/>
        <v>0</v>
      </c>
      <c r="Q1344" s="281">
        <f>SUM(L1344:P1344)</f>
        <v>2100</v>
      </c>
      <c r="R1344" s="39"/>
      <c r="S1344" s="115"/>
      <c r="T1344" s="51"/>
    </row>
    <row r="1345" spans="1:26" x14ac:dyDescent="0.2">
      <c r="A1345" s="95">
        <v>5</v>
      </c>
      <c r="B1345" s="108" t="str">
        <f>IF(A1345&lt;&gt;0,INDEX(Coûts,'PA-Détails'!A1345, 2),)</f>
        <v>Atelier de validation</v>
      </c>
      <c r="C1345" s="51"/>
      <c r="D1345" s="94" t="str">
        <f>IF(A1345&lt;&gt;0,INDEX(Coûts, 'PA-Détails'!A1345, 5),)</f>
        <v>Pers / j</v>
      </c>
      <c r="E1345" s="96">
        <v>100</v>
      </c>
      <c r="F1345" s="100"/>
      <c r="G1345" s="100"/>
      <c r="H1345" s="100"/>
      <c r="I1345" s="100"/>
      <c r="J1345" s="101">
        <f t="shared" ref="J1345:J1348" si="793">SUM(E1345:I1345)</f>
        <v>100</v>
      </c>
      <c r="K1345" s="115">
        <f>IF(A1345&lt;&gt;0,INDEX(Coûts, 'PA-Détails'!A1345, 3),)</f>
        <v>50</v>
      </c>
      <c r="L1345" s="37">
        <f t="shared" si="792"/>
        <v>5000</v>
      </c>
      <c r="M1345" s="36">
        <f t="shared" si="792"/>
        <v>0</v>
      </c>
      <c r="N1345" s="36">
        <f t="shared" si="792"/>
        <v>0</v>
      </c>
      <c r="O1345" s="36">
        <f t="shared" si="792"/>
        <v>0</v>
      </c>
      <c r="P1345" s="268">
        <f t="shared" si="792"/>
        <v>0</v>
      </c>
      <c r="Q1345" s="281">
        <f>SUM(L1345:P1345)</f>
        <v>5000</v>
      </c>
      <c r="R1345" s="39"/>
      <c r="S1345" s="115"/>
      <c r="T1345" s="51"/>
    </row>
    <row r="1346" spans="1:26" x14ac:dyDescent="0.2">
      <c r="A1346" s="20" t="s">
        <v>1248</v>
      </c>
      <c r="B1346" s="46"/>
      <c r="C1346" s="51"/>
      <c r="D1346" s="21"/>
      <c r="E1346" s="96"/>
      <c r="F1346" s="100"/>
      <c r="G1346" s="100"/>
      <c r="H1346" s="100"/>
      <c r="I1346" s="100"/>
      <c r="J1346" s="101">
        <f t="shared" si="793"/>
        <v>0</v>
      </c>
      <c r="K1346" s="115"/>
      <c r="L1346" s="161">
        <f t="shared" ref="L1346:Q1346" si="794">SUM(L1347:L1347)</f>
        <v>0</v>
      </c>
      <c r="M1346" s="157">
        <f t="shared" si="794"/>
        <v>10000</v>
      </c>
      <c r="N1346" s="157">
        <f t="shared" si="794"/>
        <v>10000</v>
      </c>
      <c r="O1346" s="157">
        <f t="shared" si="794"/>
        <v>10000</v>
      </c>
      <c r="P1346" s="270">
        <f t="shared" si="794"/>
        <v>10000</v>
      </c>
      <c r="Q1346" s="284">
        <f t="shared" si="794"/>
        <v>40000</v>
      </c>
      <c r="R1346" s="182" t="s">
        <v>1415</v>
      </c>
      <c r="S1346" s="183" t="s">
        <v>665</v>
      </c>
      <c r="T1346" s="51"/>
    </row>
    <row r="1347" spans="1:26" x14ac:dyDescent="0.2">
      <c r="A1347" s="95">
        <v>251</v>
      </c>
      <c r="B1347" s="108" t="str">
        <f>IF(A1347&lt;&gt;0,INDEX(Coûts,'PA-Détails'!A1347, 2),)</f>
        <v xml:space="preserve">Frais de fonctionnement d'un comité scientifique/cadre de coordination </v>
      </c>
      <c r="C1347" s="51"/>
      <c r="D1347" s="94" t="str">
        <f>IF(A1347&lt;&gt;0,INDEX(Coûts, 'PA-Détails'!A1347, 5),)</f>
        <v>Forfait</v>
      </c>
      <c r="E1347" s="96"/>
      <c r="F1347" s="100">
        <v>1</v>
      </c>
      <c r="G1347" s="100">
        <v>1</v>
      </c>
      <c r="H1347" s="100">
        <v>1</v>
      </c>
      <c r="I1347" s="100">
        <v>1</v>
      </c>
      <c r="J1347" s="101">
        <f t="shared" si="793"/>
        <v>4</v>
      </c>
      <c r="K1347" s="115">
        <f>IF(A1347&lt;&gt;0,INDEX(Coûts, 'PA-Détails'!A1347, 3),)</f>
        <v>10000</v>
      </c>
      <c r="L1347" s="37">
        <f t="shared" ref="L1347:P1348" si="795">ROUND(+$K1347*E1347,0)</f>
        <v>0</v>
      </c>
      <c r="M1347" s="36">
        <f t="shared" si="795"/>
        <v>10000</v>
      </c>
      <c r="N1347" s="36">
        <f t="shared" si="795"/>
        <v>10000</v>
      </c>
      <c r="O1347" s="36">
        <f t="shared" si="795"/>
        <v>10000</v>
      </c>
      <c r="P1347" s="268">
        <f t="shared" si="795"/>
        <v>10000</v>
      </c>
      <c r="Q1347" s="281">
        <f>SUM(L1347:P1347)</f>
        <v>40000</v>
      </c>
      <c r="R1347" s="39"/>
      <c r="S1347" s="115"/>
      <c r="T1347" s="51"/>
    </row>
    <row r="1348" spans="1:26" s="162" customFormat="1" x14ac:dyDescent="0.2">
      <c r="A1348" s="122" t="s">
        <v>1249</v>
      </c>
      <c r="B1348" s="152"/>
      <c r="C1348" s="153" t="s">
        <v>1130</v>
      </c>
      <c r="D1348" s="155"/>
      <c r="E1348" s="97"/>
      <c r="F1348" s="98"/>
      <c r="G1348" s="98"/>
      <c r="H1348" s="98"/>
      <c r="I1348" s="98"/>
      <c r="J1348" s="99">
        <f t="shared" si="793"/>
        <v>0</v>
      </c>
      <c r="K1348" s="208"/>
      <c r="L1348" s="161">
        <f t="shared" si="795"/>
        <v>0</v>
      </c>
      <c r="M1348" s="157">
        <f t="shared" si="795"/>
        <v>0</v>
      </c>
      <c r="N1348" s="157">
        <f t="shared" si="795"/>
        <v>0</v>
      </c>
      <c r="O1348" s="157">
        <f t="shared" si="795"/>
        <v>0</v>
      </c>
      <c r="P1348" s="270">
        <f t="shared" si="795"/>
        <v>0</v>
      </c>
      <c r="Q1348" s="284">
        <f>SUM(L1348:P1348)</f>
        <v>0</v>
      </c>
      <c r="R1348" s="200"/>
      <c r="S1348" s="201"/>
      <c r="T1348" s="154"/>
      <c r="U1348" s="653"/>
      <c r="V1348" s="572"/>
      <c r="W1348" s="572"/>
      <c r="X1348" s="572"/>
      <c r="Y1348" s="572"/>
      <c r="Z1348" s="572"/>
    </row>
    <row r="1349" spans="1:26" s="162" customFormat="1" x14ac:dyDescent="0.2">
      <c r="A1349" s="123" t="s">
        <v>1250</v>
      </c>
      <c r="B1349" s="152"/>
      <c r="C1349" s="153"/>
      <c r="D1349" s="155"/>
      <c r="E1349" s="97"/>
      <c r="F1349" s="98"/>
      <c r="G1349" s="98"/>
      <c r="H1349" s="98"/>
      <c r="I1349" s="98"/>
      <c r="J1349" s="99"/>
      <c r="K1349" s="208"/>
      <c r="L1349" s="161">
        <f t="shared" ref="L1349:Q1349" si="796">SUM(L1350:L1353)</f>
        <v>54500</v>
      </c>
      <c r="M1349" s="34">
        <f t="shared" si="796"/>
        <v>35000</v>
      </c>
      <c r="N1349" s="34">
        <f t="shared" si="796"/>
        <v>35000</v>
      </c>
      <c r="O1349" s="34">
        <f t="shared" si="796"/>
        <v>35000</v>
      </c>
      <c r="P1349" s="269">
        <f t="shared" si="796"/>
        <v>0</v>
      </c>
      <c r="Q1349" s="279">
        <f t="shared" si="796"/>
        <v>159500</v>
      </c>
      <c r="R1349" s="39" t="s">
        <v>1415</v>
      </c>
      <c r="S1349" s="115" t="s">
        <v>665</v>
      </c>
      <c r="T1349" s="154"/>
      <c r="U1349" s="653"/>
      <c r="V1349" s="572"/>
      <c r="W1349" s="572"/>
      <c r="X1349" s="572"/>
      <c r="Y1349" s="572"/>
      <c r="Z1349" s="572"/>
    </row>
    <row r="1350" spans="1:26" x14ac:dyDescent="0.2">
      <c r="A1350" s="95">
        <v>1</v>
      </c>
      <c r="B1350" s="108" t="str">
        <f>IF(A1350&lt;&gt;0,INDEX(Coûts,'PA-Détails'!A1350, 2),)</f>
        <v>Assistance technique internationale (consultants)</v>
      </c>
      <c r="C1350" s="51"/>
      <c r="D1350" s="94" t="str">
        <f>IF(A1350&lt;&gt;0,INDEX(Coûts, 'PA-Détails'!A1350, 5),)</f>
        <v>Pers / j</v>
      </c>
      <c r="E1350" s="96">
        <v>30</v>
      </c>
      <c r="F1350" s="100"/>
      <c r="G1350" s="100"/>
      <c r="H1350" s="100"/>
      <c r="I1350" s="100"/>
      <c r="J1350" s="101">
        <f t="shared" ref="J1350:J1385" si="797">SUM(E1350:I1350)</f>
        <v>30</v>
      </c>
      <c r="K1350" s="115">
        <f>IF(A1350&lt;&gt;0,INDEX(Coûts, 'PA-Détails'!A1350, 3),)</f>
        <v>1150</v>
      </c>
      <c r="L1350" s="37">
        <f t="shared" ref="L1350:P1353" si="798">ROUND(+$K1350*E1350,0)</f>
        <v>34500</v>
      </c>
      <c r="M1350" s="36">
        <f t="shared" si="798"/>
        <v>0</v>
      </c>
      <c r="N1350" s="36">
        <f t="shared" si="798"/>
        <v>0</v>
      </c>
      <c r="O1350" s="36">
        <f t="shared" si="798"/>
        <v>0</v>
      </c>
      <c r="P1350" s="268">
        <f t="shared" si="798"/>
        <v>0</v>
      </c>
      <c r="Q1350" s="281">
        <f>SUM(L1350:P1350)</f>
        <v>34500</v>
      </c>
      <c r="R1350" s="39"/>
      <c r="S1350" s="115"/>
      <c r="T1350" s="51"/>
    </row>
    <row r="1351" spans="1:26" x14ac:dyDescent="0.2">
      <c r="A1351" s="95">
        <v>2</v>
      </c>
      <c r="B1351" s="108" t="str">
        <f>IF(A1351&lt;&gt;0,INDEX(Coûts,'PA-Détails'!A1351, 2),)</f>
        <v>Assistance technique nationale (consultants)</v>
      </c>
      <c r="C1351" s="51"/>
      <c r="D1351" s="94" t="str">
        <f>IF(A1351&lt;&gt;0,INDEX(Coûts, 'PA-Détails'!A1351, 5),)</f>
        <v>Pers / j</v>
      </c>
      <c r="E1351" s="96">
        <v>50</v>
      </c>
      <c r="F1351" s="100"/>
      <c r="G1351" s="100"/>
      <c r="H1351" s="100"/>
      <c r="I1351" s="100"/>
      <c r="J1351" s="101">
        <f t="shared" si="797"/>
        <v>50</v>
      </c>
      <c r="K1351" s="115">
        <f>IF(A1351&lt;&gt;0,INDEX(Coûts, 'PA-Détails'!A1351, 3),)</f>
        <v>300</v>
      </c>
      <c r="L1351" s="37">
        <f t="shared" si="798"/>
        <v>15000</v>
      </c>
      <c r="M1351" s="36">
        <f t="shared" si="798"/>
        <v>0</v>
      </c>
      <c r="N1351" s="36">
        <f t="shared" si="798"/>
        <v>0</v>
      </c>
      <c r="O1351" s="36">
        <f t="shared" si="798"/>
        <v>0</v>
      </c>
      <c r="P1351" s="268">
        <f t="shared" si="798"/>
        <v>0</v>
      </c>
      <c r="Q1351" s="281">
        <f>SUM(L1351:P1351)</f>
        <v>15000</v>
      </c>
      <c r="R1351" s="39"/>
      <c r="S1351" s="115"/>
      <c r="T1351" s="51"/>
    </row>
    <row r="1352" spans="1:26" x14ac:dyDescent="0.2">
      <c r="A1352" s="95">
        <v>5</v>
      </c>
      <c r="B1352" s="108" t="str">
        <f>IF(A1352&lt;&gt;0,INDEX(Coûts,'PA-Détails'!A1352, 2),)</f>
        <v>Atelier de validation</v>
      </c>
      <c r="C1352" s="51"/>
      <c r="D1352" s="94" t="str">
        <f>IF(A1352&lt;&gt;0,INDEX(Coûts, 'PA-Détails'!A1352, 5),)</f>
        <v>Pers / j</v>
      </c>
      <c r="E1352" s="96">
        <v>100</v>
      </c>
      <c r="F1352" s="100"/>
      <c r="G1352" s="100"/>
      <c r="H1352" s="100"/>
      <c r="I1352" s="100"/>
      <c r="J1352" s="101">
        <f t="shared" si="797"/>
        <v>100</v>
      </c>
      <c r="K1352" s="115">
        <f>IF(A1352&lt;&gt;0,INDEX(Coûts, 'PA-Détails'!A1352, 3),)</f>
        <v>50</v>
      </c>
      <c r="L1352" s="37">
        <f t="shared" si="798"/>
        <v>5000</v>
      </c>
      <c r="M1352" s="36">
        <f t="shared" si="798"/>
        <v>0</v>
      </c>
      <c r="N1352" s="36">
        <f t="shared" si="798"/>
        <v>0</v>
      </c>
      <c r="O1352" s="36">
        <f t="shared" si="798"/>
        <v>0</v>
      </c>
      <c r="P1352" s="268">
        <f t="shared" si="798"/>
        <v>0</v>
      </c>
      <c r="Q1352" s="281">
        <f>SUM(L1352:P1352)</f>
        <v>5000</v>
      </c>
      <c r="R1352" s="39"/>
      <c r="S1352" s="115"/>
      <c r="T1352" s="51"/>
    </row>
    <row r="1353" spans="1:26" x14ac:dyDescent="0.2">
      <c r="A1353" s="95">
        <v>11</v>
      </c>
      <c r="B1353" s="108" t="str">
        <f>IF(A1353&lt;&gt;0,INDEX(Coûts,'PA-Détails'!A1353, 2),)</f>
        <v>Atelier technique</v>
      </c>
      <c r="C1353" s="51"/>
      <c r="D1353" s="94" t="str">
        <f>IF(A1353&lt;&gt;0,INDEX(Coûts, 'PA-Détails'!A1353, 5),)</f>
        <v>Pers / j</v>
      </c>
      <c r="E1353" s="96"/>
      <c r="F1353" s="100">
        <v>500</v>
      </c>
      <c r="G1353" s="100">
        <v>500</v>
      </c>
      <c r="H1353" s="100">
        <v>500</v>
      </c>
      <c r="I1353" s="100"/>
      <c r="J1353" s="101">
        <f t="shared" si="797"/>
        <v>1500</v>
      </c>
      <c r="K1353" s="115">
        <f>IF(A1353&lt;&gt;0,INDEX(Coûts, 'PA-Détails'!A1353, 3),)</f>
        <v>70</v>
      </c>
      <c r="L1353" s="37">
        <f t="shared" si="798"/>
        <v>0</v>
      </c>
      <c r="M1353" s="36">
        <f t="shared" si="798"/>
        <v>35000</v>
      </c>
      <c r="N1353" s="36">
        <f t="shared" si="798"/>
        <v>35000</v>
      </c>
      <c r="O1353" s="36">
        <f t="shared" si="798"/>
        <v>35000</v>
      </c>
      <c r="P1353" s="268">
        <f t="shared" si="798"/>
        <v>0</v>
      </c>
      <c r="Q1353" s="281">
        <f>SUM(L1353:P1353)</f>
        <v>105000</v>
      </c>
      <c r="R1353" s="39"/>
      <c r="S1353" s="115"/>
      <c r="T1353" s="51"/>
    </row>
    <row r="1354" spans="1:26" s="162" customFormat="1" x14ac:dyDescent="0.2">
      <c r="A1354" s="123" t="s">
        <v>1251</v>
      </c>
      <c r="B1354" s="152"/>
      <c r="C1354" s="153" t="s">
        <v>1130</v>
      </c>
      <c r="D1354" s="155"/>
      <c r="E1354" s="97"/>
      <c r="F1354" s="98"/>
      <c r="G1354" s="98"/>
      <c r="H1354" s="98"/>
      <c r="I1354" s="98"/>
      <c r="J1354" s="99">
        <f t="shared" si="797"/>
        <v>0</v>
      </c>
      <c r="K1354" s="208"/>
      <c r="L1354" s="161">
        <f t="shared" ref="L1354:Q1354" si="799">SUM(L1355:L1357)</f>
        <v>38000</v>
      </c>
      <c r="M1354" s="34">
        <f t="shared" si="799"/>
        <v>0</v>
      </c>
      <c r="N1354" s="34">
        <f t="shared" si="799"/>
        <v>0</v>
      </c>
      <c r="O1354" s="34">
        <f t="shared" si="799"/>
        <v>0</v>
      </c>
      <c r="P1354" s="269">
        <f t="shared" si="799"/>
        <v>0</v>
      </c>
      <c r="Q1354" s="279">
        <f t="shared" si="799"/>
        <v>38000</v>
      </c>
      <c r="R1354" s="39" t="s">
        <v>1415</v>
      </c>
      <c r="S1354" s="115" t="s">
        <v>665</v>
      </c>
      <c r="T1354" s="154"/>
      <c r="U1354" s="653"/>
      <c r="V1354" s="572"/>
      <c r="W1354" s="572"/>
      <c r="X1354" s="572"/>
      <c r="Y1354" s="572"/>
      <c r="Z1354" s="572"/>
    </row>
    <row r="1355" spans="1:26" x14ac:dyDescent="0.2">
      <c r="A1355" s="95">
        <v>1</v>
      </c>
      <c r="B1355" s="108" t="str">
        <f>IF(A1355&lt;&gt;0,INDEX(Coûts,'PA-Détails'!A1355, 2),)</f>
        <v>Assistance technique internationale (consultants)</v>
      </c>
      <c r="C1355" s="51"/>
      <c r="D1355" s="94" t="str">
        <f>IF(A1355&lt;&gt;0,INDEX(Coûts, 'PA-Détails'!A1355, 5),)</f>
        <v>Pers / j</v>
      </c>
      <c r="E1355" s="96">
        <v>20</v>
      </c>
      <c r="F1355" s="100"/>
      <c r="G1355" s="100"/>
      <c r="H1355" s="100"/>
      <c r="I1355" s="100"/>
      <c r="J1355" s="101">
        <f t="shared" si="797"/>
        <v>20</v>
      </c>
      <c r="K1355" s="115">
        <f>IF(A1355&lt;&gt;0,INDEX(Coûts, 'PA-Détails'!A1355, 3),)</f>
        <v>1150</v>
      </c>
      <c r="L1355" s="37">
        <f t="shared" ref="L1355:P1365" si="800">ROUND(+$K1355*E1355,0)</f>
        <v>23000</v>
      </c>
      <c r="M1355" s="36">
        <f t="shared" si="800"/>
        <v>0</v>
      </c>
      <c r="N1355" s="36">
        <f t="shared" si="800"/>
        <v>0</v>
      </c>
      <c r="O1355" s="36">
        <f t="shared" si="800"/>
        <v>0</v>
      </c>
      <c r="P1355" s="268">
        <f t="shared" si="800"/>
        <v>0</v>
      </c>
      <c r="Q1355" s="281">
        <f>SUM(L1355:P1355)</f>
        <v>23000</v>
      </c>
      <c r="R1355" s="39"/>
      <c r="S1355" s="115"/>
      <c r="T1355" s="51"/>
    </row>
    <row r="1356" spans="1:26" x14ac:dyDescent="0.2">
      <c r="A1356" s="95">
        <v>2</v>
      </c>
      <c r="B1356" s="108" t="str">
        <f>IF(A1356&lt;&gt;0,INDEX(Coûts,'PA-Détails'!A1356, 2),)</f>
        <v>Assistance technique nationale (consultants)</v>
      </c>
      <c r="C1356" s="51"/>
      <c r="D1356" s="94" t="str">
        <f>IF(A1356&lt;&gt;0,INDEX(Coûts, 'PA-Détails'!A1356, 5),)</f>
        <v>Pers / j</v>
      </c>
      <c r="E1356" s="96">
        <v>25</v>
      </c>
      <c r="F1356" s="100"/>
      <c r="G1356" s="100"/>
      <c r="H1356" s="100"/>
      <c r="I1356" s="100"/>
      <c r="J1356" s="101">
        <f t="shared" si="797"/>
        <v>25</v>
      </c>
      <c r="K1356" s="115">
        <f>IF(A1356&lt;&gt;0,INDEX(Coûts, 'PA-Détails'!A1356, 3),)</f>
        <v>300</v>
      </c>
      <c r="L1356" s="37">
        <f t="shared" si="800"/>
        <v>7500</v>
      </c>
      <c r="M1356" s="36">
        <f t="shared" si="800"/>
        <v>0</v>
      </c>
      <c r="N1356" s="36">
        <f t="shared" si="800"/>
        <v>0</v>
      </c>
      <c r="O1356" s="36">
        <f t="shared" si="800"/>
        <v>0</v>
      </c>
      <c r="P1356" s="268">
        <f t="shared" si="800"/>
        <v>0</v>
      </c>
      <c r="Q1356" s="281">
        <f>SUM(L1356:P1356)</f>
        <v>7500</v>
      </c>
      <c r="R1356" s="39"/>
      <c r="S1356" s="115"/>
      <c r="T1356" s="51"/>
    </row>
    <row r="1357" spans="1:26" x14ac:dyDescent="0.2">
      <c r="A1357" s="95">
        <v>5</v>
      </c>
      <c r="B1357" s="108" t="str">
        <f>IF(A1357&lt;&gt;0,INDEX(Coûts,'PA-Détails'!A1357, 2),)</f>
        <v>Atelier de validation</v>
      </c>
      <c r="C1357" s="51"/>
      <c r="D1357" s="94" t="str">
        <f>IF(A1357&lt;&gt;0,INDEX(Coûts, 'PA-Détails'!A1357, 5),)</f>
        <v>Pers / j</v>
      </c>
      <c r="E1357" s="96">
        <v>150</v>
      </c>
      <c r="F1357" s="100"/>
      <c r="G1357" s="100"/>
      <c r="H1357" s="100"/>
      <c r="I1357" s="100"/>
      <c r="J1357" s="101">
        <f t="shared" si="797"/>
        <v>150</v>
      </c>
      <c r="K1357" s="115">
        <f>IF(A1357&lt;&gt;0,INDEX(Coûts, 'PA-Détails'!A1357, 3),)</f>
        <v>50</v>
      </c>
      <c r="L1357" s="37">
        <f t="shared" si="800"/>
        <v>7500</v>
      </c>
      <c r="M1357" s="36">
        <f t="shared" si="800"/>
        <v>0</v>
      </c>
      <c r="N1357" s="36">
        <f t="shared" si="800"/>
        <v>0</v>
      </c>
      <c r="O1357" s="36">
        <f t="shared" si="800"/>
        <v>0</v>
      </c>
      <c r="P1357" s="268">
        <f t="shared" si="800"/>
        <v>0</v>
      </c>
      <c r="Q1357" s="281">
        <f>SUM(L1357:P1357)</f>
        <v>7500</v>
      </c>
      <c r="R1357" s="39"/>
      <c r="S1357" s="115"/>
      <c r="T1357" s="51"/>
    </row>
    <row r="1358" spans="1:26" x14ac:dyDescent="0.2">
      <c r="A1358" s="17" t="s">
        <v>1252</v>
      </c>
      <c r="B1358" s="45"/>
      <c r="C1358" s="329" t="s">
        <v>820</v>
      </c>
      <c r="D1358" s="18"/>
      <c r="E1358" s="97"/>
      <c r="F1358" s="98"/>
      <c r="G1358" s="98"/>
      <c r="H1358" s="98"/>
      <c r="I1358" s="98"/>
      <c r="J1358" s="99">
        <f t="shared" ref="J1358:J1360" si="801">SUM(E1358:I1358)</f>
        <v>0</v>
      </c>
      <c r="K1358" s="116"/>
      <c r="L1358" s="35">
        <f t="shared" si="800"/>
        <v>0</v>
      </c>
      <c r="M1358" s="34">
        <f t="shared" si="800"/>
        <v>0</v>
      </c>
      <c r="N1358" s="34">
        <f t="shared" si="800"/>
        <v>0</v>
      </c>
      <c r="O1358" s="34">
        <f t="shared" si="800"/>
        <v>0</v>
      </c>
      <c r="P1358" s="269">
        <f t="shared" si="800"/>
        <v>0</v>
      </c>
      <c r="Q1358" s="279">
        <f>SUM(L1358:P1358)</f>
        <v>0</v>
      </c>
      <c r="R1358" s="180"/>
      <c r="S1358" s="181"/>
      <c r="T1358" s="50"/>
    </row>
    <row r="1359" spans="1:26" x14ac:dyDescent="0.2">
      <c r="A1359" s="20" t="s">
        <v>1253</v>
      </c>
      <c r="B1359" s="46"/>
      <c r="C1359" s="51"/>
      <c r="D1359" s="21"/>
      <c r="E1359" s="96"/>
      <c r="F1359" s="100"/>
      <c r="G1359" s="100"/>
      <c r="H1359" s="100"/>
      <c r="I1359" s="100"/>
      <c r="J1359" s="101">
        <f t="shared" si="801"/>
        <v>0</v>
      </c>
      <c r="K1359" s="115"/>
      <c r="L1359" s="161">
        <f t="shared" ref="L1359:Q1359" si="802">SUM(L1360:L1363)</f>
        <v>39250</v>
      </c>
      <c r="M1359" s="157">
        <f t="shared" si="802"/>
        <v>0</v>
      </c>
      <c r="N1359" s="157">
        <f t="shared" si="802"/>
        <v>0</v>
      </c>
      <c r="O1359" s="157">
        <f t="shared" si="802"/>
        <v>0</v>
      </c>
      <c r="P1359" s="270">
        <f t="shared" si="802"/>
        <v>0</v>
      </c>
      <c r="Q1359" s="282">
        <f t="shared" si="802"/>
        <v>39250</v>
      </c>
      <c r="R1359" s="169" t="s">
        <v>1415</v>
      </c>
      <c r="S1359" s="183" t="s">
        <v>665</v>
      </c>
      <c r="T1359" s="51"/>
    </row>
    <row r="1360" spans="1:26" x14ac:dyDescent="0.2">
      <c r="A1360" s="95">
        <v>2</v>
      </c>
      <c r="B1360" s="108" t="str">
        <f>IF(A1360&lt;&gt;0,INDEX(Coûts,'PA-Détails'!A1360, 2),)</f>
        <v>Assistance technique nationale (consultants)</v>
      </c>
      <c r="C1360" s="51"/>
      <c r="D1360" s="94" t="str">
        <f>IF(A1360&lt;&gt;0,INDEX(Coûts, 'PA-Détails'!A1360, 5),)</f>
        <v>Pers / j</v>
      </c>
      <c r="E1360" s="96">
        <v>25</v>
      </c>
      <c r="F1360" s="100"/>
      <c r="G1360" s="100"/>
      <c r="H1360" s="100"/>
      <c r="I1360" s="100"/>
      <c r="J1360" s="101">
        <f t="shared" si="801"/>
        <v>25</v>
      </c>
      <c r="K1360" s="115">
        <f>IF(A1360&lt;&gt;0,INDEX(Coûts, 'PA-Détails'!A1360, 3),)</f>
        <v>300</v>
      </c>
      <c r="L1360" s="37">
        <f t="shared" ref="L1360:L1363" si="803">ROUND(+$K1360*E1360,0)</f>
        <v>7500</v>
      </c>
      <c r="M1360" s="36">
        <f t="shared" ref="M1360:M1363" si="804">ROUND(+$K1360*F1360,0)</f>
        <v>0</v>
      </c>
      <c r="N1360" s="36">
        <f t="shared" ref="N1360:N1363" si="805">ROUND(+$K1360*G1360,0)</f>
        <v>0</v>
      </c>
      <c r="O1360" s="36">
        <f t="shared" ref="O1360:O1363" si="806">ROUND(+$K1360*H1360,0)</f>
        <v>0</v>
      </c>
      <c r="P1360" s="268">
        <f t="shared" ref="P1360:P1363" si="807">ROUND(+$K1360*I1360,0)</f>
        <v>0</v>
      </c>
      <c r="Q1360" s="281">
        <f t="shared" ref="Q1360:Q1363" si="808">SUM(L1360:P1360)</f>
        <v>7500</v>
      </c>
      <c r="R1360" s="39"/>
      <c r="S1360" s="115"/>
      <c r="T1360" s="51"/>
    </row>
    <row r="1361" spans="1:26" s="193" customFormat="1" x14ac:dyDescent="0.2">
      <c r="A1361" s="204">
        <v>1</v>
      </c>
      <c r="B1361" s="163" t="str">
        <f>IF(A1361&lt;&gt;0,INDEX(Coûts,'PA-Détails'!A1361, 2),)</f>
        <v>Assistance technique internationale (consultants)</v>
      </c>
      <c r="C1361" s="194"/>
      <c r="D1361" s="94" t="str">
        <f>IF(A1361&lt;&gt;0,INDEX(Coûts, 'PA-Détails'!A1361, 5),)</f>
        <v>Pers / j</v>
      </c>
      <c r="E1361" s="168">
        <v>15</v>
      </c>
      <c r="F1361" s="168"/>
      <c r="G1361" s="168"/>
      <c r="H1361" s="168"/>
      <c r="I1361" s="162"/>
      <c r="J1361" s="165">
        <v>15</v>
      </c>
      <c r="K1361" s="94">
        <f>IF(A1361&lt;&gt;0,INDEX(Coûts, 'PA-Détails'!A1361, 3),)</f>
        <v>1150</v>
      </c>
      <c r="L1361" s="167">
        <f t="shared" si="803"/>
        <v>17250</v>
      </c>
      <c r="M1361" s="162">
        <f t="shared" si="804"/>
        <v>0</v>
      </c>
      <c r="N1361" s="168">
        <f t="shared" si="805"/>
        <v>0</v>
      </c>
      <c r="O1361" s="168">
        <f t="shared" si="806"/>
        <v>0</v>
      </c>
      <c r="P1361" s="271">
        <f t="shared" si="807"/>
        <v>0</v>
      </c>
      <c r="Q1361" s="283">
        <f t="shared" si="808"/>
        <v>17250</v>
      </c>
      <c r="S1361" s="94"/>
      <c r="T1361" s="194"/>
      <c r="U1361" s="653"/>
      <c r="V1361" s="572"/>
      <c r="W1361" s="572"/>
      <c r="X1361" s="572"/>
      <c r="Y1361" s="572"/>
      <c r="Z1361" s="572"/>
    </row>
    <row r="1362" spans="1:26" x14ac:dyDescent="0.2">
      <c r="A1362" s="95">
        <v>11</v>
      </c>
      <c r="B1362" s="108" t="str">
        <f>IF(A1362&lt;&gt;0,INDEX(Coûts,'PA-Détails'!A1362, 2),)</f>
        <v>Atelier technique</v>
      </c>
      <c r="C1362" s="51"/>
      <c r="D1362" s="94" t="str">
        <f>IF(A1362&lt;&gt;0,INDEX(Coûts, 'PA-Détails'!A1362, 5),)</f>
        <v>Pers / j</v>
      </c>
      <c r="E1362" s="333">
        <v>100</v>
      </c>
      <c r="F1362" s="189"/>
      <c r="G1362" s="189"/>
      <c r="H1362" s="189"/>
      <c r="I1362" s="189"/>
      <c r="J1362" s="101">
        <f>SUM(E1362:I1362)</f>
        <v>100</v>
      </c>
      <c r="K1362" s="115">
        <f>IF(A1362&lt;&gt;0,INDEX(Coûts, 'PA-Détails'!A1362, 3),)</f>
        <v>70</v>
      </c>
      <c r="L1362" s="37">
        <f t="shared" si="803"/>
        <v>7000</v>
      </c>
      <c r="M1362" s="36">
        <f t="shared" si="804"/>
        <v>0</v>
      </c>
      <c r="N1362" s="36">
        <f t="shared" si="805"/>
        <v>0</v>
      </c>
      <c r="O1362" s="36">
        <f t="shared" si="806"/>
        <v>0</v>
      </c>
      <c r="P1362" s="268">
        <f t="shared" si="807"/>
        <v>0</v>
      </c>
      <c r="Q1362" s="281">
        <f t="shared" si="808"/>
        <v>7000</v>
      </c>
      <c r="R1362" s="39"/>
      <c r="S1362" s="115"/>
      <c r="T1362" s="51"/>
    </row>
    <row r="1363" spans="1:26" x14ac:dyDescent="0.2">
      <c r="A1363" s="95">
        <v>5</v>
      </c>
      <c r="B1363" s="108" t="str">
        <f>IF(A1363&lt;&gt;0,INDEX(Coûts,'PA-Détails'!A1363, 2),)</f>
        <v>Atelier de validation</v>
      </c>
      <c r="C1363" s="51"/>
      <c r="D1363" s="94" t="str">
        <f>IF(A1363&lt;&gt;0,INDEX(Coûts, 'PA-Détails'!A1363, 5),)</f>
        <v>Pers / j</v>
      </c>
      <c r="E1363" s="333">
        <v>150</v>
      </c>
      <c r="F1363" s="189"/>
      <c r="G1363" s="189"/>
      <c r="H1363" s="189"/>
      <c r="I1363" s="189"/>
      <c r="J1363" s="101">
        <f>SUM(E1363:I1363)</f>
        <v>150</v>
      </c>
      <c r="K1363" s="115">
        <f>IF(A1363&lt;&gt;0,INDEX(Coûts, 'PA-Détails'!A1363, 3),)</f>
        <v>50</v>
      </c>
      <c r="L1363" s="37">
        <f t="shared" si="803"/>
        <v>7500</v>
      </c>
      <c r="M1363" s="36">
        <f t="shared" si="804"/>
        <v>0</v>
      </c>
      <c r="N1363" s="36">
        <f t="shared" si="805"/>
        <v>0</v>
      </c>
      <c r="O1363" s="36">
        <f t="shared" si="806"/>
        <v>0</v>
      </c>
      <c r="P1363" s="268">
        <f t="shared" si="807"/>
        <v>0</v>
      </c>
      <c r="Q1363" s="281">
        <f t="shared" si="808"/>
        <v>7500</v>
      </c>
      <c r="R1363" s="39"/>
      <c r="S1363" s="115"/>
      <c r="T1363" s="51"/>
    </row>
    <row r="1364" spans="1:26" x14ac:dyDescent="0.2">
      <c r="A1364" s="14" t="s">
        <v>1621</v>
      </c>
      <c r="B1364" s="44"/>
      <c r="C1364" s="112"/>
      <c r="D1364" s="15"/>
      <c r="E1364" s="102"/>
      <c r="F1364" s="103"/>
      <c r="G1364" s="103"/>
      <c r="H1364" s="103"/>
      <c r="I1364" s="103"/>
      <c r="J1364" s="104">
        <f t="shared" si="797"/>
        <v>0</v>
      </c>
      <c r="K1364" s="145"/>
      <c r="L1364" s="33">
        <f t="shared" si="800"/>
        <v>0</v>
      </c>
      <c r="M1364" s="32">
        <f t="shared" si="800"/>
        <v>0</v>
      </c>
      <c r="N1364" s="32">
        <f t="shared" si="800"/>
        <v>0</v>
      </c>
      <c r="O1364" s="32">
        <f t="shared" si="800"/>
        <v>0</v>
      </c>
      <c r="P1364" s="267">
        <f t="shared" si="800"/>
        <v>0</v>
      </c>
      <c r="Q1364" s="278">
        <f>SUM(L1364:P1364)</f>
        <v>0</v>
      </c>
      <c r="R1364" s="178"/>
      <c r="S1364" s="179"/>
      <c r="T1364" s="49">
        <v>3</v>
      </c>
    </row>
    <row r="1365" spans="1:26" x14ac:dyDescent="0.2">
      <c r="A1365" s="17" t="s">
        <v>1254</v>
      </c>
      <c r="B1365" s="45"/>
      <c r="C1365" s="329" t="s">
        <v>815</v>
      </c>
      <c r="D1365" s="18"/>
      <c r="E1365" s="97"/>
      <c r="F1365" s="98"/>
      <c r="G1365" s="98"/>
      <c r="H1365" s="98"/>
      <c r="I1365" s="98"/>
      <c r="J1365" s="99">
        <f t="shared" si="797"/>
        <v>0</v>
      </c>
      <c r="K1365" s="116"/>
      <c r="L1365" s="35">
        <f t="shared" si="800"/>
        <v>0</v>
      </c>
      <c r="M1365" s="34">
        <f t="shared" si="800"/>
        <v>0</v>
      </c>
      <c r="N1365" s="34">
        <f t="shared" si="800"/>
        <v>0</v>
      </c>
      <c r="O1365" s="34">
        <f t="shared" si="800"/>
        <v>0</v>
      </c>
      <c r="P1365" s="269">
        <f t="shared" si="800"/>
        <v>0</v>
      </c>
      <c r="Q1365" s="279">
        <f>SUM(L1365:P1365)</f>
        <v>0</v>
      </c>
      <c r="R1365" s="180"/>
      <c r="S1365" s="181"/>
      <c r="T1365" s="50"/>
    </row>
    <row r="1366" spans="1:26" x14ac:dyDescent="0.2">
      <c r="A1366" s="20" t="s">
        <v>1255</v>
      </c>
      <c r="B1366" s="46"/>
      <c r="C1366" s="51"/>
      <c r="D1366" s="21"/>
      <c r="E1366" s="96"/>
      <c r="F1366" s="100"/>
      <c r="G1366" s="100"/>
      <c r="H1366" s="100"/>
      <c r="I1366" s="100"/>
      <c r="J1366" s="101">
        <f t="shared" si="797"/>
        <v>0</v>
      </c>
      <c r="K1366" s="115"/>
      <c r="L1366" s="161">
        <f t="shared" ref="L1366:Q1366" si="809">SUM(L1367:L1368)</f>
        <v>8500</v>
      </c>
      <c r="M1366" s="157">
        <f t="shared" si="809"/>
        <v>0</v>
      </c>
      <c r="N1366" s="157">
        <f t="shared" si="809"/>
        <v>0</v>
      </c>
      <c r="O1366" s="157">
        <f t="shared" si="809"/>
        <v>0</v>
      </c>
      <c r="P1366" s="270">
        <f t="shared" si="809"/>
        <v>0</v>
      </c>
      <c r="Q1366" s="284">
        <f t="shared" si="809"/>
        <v>8500</v>
      </c>
      <c r="R1366" s="182" t="s">
        <v>1429</v>
      </c>
      <c r="S1366" s="183" t="s">
        <v>665</v>
      </c>
      <c r="T1366" s="51"/>
    </row>
    <row r="1367" spans="1:26" x14ac:dyDescent="0.2">
      <c r="A1367" s="95">
        <v>2</v>
      </c>
      <c r="B1367" s="108" t="str">
        <f>IF(A1367&lt;&gt;0,INDEX(Coûts,'PA-Détails'!A1367, 2),)</f>
        <v>Assistance technique nationale (consultants)</v>
      </c>
      <c r="C1367" s="51"/>
      <c r="D1367" s="94" t="str">
        <f>IF(A1367&lt;&gt;0,INDEX(Coûts, 'PA-Détails'!A1367, 5),)</f>
        <v>Pers / j</v>
      </c>
      <c r="E1367" s="96">
        <v>20</v>
      </c>
      <c r="F1367" s="100"/>
      <c r="G1367" s="100"/>
      <c r="H1367" s="100"/>
      <c r="I1367" s="100"/>
      <c r="J1367" s="101">
        <f t="shared" si="797"/>
        <v>20</v>
      </c>
      <c r="K1367" s="115">
        <f>IF(A1367&lt;&gt;0,INDEX(Coûts, 'PA-Détails'!A1367, 3),)</f>
        <v>300</v>
      </c>
      <c r="L1367" s="37">
        <f t="shared" ref="L1367:P1368" si="810">ROUND(+$K1367*E1367,0)</f>
        <v>6000</v>
      </c>
      <c r="M1367" s="36">
        <f t="shared" si="810"/>
        <v>0</v>
      </c>
      <c r="N1367" s="36">
        <f t="shared" si="810"/>
        <v>0</v>
      </c>
      <c r="O1367" s="36">
        <f t="shared" si="810"/>
        <v>0</v>
      </c>
      <c r="P1367" s="268">
        <f t="shared" si="810"/>
        <v>0</v>
      </c>
      <c r="Q1367" s="281">
        <f>SUM(L1367:P1367)</f>
        <v>6000</v>
      </c>
      <c r="R1367" s="39"/>
      <c r="S1367" s="115"/>
      <c r="T1367" s="51"/>
    </row>
    <row r="1368" spans="1:26" x14ac:dyDescent="0.2">
      <c r="A1368" s="95">
        <v>5</v>
      </c>
      <c r="B1368" s="108" t="str">
        <f>IF(A1368&lt;&gt;0,INDEX(Coûts,'PA-Détails'!A1368, 2),)</f>
        <v>Atelier de validation</v>
      </c>
      <c r="C1368" s="51"/>
      <c r="D1368" s="94" t="str">
        <f>IF(A1368&lt;&gt;0,INDEX(Coûts, 'PA-Détails'!A1368, 5),)</f>
        <v>Pers / j</v>
      </c>
      <c r="E1368" s="96">
        <v>50</v>
      </c>
      <c r="F1368" s="100"/>
      <c r="G1368" s="100"/>
      <c r="H1368" s="100"/>
      <c r="I1368" s="100"/>
      <c r="J1368" s="101">
        <f t="shared" si="797"/>
        <v>50</v>
      </c>
      <c r="K1368" s="115">
        <f>IF(A1368&lt;&gt;0,INDEX(Coûts, 'PA-Détails'!A1368, 3),)</f>
        <v>50</v>
      </c>
      <c r="L1368" s="37">
        <f t="shared" si="810"/>
        <v>2500</v>
      </c>
      <c r="M1368" s="36">
        <f t="shared" si="810"/>
        <v>0</v>
      </c>
      <c r="N1368" s="36">
        <f t="shared" si="810"/>
        <v>0</v>
      </c>
      <c r="O1368" s="36">
        <f t="shared" si="810"/>
        <v>0</v>
      </c>
      <c r="P1368" s="268">
        <f t="shared" si="810"/>
        <v>0</v>
      </c>
      <c r="Q1368" s="281">
        <f>SUM(L1368:P1368)</f>
        <v>2500</v>
      </c>
      <c r="R1368" s="39"/>
      <c r="S1368" s="115"/>
      <c r="T1368" s="51"/>
    </row>
    <row r="1369" spans="1:26" x14ac:dyDescent="0.2">
      <c r="A1369" s="20" t="s">
        <v>1256</v>
      </c>
      <c r="B1369" s="46"/>
      <c r="C1369" s="51"/>
      <c r="D1369" s="21"/>
      <c r="E1369" s="96"/>
      <c r="F1369" s="100"/>
      <c r="G1369" s="100"/>
      <c r="H1369" s="100"/>
      <c r="I1369" s="100"/>
      <c r="J1369" s="101">
        <f t="shared" si="797"/>
        <v>0</v>
      </c>
      <c r="K1369" s="115"/>
      <c r="L1369" s="161">
        <f t="shared" ref="L1369:Q1369" si="811">SUM(L1370:L1370)</f>
        <v>0</v>
      </c>
      <c r="M1369" s="157">
        <f t="shared" si="811"/>
        <v>55000</v>
      </c>
      <c r="N1369" s="157">
        <f t="shared" si="811"/>
        <v>0</v>
      </c>
      <c r="O1369" s="157">
        <f t="shared" si="811"/>
        <v>55000</v>
      </c>
      <c r="P1369" s="270">
        <f t="shared" si="811"/>
        <v>0</v>
      </c>
      <c r="Q1369" s="284">
        <f t="shared" si="811"/>
        <v>110000</v>
      </c>
      <c r="R1369" s="182" t="s">
        <v>1429</v>
      </c>
      <c r="S1369" s="183" t="s">
        <v>665</v>
      </c>
      <c r="T1369" s="51"/>
    </row>
    <row r="1370" spans="1:26" x14ac:dyDescent="0.2">
      <c r="A1370" s="95">
        <v>8</v>
      </c>
      <c r="B1370" s="108" t="str">
        <f>IF(A1370&lt;&gt;0,INDEX(Coûts,'PA-Détails'!A1370, 2),)</f>
        <v>Formation</v>
      </c>
      <c r="C1370" s="51"/>
      <c r="D1370" s="94" t="str">
        <f>IF(A1370&lt;&gt;0,INDEX(Coûts, 'PA-Détails'!A1370, 5),)</f>
        <v>Pers / j</v>
      </c>
      <c r="E1370" s="96"/>
      <c r="F1370" s="100">
        <v>500</v>
      </c>
      <c r="G1370" s="100"/>
      <c r="H1370" s="100">
        <v>500</v>
      </c>
      <c r="I1370" s="100"/>
      <c r="J1370" s="101">
        <f t="shared" si="797"/>
        <v>1000</v>
      </c>
      <c r="K1370" s="115">
        <f>IF(A1370&lt;&gt;0,INDEX(Coûts, 'PA-Détails'!A1370, 3),)</f>
        <v>110</v>
      </c>
      <c r="L1370" s="37">
        <f t="shared" ref="L1370:P1371" si="812">ROUND(+$K1370*E1370,0)</f>
        <v>0</v>
      </c>
      <c r="M1370" s="36">
        <f t="shared" si="812"/>
        <v>55000</v>
      </c>
      <c r="N1370" s="36">
        <f t="shared" si="812"/>
        <v>0</v>
      </c>
      <c r="O1370" s="36">
        <f t="shared" si="812"/>
        <v>55000</v>
      </c>
      <c r="P1370" s="268">
        <f t="shared" si="812"/>
        <v>0</v>
      </c>
      <c r="Q1370" s="281">
        <f>SUM(L1370:P1370)</f>
        <v>110000</v>
      </c>
      <c r="R1370" s="39"/>
      <c r="S1370" s="115"/>
      <c r="T1370" s="51"/>
    </row>
    <row r="1371" spans="1:26" x14ac:dyDescent="0.2">
      <c r="A1371" s="17" t="s">
        <v>1257</v>
      </c>
      <c r="B1371" s="45"/>
      <c r="C1371" s="51"/>
      <c r="D1371" s="18"/>
      <c r="E1371" s="96"/>
      <c r="F1371" s="100"/>
      <c r="G1371" s="100"/>
      <c r="H1371" s="100"/>
      <c r="I1371" s="100"/>
      <c r="J1371" s="101">
        <f t="shared" si="797"/>
        <v>0</v>
      </c>
      <c r="K1371" s="116"/>
      <c r="L1371" s="35">
        <f t="shared" si="812"/>
        <v>0</v>
      </c>
      <c r="M1371" s="34">
        <f t="shared" si="812"/>
        <v>0</v>
      </c>
      <c r="N1371" s="34">
        <f t="shared" si="812"/>
        <v>0</v>
      </c>
      <c r="O1371" s="34">
        <f t="shared" si="812"/>
        <v>0</v>
      </c>
      <c r="P1371" s="269">
        <f t="shared" si="812"/>
        <v>0</v>
      </c>
      <c r="Q1371" s="279">
        <f>SUM(L1371:P1371)</f>
        <v>0</v>
      </c>
      <c r="R1371" s="180"/>
      <c r="S1371" s="181"/>
      <c r="T1371" s="50"/>
    </row>
    <row r="1372" spans="1:26" x14ac:dyDescent="0.2">
      <c r="A1372" s="20" t="s">
        <v>1258</v>
      </c>
      <c r="B1372" s="46"/>
      <c r="C1372" s="329" t="s">
        <v>1131</v>
      </c>
      <c r="D1372" s="21"/>
      <c r="E1372" s="96"/>
      <c r="F1372" s="100"/>
      <c r="G1372" s="100"/>
      <c r="H1372" s="100"/>
      <c r="I1372" s="100"/>
      <c r="J1372" s="101">
        <f t="shared" si="797"/>
        <v>0</v>
      </c>
      <c r="K1372" s="115"/>
      <c r="L1372" s="161">
        <f t="shared" ref="L1372:Q1372" si="813">SUM(L1373:L1377)</f>
        <v>294300</v>
      </c>
      <c r="M1372" s="34">
        <f t="shared" si="813"/>
        <v>8800</v>
      </c>
      <c r="N1372" s="34">
        <f t="shared" si="813"/>
        <v>0</v>
      </c>
      <c r="O1372" s="34">
        <f t="shared" si="813"/>
        <v>0</v>
      </c>
      <c r="P1372" s="269">
        <f t="shared" si="813"/>
        <v>0</v>
      </c>
      <c r="Q1372" s="279">
        <f t="shared" si="813"/>
        <v>303100</v>
      </c>
      <c r="R1372" s="205" t="s">
        <v>1415</v>
      </c>
      <c r="S1372" s="183"/>
      <c r="T1372" s="51"/>
    </row>
    <row r="1373" spans="1:26" x14ac:dyDescent="0.2">
      <c r="A1373" s="95">
        <v>1</v>
      </c>
      <c r="B1373" s="108" t="str">
        <f>IF(A1373&lt;&gt;0,INDEX(Coûts,'PA-Détails'!A1373, 2),)</f>
        <v>Assistance technique internationale (consultants)</v>
      </c>
      <c r="C1373" s="51"/>
      <c r="D1373" s="94" t="str">
        <f>IF(A1373&lt;&gt;0,INDEX(Coûts, 'PA-Détails'!A1373, 5),)</f>
        <v>Pers / j</v>
      </c>
      <c r="E1373" s="96">
        <f>6*5</f>
        <v>30</v>
      </c>
      <c r="F1373" s="100"/>
      <c r="G1373" s="100"/>
      <c r="H1373" s="100"/>
      <c r="I1373" s="100"/>
      <c r="J1373" s="101">
        <f t="shared" si="797"/>
        <v>30</v>
      </c>
      <c r="K1373" s="115">
        <f>IF(A1373&lt;&gt;0,INDEX(Coûts, 'PA-Détails'!A1373, 3),)</f>
        <v>1150</v>
      </c>
      <c r="L1373" s="37">
        <f t="shared" ref="L1373:P1377" si="814">ROUND(+$K1373*E1373,0)</f>
        <v>34500</v>
      </c>
      <c r="M1373" s="36">
        <f t="shared" si="814"/>
        <v>0</v>
      </c>
      <c r="N1373" s="36">
        <f t="shared" si="814"/>
        <v>0</v>
      </c>
      <c r="O1373" s="36">
        <f t="shared" si="814"/>
        <v>0</v>
      </c>
      <c r="P1373" s="268">
        <f t="shared" si="814"/>
        <v>0</v>
      </c>
      <c r="Q1373" s="281">
        <f>SUM(L1373:P1373)</f>
        <v>34500</v>
      </c>
      <c r="R1373" s="39"/>
      <c r="S1373" s="115"/>
      <c r="T1373" s="51"/>
    </row>
    <row r="1374" spans="1:26" x14ac:dyDescent="0.2">
      <c r="A1374" s="95">
        <v>8</v>
      </c>
      <c r="B1374" s="108" t="str">
        <f>IF(A1374&lt;&gt;0,INDEX(Coûts,'PA-Détails'!A1374, 2),)</f>
        <v>Formation</v>
      </c>
      <c r="C1374" s="51"/>
      <c r="D1374" s="94" t="str">
        <f>IF(A1374&lt;&gt;0,INDEX(Coûts, 'PA-Détails'!A1374, 5),)</f>
        <v>Pers / j</v>
      </c>
      <c r="E1374" s="96">
        <f>8*10</f>
        <v>80</v>
      </c>
      <c r="F1374" s="100">
        <f>E1374</f>
        <v>80</v>
      </c>
      <c r="G1374" s="100"/>
      <c r="H1374" s="100"/>
      <c r="I1374" s="100"/>
      <c r="J1374" s="101">
        <f t="shared" si="797"/>
        <v>160</v>
      </c>
      <c r="K1374" s="115">
        <f>IF(A1374&lt;&gt;0,INDEX(Coûts, 'PA-Détails'!A1374, 3),)</f>
        <v>110</v>
      </c>
      <c r="L1374" s="37">
        <f t="shared" si="814"/>
        <v>8800</v>
      </c>
      <c r="M1374" s="36">
        <f t="shared" si="814"/>
        <v>8800</v>
      </c>
      <c r="N1374" s="36">
        <f t="shared" si="814"/>
        <v>0</v>
      </c>
      <c r="O1374" s="36">
        <f t="shared" si="814"/>
        <v>0</v>
      </c>
      <c r="P1374" s="268">
        <f t="shared" si="814"/>
        <v>0</v>
      </c>
      <c r="Q1374" s="281">
        <f>SUM(L1374:P1374)</f>
        <v>17600</v>
      </c>
      <c r="R1374" s="39"/>
      <c r="S1374" s="115"/>
      <c r="T1374" s="51"/>
    </row>
    <row r="1375" spans="1:26" x14ac:dyDescent="0.2">
      <c r="A1375" s="95">
        <v>7</v>
      </c>
      <c r="B1375" s="108" t="str">
        <f>IF(A1375&lt;&gt;0,INDEX(Coûts,'PA-Détails'!A1375, 2),)</f>
        <v>Séminaire</v>
      </c>
      <c r="C1375" s="51"/>
      <c r="D1375" s="94" t="str">
        <f>IF(A1375&lt;&gt;0,INDEX(Coûts, 'PA-Détails'!A1375, 5),)</f>
        <v>Pers / j</v>
      </c>
      <c r="E1375" s="96">
        <v>500</v>
      </c>
      <c r="F1375" s="100"/>
      <c r="G1375" s="100"/>
      <c r="H1375" s="100"/>
      <c r="I1375" s="100"/>
      <c r="J1375" s="101">
        <f t="shared" si="797"/>
        <v>500</v>
      </c>
      <c r="K1375" s="115">
        <f>IF(A1375&lt;&gt;0,INDEX(Coûts, 'PA-Détails'!A1375, 3),)</f>
        <v>190</v>
      </c>
      <c r="L1375" s="37">
        <f t="shared" si="814"/>
        <v>95000</v>
      </c>
      <c r="M1375" s="36">
        <f t="shared" si="814"/>
        <v>0</v>
      </c>
      <c r="N1375" s="36">
        <f t="shared" si="814"/>
        <v>0</v>
      </c>
      <c r="O1375" s="36">
        <f t="shared" si="814"/>
        <v>0</v>
      </c>
      <c r="P1375" s="268">
        <f t="shared" si="814"/>
        <v>0</v>
      </c>
      <c r="Q1375" s="281">
        <f>SUM(L1375:P1375)</f>
        <v>95000</v>
      </c>
      <c r="R1375" s="39"/>
      <c r="S1375" s="115"/>
      <c r="T1375" s="51"/>
    </row>
    <row r="1376" spans="1:26" x14ac:dyDescent="0.2">
      <c r="A1376" s="95">
        <v>68</v>
      </c>
      <c r="B1376" s="108" t="str">
        <f>IF(A1376&lt;&gt;0,INDEX(Coûts,'PA-Détails'!A1376, 2),)</f>
        <v>Aménagement des locaux pour la CIEAS</v>
      </c>
      <c r="C1376" s="51"/>
      <c r="D1376" s="94" t="str">
        <f>IF(A1376&lt;&gt;0,INDEX(Coûts, 'PA-Détails'!A1376, 5),)</f>
        <v>Forfait</v>
      </c>
      <c r="E1376" s="96">
        <v>1</v>
      </c>
      <c r="F1376" s="100"/>
      <c r="G1376" s="100"/>
      <c r="H1376" s="100"/>
      <c r="I1376" s="100"/>
      <c r="J1376" s="101">
        <f t="shared" si="797"/>
        <v>1</v>
      </c>
      <c r="K1376" s="115">
        <f>IF(A1376&lt;&gt;0,INDEX(Coûts, 'PA-Détails'!A1376, 3),)</f>
        <v>36000</v>
      </c>
      <c r="L1376" s="37">
        <f t="shared" si="814"/>
        <v>36000</v>
      </c>
      <c r="M1376" s="36">
        <f t="shared" si="814"/>
        <v>0</v>
      </c>
      <c r="N1376" s="36">
        <f t="shared" si="814"/>
        <v>0</v>
      </c>
      <c r="O1376" s="36">
        <f t="shared" si="814"/>
        <v>0</v>
      </c>
      <c r="P1376" s="268">
        <f t="shared" si="814"/>
        <v>0</v>
      </c>
      <c r="Q1376" s="281">
        <f>SUM(L1376:P1376)</f>
        <v>36000</v>
      </c>
      <c r="R1376" s="39"/>
      <c r="S1376" s="115"/>
      <c r="T1376" s="51"/>
    </row>
    <row r="1377" spans="1:20" x14ac:dyDescent="0.2">
      <c r="A1377" s="95">
        <v>69</v>
      </c>
      <c r="B1377" s="108" t="str">
        <f>IF(A1377&lt;&gt;0,INDEX(Coûts,'PA-Détails'!A1377, 2),)</f>
        <v>Lot d'équipement de la CIEAS</v>
      </c>
      <c r="C1377" s="51"/>
      <c r="D1377" s="94" t="str">
        <f>IF(A1377&lt;&gt;0,INDEX(Coûts, 'PA-Détails'!A1377, 5),)</f>
        <v>Forfait</v>
      </c>
      <c r="E1377" s="96">
        <v>1</v>
      </c>
      <c r="F1377" s="100"/>
      <c r="G1377" s="100"/>
      <c r="H1377" s="100"/>
      <c r="I1377" s="100"/>
      <c r="J1377" s="101">
        <f t="shared" si="797"/>
        <v>1</v>
      </c>
      <c r="K1377" s="115">
        <f>IF(A1377&lt;&gt;0,INDEX(Coûts, 'PA-Détails'!A1377, 3),)</f>
        <v>120000</v>
      </c>
      <c r="L1377" s="37">
        <f t="shared" si="814"/>
        <v>120000</v>
      </c>
      <c r="M1377" s="36">
        <f t="shared" si="814"/>
        <v>0</v>
      </c>
      <c r="N1377" s="36">
        <f t="shared" si="814"/>
        <v>0</v>
      </c>
      <c r="O1377" s="36">
        <f t="shared" si="814"/>
        <v>0</v>
      </c>
      <c r="P1377" s="268">
        <f t="shared" si="814"/>
        <v>0</v>
      </c>
      <c r="Q1377" s="281">
        <f>SUM(L1377:P1377)</f>
        <v>120000</v>
      </c>
      <c r="R1377" s="39"/>
      <c r="S1377" s="115"/>
      <c r="T1377" s="51"/>
    </row>
    <row r="1378" spans="1:20" x14ac:dyDescent="0.2">
      <c r="A1378" s="20" t="s">
        <v>1259</v>
      </c>
      <c r="B1378" s="46"/>
      <c r="C1378" s="51"/>
      <c r="D1378" s="21"/>
      <c r="E1378" s="96"/>
      <c r="F1378" s="100"/>
      <c r="G1378" s="100"/>
      <c r="H1378" s="100"/>
      <c r="I1378" s="100"/>
      <c r="J1378" s="101">
        <f t="shared" si="797"/>
        <v>0</v>
      </c>
      <c r="K1378" s="115"/>
      <c r="L1378" s="161">
        <f t="shared" ref="L1378:Q1378" si="815">SUM(L1379:L1381)</f>
        <v>142000</v>
      </c>
      <c r="M1378" s="34">
        <f t="shared" si="815"/>
        <v>0</v>
      </c>
      <c r="N1378" s="34">
        <f t="shared" si="815"/>
        <v>0</v>
      </c>
      <c r="O1378" s="34">
        <f t="shared" si="815"/>
        <v>0</v>
      </c>
      <c r="P1378" s="269">
        <f t="shared" si="815"/>
        <v>0</v>
      </c>
      <c r="Q1378" s="279">
        <f t="shared" si="815"/>
        <v>142000</v>
      </c>
      <c r="R1378" s="205" t="s">
        <v>1415</v>
      </c>
      <c r="S1378" s="183"/>
      <c r="T1378" s="51"/>
    </row>
    <row r="1379" spans="1:20" x14ac:dyDescent="0.2">
      <c r="A1379" s="95">
        <v>1</v>
      </c>
      <c r="B1379" s="108" t="str">
        <f>IF(A1379&lt;&gt;0,INDEX(Coûts,'PA-Détails'!A1379, 2),)</f>
        <v>Assistance technique internationale (consultants)</v>
      </c>
      <c r="C1379" s="51"/>
      <c r="D1379" s="94" t="str">
        <f>IF(A1379&lt;&gt;0,INDEX(Coûts, 'PA-Détails'!A1379, 5),)</f>
        <v>Pers / j</v>
      </c>
      <c r="E1379" s="96">
        <f>8*10</f>
        <v>80</v>
      </c>
      <c r="F1379" s="100"/>
      <c r="G1379" s="100"/>
      <c r="H1379" s="100"/>
      <c r="I1379" s="100"/>
      <c r="J1379" s="101">
        <f t="shared" si="797"/>
        <v>80</v>
      </c>
      <c r="K1379" s="115">
        <f>IF(A1379&lt;&gt;0,INDEX(Coûts, 'PA-Détails'!A1379, 3),)</f>
        <v>1150</v>
      </c>
      <c r="L1379" s="37">
        <f t="shared" ref="L1379:P1381" si="816">ROUND(+$K1379*E1379,0)</f>
        <v>92000</v>
      </c>
      <c r="M1379" s="36">
        <f t="shared" si="816"/>
        <v>0</v>
      </c>
      <c r="N1379" s="36">
        <f t="shared" si="816"/>
        <v>0</v>
      </c>
      <c r="O1379" s="36">
        <f t="shared" si="816"/>
        <v>0</v>
      </c>
      <c r="P1379" s="268">
        <f t="shared" si="816"/>
        <v>0</v>
      </c>
      <c r="Q1379" s="281">
        <f>SUM(L1379:P1379)</f>
        <v>92000</v>
      </c>
      <c r="R1379" s="39"/>
      <c r="S1379" s="115"/>
      <c r="T1379" s="51"/>
    </row>
    <row r="1380" spans="1:20" x14ac:dyDescent="0.2">
      <c r="A1380" s="95">
        <v>12</v>
      </c>
      <c r="B1380" s="108" t="str">
        <f>IF(A1380&lt;&gt;0,INDEX(Coûts,'PA-Détails'!A1380, 2),)</f>
        <v>Formation - Action et Formation de formateurs</v>
      </c>
      <c r="C1380" s="51"/>
      <c r="D1380" s="94" t="str">
        <f>IF(A1380&lt;&gt;0,INDEX(Coûts, 'PA-Détails'!A1380, 5),)</f>
        <v>Pers / j</v>
      </c>
      <c r="E1380" s="96">
        <f>10*10</f>
        <v>100</v>
      </c>
      <c r="F1380" s="100"/>
      <c r="G1380" s="100"/>
      <c r="H1380" s="100"/>
      <c r="I1380" s="100"/>
      <c r="J1380" s="101">
        <f t="shared" si="797"/>
        <v>100</v>
      </c>
      <c r="K1380" s="115">
        <f>IF(A1380&lt;&gt;0,INDEX(Coûts, 'PA-Détails'!A1380, 3),)</f>
        <v>150</v>
      </c>
      <c r="L1380" s="37">
        <f t="shared" si="816"/>
        <v>15000</v>
      </c>
      <c r="M1380" s="36">
        <f t="shared" si="816"/>
        <v>0</v>
      </c>
      <c r="N1380" s="36">
        <f t="shared" si="816"/>
        <v>0</v>
      </c>
      <c r="O1380" s="36">
        <f t="shared" si="816"/>
        <v>0</v>
      </c>
      <c r="P1380" s="268">
        <f t="shared" si="816"/>
        <v>0</v>
      </c>
      <c r="Q1380" s="281">
        <f>SUM(L1380:P1380)</f>
        <v>15000</v>
      </c>
      <c r="R1380" s="39"/>
      <c r="S1380" s="115"/>
      <c r="T1380" s="51"/>
    </row>
    <row r="1381" spans="1:20" x14ac:dyDescent="0.2">
      <c r="A1381" s="95">
        <v>11</v>
      </c>
      <c r="B1381" s="108" t="str">
        <f>IF(A1381&lt;&gt;0,INDEX(Coûts,'PA-Détails'!A1381, 2),)</f>
        <v>Atelier technique</v>
      </c>
      <c r="C1381" s="51"/>
      <c r="D1381" s="94" t="str">
        <f>IF(A1381&lt;&gt;0,INDEX(Coûts, 'PA-Détails'!A1381, 5),)</f>
        <v>Pers / j</v>
      </c>
      <c r="E1381" s="96">
        <f>10*10*5</f>
        <v>500</v>
      </c>
      <c r="F1381" s="100"/>
      <c r="G1381" s="100"/>
      <c r="H1381" s="100"/>
      <c r="I1381" s="100"/>
      <c r="J1381" s="101">
        <f t="shared" si="797"/>
        <v>500</v>
      </c>
      <c r="K1381" s="115">
        <f>IF(A1381&lt;&gt;0,INDEX(Coûts, 'PA-Détails'!A1381, 3),)</f>
        <v>70</v>
      </c>
      <c r="L1381" s="37">
        <f t="shared" si="816"/>
        <v>35000</v>
      </c>
      <c r="M1381" s="36">
        <f t="shared" si="816"/>
        <v>0</v>
      </c>
      <c r="N1381" s="36">
        <f t="shared" si="816"/>
        <v>0</v>
      </c>
      <c r="O1381" s="36">
        <f t="shared" si="816"/>
        <v>0</v>
      </c>
      <c r="P1381" s="268">
        <f t="shared" si="816"/>
        <v>0</v>
      </c>
      <c r="Q1381" s="281">
        <f>SUM(L1381:P1381)</f>
        <v>35000</v>
      </c>
      <c r="R1381" s="39"/>
      <c r="S1381" s="115"/>
      <c r="T1381" s="51"/>
    </row>
    <row r="1382" spans="1:20" x14ac:dyDescent="0.2">
      <c r="A1382" s="20" t="s">
        <v>1260</v>
      </c>
      <c r="B1382" s="46"/>
      <c r="C1382" s="51"/>
      <c r="D1382" s="21"/>
      <c r="E1382" s="96"/>
      <c r="F1382" s="100"/>
      <c r="G1382" s="100"/>
      <c r="H1382" s="100"/>
      <c r="I1382" s="100"/>
      <c r="J1382" s="101">
        <f t="shared" si="797"/>
        <v>0</v>
      </c>
      <c r="K1382" s="115"/>
      <c r="L1382" s="161">
        <f t="shared" ref="L1382:Q1382" si="817">SUM(L1383:L1385)</f>
        <v>0</v>
      </c>
      <c r="M1382" s="34">
        <f t="shared" si="817"/>
        <v>548000</v>
      </c>
      <c r="N1382" s="34">
        <f t="shared" si="817"/>
        <v>548000</v>
      </c>
      <c r="O1382" s="34">
        <f t="shared" si="817"/>
        <v>548000</v>
      </c>
      <c r="P1382" s="269">
        <f t="shared" si="817"/>
        <v>548000</v>
      </c>
      <c r="Q1382" s="279">
        <f t="shared" si="817"/>
        <v>2192000</v>
      </c>
      <c r="R1382" s="205" t="s">
        <v>1415</v>
      </c>
      <c r="S1382" s="183"/>
      <c r="T1382" s="51"/>
    </row>
    <row r="1383" spans="1:20" x14ac:dyDescent="0.2">
      <c r="A1383" s="95">
        <v>253</v>
      </c>
      <c r="B1383" s="108" t="str">
        <f>IF(A1383&lt;&gt;0,INDEX(Coûts,'PA-Détails'!A1383, 2),)</f>
        <v>Salaires et rémunérations de la CIEAS</v>
      </c>
      <c r="C1383" s="51"/>
      <c r="D1383" s="94" t="str">
        <f>IF(A1383&lt;&gt;0,INDEX(Coûts, 'PA-Détails'!A1383, 5),)</f>
        <v>Budget/an</v>
      </c>
      <c r="E1383" s="96"/>
      <c r="F1383" s="100">
        <v>1</v>
      </c>
      <c r="G1383" s="100">
        <v>1</v>
      </c>
      <c r="H1383" s="100">
        <v>1</v>
      </c>
      <c r="I1383" s="100">
        <v>1</v>
      </c>
      <c r="J1383" s="101">
        <f t="shared" si="797"/>
        <v>4</v>
      </c>
      <c r="K1383" s="115">
        <f>IF(A1383&lt;&gt;0,INDEX(Coûts, 'PA-Détails'!A1383, 3),)</f>
        <v>360000</v>
      </c>
      <c r="L1383" s="37">
        <f t="shared" ref="L1383:P1385" si="818">ROUND(+$K1383*E1383,0)</f>
        <v>0</v>
      </c>
      <c r="M1383" s="36">
        <f t="shared" si="818"/>
        <v>360000</v>
      </c>
      <c r="N1383" s="36">
        <f t="shared" si="818"/>
        <v>360000</v>
      </c>
      <c r="O1383" s="36">
        <f t="shared" si="818"/>
        <v>360000</v>
      </c>
      <c r="P1383" s="268">
        <f t="shared" si="818"/>
        <v>360000</v>
      </c>
      <c r="Q1383" s="281">
        <f>SUM(L1383:P1383)</f>
        <v>1440000</v>
      </c>
      <c r="R1383" s="39"/>
      <c r="S1383" s="115"/>
      <c r="T1383" s="51"/>
    </row>
    <row r="1384" spans="1:20" x14ac:dyDescent="0.2">
      <c r="A1384" s="95">
        <v>254</v>
      </c>
      <c r="B1384" s="108" t="str">
        <f>IF(A1384&lt;&gt;0,INDEX(Coûts,'PA-Détails'!A1384, 2),)</f>
        <v>Frais de fonctionnement de la CIEAS</v>
      </c>
      <c r="C1384" s="51"/>
      <c r="D1384" s="94" t="str">
        <f>IF(A1384&lt;&gt;0,INDEX(Coûts, 'PA-Détails'!A1384, 5),)</f>
        <v>Budget/an</v>
      </c>
      <c r="E1384" s="96"/>
      <c r="F1384" s="100">
        <v>1</v>
      </c>
      <c r="G1384" s="100">
        <v>1</v>
      </c>
      <c r="H1384" s="100">
        <v>1</v>
      </c>
      <c r="I1384" s="100">
        <v>1</v>
      </c>
      <c r="J1384" s="101">
        <f t="shared" si="797"/>
        <v>4</v>
      </c>
      <c r="K1384" s="115">
        <f>IF(A1384&lt;&gt;0,INDEX(Coûts, 'PA-Détails'!A1384, 3),)</f>
        <v>150000</v>
      </c>
      <c r="L1384" s="37">
        <f t="shared" si="818"/>
        <v>0</v>
      </c>
      <c r="M1384" s="36">
        <f t="shared" si="818"/>
        <v>150000</v>
      </c>
      <c r="N1384" s="36">
        <f t="shared" si="818"/>
        <v>150000</v>
      </c>
      <c r="O1384" s="36">
        <f t="shared" si="818"/>
        <v>150000</v>
      </c>
      <c r="P1384" s="268">
        <f t="shared" si="818"/>
        <v>150000</v>
      </c>
      <c r="Q1384" s="281">
        <f>SUM(L1384:P1384)</f>
        <v>600000</v>
      </c>
      <c r="R1384" s="39"/>
      <c r="S1384" s="115"/>
      <c r="T1384" s="51"/>
    </row>
    <row r="1385" spans="1:20" x14ac:dyDescent="0.2">
      <c r="A1385" s="95">
        <v>7</v>
      </c>
      <c r="B1385" s="108" t="str">
        <f>IF(A1385&lt;&gt;0,INDEX(Coûts,'PA-Détails'!A1385, 2),)</f>
        <v>Séminaire</v>
      </c>
      <c r="C1385" s="51"/>
      <c r="D1385" s="94" t="str">
        <f>IF(A1385&lt;&gt;0,INDEX(Coûts, 'PA-Détails'!A1385, 5),)</f>
        <v>Pers / j</v>
      </c>
      <c r="E1385" s="96"/>
      <c r="F1385" s="100">
        <f>2*100</f>
        <v>200</v>
      </c>
      <c r="G1385" s="100">
        <f>F1385</f>
        <v>200</v>
      </c>
      <c r="H1385" s="100">
        <f>G1385</f>
        <v>200</v>
      </c>
      <c r="I1385" s="100">
        <f>H1385</f>
        <v>200</v>
      </c>
      <c r="J1385" s="101">
        <f t="shared" si="797"/>
        <v>800</v>
      </c>
      <c r="K1385" s="115">
        <f>IF(A1385&lt;&gt;0,INDEX(Coûts, 'PA-Détails'!A1385, 3),)</f>
        <v>190</v>
      </c>
      <c r="L1385" s="37">
        <f t="shared" si="818"/>
        <v>0</v>
      </c>
      <c r="M1385" s="36">
        <f t="shared" si="818"/>
        <v>38000</v>
      </c>
      <c r="N1385" s="36">
        <f t="shared" si="818"/>
        <v>38000</v>
      </c>
      <c r="O1385" s="36">
        <f t="shared" si="818"/>
        <v>38000</v>
      </c>
      <c r="P1385" s="268">
        <f t="shared" si="818"/>
        <v>38000</v>
      </c>
      <c r="Q1385" s="281">
        <f>SUM(L1385:P1385)</f>
        <v>152000</v>
      </c>
      <c r="R1385" s="39"/>
      <c r="S1385" s="115"/>
      <c r="T1385" s="51"/>
    </row>
    <row r="1386" spans="1:20" x14ac:dyDescent="0.2">
      <c r="A1386" s="17" t="s">
        <v>1261</v>
      </c>
      <c r="B1386" s="45"/>
      <c r="C1386" s="51"/>
      <c r="D1386" s="18"/>
      <c r="E1386" s="97"/>
      <c r="F1386" s="98"/>
      <c r="G1386" s="98"/>
      <c r="H1386" s="98"/>
      <c r="I1386" s="98"/>
      <c r="J1386" s="99"/>
      <c r="K1386" s="116"/>
      <c r="L1386" s="35">
        <f>ROUND(+$K1386*E1386,0)</f>
        <v>0</v>
      </c>
      <c r="M1386" s="34">
        <f>ROUND(+$K1386*F1386,0)</f>
        <v>0</v>
      </c>
      <c r="N1386" s="34">
        <f>ROUND(+$K1386*G1386,0)</f>
        <v>0</v>
      </c>
      <c r="O1386" s="34">
        <f>ROUND(+$K1386*H1386,0)</f>
        <v>0</v>
      </c>
      <c r="P1386" s="269">
        <f>ROUND(+$K1386*I1386,0)</f>
        <v>0</v>
      </c>
      <c r="Q1386" s="279"/>
      <c r="R1386" s="38"/>
      <c r="S1386" s="116"/>
      <c r="T1386" s="50"/>
    </row>
    <row r="1387" spans="1:20" x14ac:dyDescent="0.2">
      <c r="A1387" s="20" t="s">
        <v>1262</v>
      </c>
      <c r="B1387" s="46"/>
      <c r="C1387" s="51"/>
      <c r="D1387" s="21"/>
      <c r="E1387" s="96"/>
      <c r="F1387" s="100"/>
      <c r="G1387" s="100"/>
      <c r="H1387" s="100"/>
      <c r="I1387" s="100"/>
      <c r="J1387" s="101">
        <f>SUM(E1387:I1387)</f>
        <v>0</v>
      </c>
      <c r="K1387" s="115"/>
      <c r="L1387" s="161">
        <f t="shared" ref="L1387:Q1387" si="819">SUM(L1388:L1389)</f>
        <v>9500</v>
      </c>
      <c r="M1387" s="157">
        <f t="shared" si="819"/>
        <v>0</v>
      </c>
      <c r="N1387" s="157">
        <f t="shared" si="819"/>
        <v>0</v>
      </c>
      <c r="O1387" s="157">
        <f t="shared" si="819"/>
        <v>0</v>
      </c>
      <c r="P1387" s="270">
        <f t="shared" si="819"/>
        <v>0</v>
      </c>
      <c r="Q1387" s="284">
        <f t="shared" si="819"/>
        <v>9500</v>
      </c>
      <c r="R1387" s="39" t="s">
        <v>838</v>
      </c>
      <c r="S1387" s="115" t="s">
        <v>665</v>
      </c>
      <c r="T1387" s="51"/>
    </row>
    <row r="1388" spans="1:20" x14ac:dyDescent="0.2">
      <c r="A1388" s="95">
        <v>2</v>
      </c>
      <c r="B1388" s="108" t="str">
        <f>IF(A1388&lt;&gt;0,INDEX(Coûts,'PA-Détails'!A1388, 2),)</f>
        <v>Assistance technique nationale (consultants)</v>
      </c>
      <c r="C1388" s="51"/>
      <c r="D1388" s="94" t="str">
        <f>IF(A1388&lt;&gt;0,INDEX(Coûts, 'PA-Détails'!A1388, 5),)</f>
        <v>Pers / j</v>
      </c>
      <c r="E1388" s="150">
        <v>15</v>
      </c>
      <c r="F1388" s="100"/>
      <c r="G1388" s="189"/>
      <c r="H1388" s="189"/>
      <c r="I1388" s="189"/>
      <c r="J1388" s="101">
        <f>SUM(E1388:I1388)</f>
        <v>15</v>
      </c>
      <c r="K1388" s="115">
        <f>IF(A1388&lt;&gt;0,INDEX(Coûts, 'PA-Détails'!A1388, 3),)</f>
        <v>300</v>
      </c>
      <c r="L1388" s="37">
        <f t="shared" ref="L1388:P1390" si="820">ROUND(+$K1388*E1388,0)</f>
        <v>4500</v>
      </c>
      <c r="M1388" s="36">
        <f t="shared" si="820"/>
        <v>0</v>
      </c>
      <c r="N1388" s="36">
        <f t="shared" si="820"/>
        <v>0</v>
      </c>
      <c r="O1388" s="36">
        <f t="shared" si="820"/>
        <v>0</v>
      </c>
      <c r="P1388" s="268">
        <f t="shared" si="820"/>
        <v>0</v>
      </c>
      <c r="Q1388" s="281">
        <f>SUM(L1388:P1388)</f>
        <v>4500</v>
      </c>
      <c r="R1388" s="39"/>
      <c r="S1388" s="115"/>
      <c r="T1388" s="51"/>
    </row>
    <row r="1389" spans="1:20" x14ac:dyDescent="0.2">
      <c r="A1389" s="95">
        <v>5</v>
      </c>
      <c r="B1389" s="108" t="str">
        <f>IF(A1389&lt;&gt;0,INDEX(Coûts,'PA-Détails'!A1389, 2),)</f>
        <v>Atelier de validation</v>
      </c>
      <c r="C1389" s="51"/>
      <c r="D1389" s="94" t="str">
        <f>IF(A1389&lt;&gt;0,INDEX(Coûts, 'PA-Détails'!A1389, 5),)</f>
        <v>Pers / j</v>
      </c>
      <c r="E1389" s="150">
        <v>100</v>
      </c>
      <c r="F1389" s="100"/>
      <c r="G1389" s="189"/>
      <c r="H1389" s="189"/>
      <c r="I1389" s="189"/>
      <c r="J1389" s="101">
        <f>SUM(E1389:I1389)</f>
        <v>100</v>
      </c>
      <c r="K1389" s="115">
        <f>IF(A1389&lt;&gt;0,INDEX(Coûts, 'PA-Détails'!A1389, 3),)</f>
        <v>50</v>
      </c>
      <c r="L1389" s="37">
        <f t="shared" si="820"/>
        <v>5000</v>
      </c>
      <c r="M1389" s="36">
        <f t="shared" si="820"/>
        <v>0</v>
      </c>
      <c r="N1389" s="36">
        <f t="shared" si="820"/>
        <v>0</v>
      </c>
      <c r="O1389" s="36">
        <f t="shared" si="820"/>
        <v>0</v>
      </c>
      <c r="P1389" s="268">
        <f t="shared" si="820"/>
        <v>0</v>
      </c>
      <c r="Q1389" s="281">
        <f>SUM(L1389:P1389)</f>
        <v>5000</v>
      </c>
      <c r="R1389" s="39"/>
      <c r="S1389" s="115"/>
      <c r="T1389" s="51"/>
    </row>
    <row r="1390" spans="1:20" x14ac:dyDescent="0.2">
      <c r="A1390" s="20" t="s">
        <v>1263</v>
      </c>
      <c r="B1390" s="46"/>
      <c r="C1390" s="51"/>
      <c r="D1390" s="94"/>
      <c r="E1390" s="150"/>
      <c r="F1390" s="100"/>
      <c r="G1390" s="189"/>
      <c r="H1390" s="189"/>
      <c r="I1390" s="189"/>
      <c r="J1390" s="101"/>
      <c r="K1390" s="115"/>
      <c r="L1390" s="37">
        <f t="shared" si="820"/>
        <v>0</v>
      </c>
      <c r="M1390" s="36">
        <f t="shared" si="820"/>
        <v>0</v>
      </c>
      <c r="N1390" s="36">
        <f t="shared" si="820"/>
        <v>0</v>
      </c>
      <c r="O1390" s="36">
        <f t="shared" si="820"/>
        <v>0</v>
      </c>
      <c r="P1390" s="268">
        <f t="shared" si="820"/>
        <v>0</v>
      </c>
      <c r="Q1390" s="281"/>
      <c r="R1390" s="39" t="s">
        <v>838</v>
      </c>
      <c r="S1390" s="115"/>
      <c r="T1390" s="51"/>
    </row>
    <row r="1391" spans="1:20" x14ac:dyDescent="0.2">
      <c r="A1391" s="20" t="s">
        <v>1264</v>
      </c>
      <c r="B1391" s="108"/>
      <c r="C1391" s="51"/>
      <c r="D1391" s="94"/>
      <c r="E1391" s="150"/>
      <c r="F1391" s="100"/>
      <c r="G1391" s="189"/>
      <c r="H1391" s="189"/>
      <c r="I1391" s="189"/>
      <c r="J1391" s="101"/>
      <c r="K1391" s="115"/>
      <c r="L1391" s="161">
        <f t="shared" ref="L1391:Q1391" si="821">SUM(L1392:L1392)</f>
        <v>10000</v>
      </c>
      <c r="M1391" s="157">
        <f t="shared" si="821"/>
        <v>10000</v>
      </c>
      <c r="N1391" s="157">
        <f t="shared" si="821"/>
        <v>10000</v>
      </c>
      <c r="O1391" s="157">
        <f t="shared" si="821"/>
        <v>10000</v>
      </c>
      <c r="P1391" s="270">
        <f t="shared" si="821"/>
        <v>10000</v>
      </c>
      <c r="Q1391" s="284">
        <f t="shared" si="821"/>
        <v>50000</v>
      </c>
      <c r="R1391" s="39" t="s">
        <v>838</v>
      </c>
      <c r="S1391" s="115" t="s">
        <v>665</v>
      </c>
      <c r="T1391" s="51"/>
    </row>
    <row r="1392" spans="1:20" ht="12" thickBot="1" x14ac:dyDescent="0.25">
      <c r="A1392" s="247">
        <v>251</v>
      </c>
      <c r="B1392" s="248" t="str">
        <f>IF(A1392&lt;&gt;0,INDEX(Coûts,'PA-Détails'!A1392, 2),)</f>
        <v xml:space="preserve">Frais de fonctionnement d'un comité scientifique/cadre de coordination </v>
      </c>
      <c r="C1392" s="249"/>
      <c r="D1392" s="250" t="str">
        <f>IF(A1392&lt;&gt;0,INDEX(Coûts, 'PA-Détails'!A1392, 5),)</f>
        <v>Forfait</v>
      </c>
      <c r="E1392" s="251">
        <v>1</v>
      </c>
      <c r="F1392" s="252">
        <v>1</v>
      </c>
      <c r="G1392" s="252">
        <v>1</v>
      </c>
      <c r="H1392" s="252">
        <v>1</v>
      </c>
      <c r="I1392" s="252">
        <v>1</v>
      </c>
      <c r="J1392" s="253">
        <f t="shared" ref="J1392:J1406" si="822">SUM(E1392:I1392)</f>
        <v>5</v>
      </c>
      <c r="K1392" s="292">
        <f>IF(A1392&lt;&gt;0,INDEX(Coûts, 'PA-Détails'!A1392, 3),)</f>
        <v>10000</v>
      </c>
      <c r="L1392" s="254">
        <f t="shared" ref="L1392:P1393" si="823">ROUND(+$K1392*E1392,0)</f>
        <v>10000</v>
      </c>
      <c r="M1392" s="254">
        <f t="shared" si="823"/>
        <v>10000</v>
      </c>
      <c r="N1392" s="255">
        <f t="shared" si="823"/>
        <v>10000</v>
      </c>
      <c r="O1392" s="255">
        <f t="shared" si="823"/>
        <v>10000</v>
      </c>
      <c r="P1392" s="274">
        <f t="shared" si="823"/>
        <v>10000</v>
      </c>
      <c r="Q1392" s="286">
        <f>SUM(L1392:P1392)</f>
        <v>50000</v>
      </c>
      <c r="R1392" s="256"/>
      <c r="S1392" s="257"/>
      <c r="T1392" s="249"/>
    </row>
    <row r="1393" spans="1:26" ht="12" thickTop="1" x14ac:dyDescent="0.2">
      <c r="A1393" s="17" t="s">
        <v>1265</v>
      </c>
      <c r="B1393" s="45"/>
      <c r="C1393" s="329" t="s">
        <v>825</v>
      </c>
      <c r="D1393" s="18"/>
      <c r="E1393" s="97"/>
      <c r="F1393" s="98"/>
      <c r="G1393" s="98"/>
      <c r="H1393" s="98"/>
      <c r="I1393" s="98"/>
      <c r="J1393" s="99">
        <f t="shared" si="822"/>
        <v>0</v>
      </c>
      <c r="K1393" s="116"/>
      <c r="L1393" s="35">
        <f t="shared" si="823"/>
        <v>0</v>
      </c>
      <c r="M1393" s="34">
        <f t="shared" si="823"/>
        <v>0</v>
      </c>
      <c r="N1393" s="34">
        <f t="shared" si="823"/>
        <v>0</v>
      </c>
      <c r="O1393" s="34">
        <f t="shared" si="823"/>
        <v>0</v>
      </c>
      <c r="P1393" s="269">
        <f t="shared" si="823"/>
        <v>0</v>
      </c>
      <c r="Q1393" s="279">
        <f>SUM(L1393:P1393)</f>
        <v>0</v>
      </c>
      <c r="R1393" s="180"/>
      <c r="S1393" s="181"/>
      <c r="T1393" s="50"/>
    </row>
    <row r="1394" spans="1:26" x14ac:dyDescent="0.2">
      <c r="A1394" s="20" t="s">
        <v>1266</v>
      </c>
      <c r="B1394" s="46"/>
      <c r="C1394" s="51"/>
      <c r="D1394" s="21"/>
      <c r="E1394" s="96"/>
      <c r="F1394" s="100"/>
      <c r="G1394" s="100"/>
      <c r="H1394" s="100"/>
      <c r="I1394" s="100"/>
      <c r="J1394" s="101">
        <f t="shared" si="822"/>
        <v>0</v>
      </c>
      <c r="K1394" s="115"/>
      <c r="L1394" s="161">
        <f t="shared" ref="L1394:Q1394" si="824">SUM(L1395:L1397)</f>
        <v>0</v>
      </c>
      <c r="M1394" s="157">
        <f t="shared" si="824"/>
        <v>42500</v>
      </c>
      <c r="N1394" s="157">
        <f t="shared" si="824"/>
        <v>0</v>
      </c>
      <c r="O1394" s="157">
        <f t="shared" si="824"/>
        <v>0</v>
      </c>
      <c r="P1394" s="270">
        <f t="shared" si="824"/>
        <v>0</v>
      </c>
      <c r="Q1394" s="282">
        <f t="shared" si="824"/>
        <v>42500</v>
      </c>
      <c r="R1394" s="205" t="s">
        <v>1415</v>
      </c>
      <c r="S1394" s="183" t="s">
        <v>665</v>
      </c>
      <c r="T1394" s="51"/>
    </row>
    <row r="1395" spans="1:26" x14ac:dyDescent="0.2">
      <c r="A1395" s="95">
        <v>1</v>
      </c>
      <c r="B1395" s="108" t="str">
        <f>IF(A1395&lt;&gt;0,INDEX(Coûts,'PA-Détails'!A1395, 2),)</f>
        <v>Assistance technique internationale (consultants)</v>
      </c>
      <c r="C1395" s="51"/>
      <c r="D1395" s="94" t="str">
        <f>IF(A1395&lt;&gt;0,INDEX(Coûts, 'PA-Détails'!A1395, 5),)</f>
        <v>Pers / j</v>
      </c>
      <c r="E1395" s="96"/>
      <c r="F1395" s="100">
        <v>20</v>
      </c>
      <c r="G1395" s="100"/>
      <c r="H1395" s="100"/>
      <c r="I1395" s="100"/>
      <c r="J1395" s="101">
        <f t="shared" si="822"/>
        <v>20</v>
      </c>
      <c r="K1395" s="115">
        <f>IF(A1395&lt;&gt;0,INDEX(Coûts, 'PA-Détails'!A1395, 3),)</f>
        <v>1150</v>
      </c>
      <c r="L1395" s="37">
        <f t="shared" ref="L1395:P1397" si="825">ROUND(+$K1395*E1395,0)</f>
        <v>0</v>
      </c>
      <c r="M1395" s="36">
        <f t="shared" si="825"/>
        <v>23000</v>
      </c>
      <c r="N1395" s="36">
        <f t="shared" si="825"/>
        <v>0</v>
      </c>
      <c r="O1395" s="36">
        <f t="shared" si="825"/>
        <v>0</v>
      </c>
      <c r="P1395" s="268">
        <f t="shared" si="825"/>
        <v>0</v>
      </c>
      <c r="Q1395" s="281">
        <f>SUM(L1395:P1395)</f>
        <v>23000</v>
      </c>
      <c r="R1395" s="39"/>
      <c r="S1395" s="115"/>
      <c r="T1395" s="51"/>
    </row>
    <row r="1396" spans="1:26" x14ac:dyDescent="0.2">
      <c r="A1396" s="95">
        <v>2</v>
      </c>
      <c r="B1396" s="108" t="str">
        <f>IF(A1396&lt;&gt;0,INDEX(Coûts,'PA-Détails'!A1396, 2),)</f>
        <v>Assistance technique nationale (consultants)</v>
      </c>
      <c r="C1396" s="51"/>
      <c r="D1396" s="94" t="str">
        <f>IF(A1396&lt;&gt;0,INDEX(Coûts, 'PA-Détails'!A1396, 5),)</f>
        <v>Pers / j</v>
      </c>
      <c r="E1396" s="96"/>
      <c r="F1396" s="100">
        <v>40</v>
      </c>
      <c r="G1396" s="100"/>
      <c r="H1396" s="100"/>
      <c r="I1396" s="100"/>
      <c r="J1396" s="101">
        <f t="shared" si="822"/>
        <v>40</v>
      </c>
      <c r="K1396" s="115">
        <f>IF(A1396&lt;&gt;0,INDEX(Coûts, 'PA-Détails'!A1396, 3),)</f>
        <v>300</v>
      </c>
      <c r="L1396" s="37">
        <f t="shared" si="825"/>
        <v>0</v>
      </c>
      <c r="M1396" s="36">
        <f t="shared" si="825"/>
        <v>12000</v>
      </c>
      <c r="N1396" s="36">
        <f t="shared" si="825"/>
        <v>0</v>
      </c>
      <c r="O1396" s="36">
        <f t="shared" si="825"/>
        <v>0</v>
      </c>
      <c r="P1396" s="268">
        <f t="shared" si="825"/>
        <v>0</v>
      </c>
      <c r="Q1396" s="281">
        <f>SUM(L1396:P1396)</f>
        <v>12000</v>
      </c>
      <c r="R1396" s="39"/>
      <c r="S1396" s="115"/>
      <c r="T1396" s="51"/>
    </row>
    <row r="1397" spans="1:26" x14ac:dyDescent="0.2">
      <c r="A1397" s="95">
        <v>5</v>
      </c>
      <c r="B1397" s="108" t="str">
        <f>IF(A1397&lt;&gt;0,INDEX(Coûts,'PA-Détails'!A1397, 2),)</f>
        <v>Atelier de validation</v>
      </c>
      <c r="C1397" s="51"/>
      <c r="D1397" s="94" t="str">
        <f>IF(A1397&lt;&gt;0,INDEX(Coûts, 'PA-Détails'!A1397, 5),)</f>
        <v>Pers / j</v>
      </c>
      <c r="E1397" s="96"/>
      <c r="F1397" s="100">
        <v>150</v>
      </c>
      <c r="G1397" s="100"/>
      <c r="H1397" s="100"/>
      <c r="I1397" s="100"/>
      <c r="J1397" s="101">
        <f t="shared" si="822"/>
        <v>150</v>
      </c>
      <c r="K1397" s="115">
        <f>IF(A1397&lt;&gt;0,INDEX(Coûts, 'PA-Détails'!A1397, 3),)</f>
        <v>50</v>
      </c>
      <c r="L1397" s="37">
        <f t="shared" si="825"/>
        <v>0</v>
      </c>
      <c r="M1397" s="36">
        <f t="shared" si="825"/>
        <v>7500</v>
      </c>
      <c r="N1397" s="36">
        <f t="shared" si="825"/>
        <v>0</v>
      </c>
      <c r="O1397" s="36">
        <f t="shared" si="825"/>
        <v>0</v>
      </c>
      <c r="P1397" s="268">
        <f t="shared" si="825"/>
        <v>0</v>
      </c>
      <c r="Q1397" s="281">
        <f>SUM(L1397:P1397)</f>
        <v>7500</v>
      </c>
      <c r="R1397" s="39"/>
      <c r="S1397" s="115"/>
      <c r="T1397" s="51"/>
    </row>
    <row r="1398" spans="1:26" x14ac:dyDescent="0.2">
      <c r="A1398" s="20" t="s">
        <v>1267</v>
      </c>
      <c r="B1398" s="46"/>
      <c r="C1398" s="51"/>
      <c r="D1398" s="21"/>
      <c r="E1398" s="96"/>
      <c r="F1398" s="100"/>
      <c r="G1398" s="100"/>
      <c r="H1398" s="100"/>
      <c r="I1398" s="100"/>
      <c r="J1398" s="101">
        <f t="shared" si="822"/>
        <v>0</v>
      </c>
      <c r="K1398" s="115"/>
      <c r="L1398" s="161">
        <f t="shared" ref="L1398:Q1398" si="826">SUM(L1399:L1399)</f>
        <v>0</v>
      </c>
      <c r="M1398" s="157">
        <f t="shared" si="826"/>
        <v>160000</v>
      </c>
      <c r="N1398" s="157">
        <f t="shared" si="826"/>
        <v>0</v>
      </c>
      <c r="O1398" s="157">
        <f t="shared" si="826"/>
        <v>0</v>
      </c>
      <c r="P1398" s="270">
        <f t="shared" si="826"/>
        <v>0</v>
      </c>
      <c r="Q1398" s="282">
        <f t="shared" si="826"/>
        <v>160000</v>
      </c>
      <c r="R1398" s="205" t="s">
        <v>1415</v>
      </c>
      <c r="S1398" s="183" t="s">
        <v>665</v>
      </c>
      <c r="T1398" s="51"/>
    </row>
    <row r="1399" spans="1:26" x14ac:dyDescent="0.2">
      <c r="A1399" s="95">
        <v>59</v>
      </c>
      <c r="B1399" s="108" t="str">
        <f>IF(A1399&lt;&gt;0,INDEX(Coûts,'PA-Détails'!A1399, 2),)</f>
        <v>Acquisition et distribution de plaquettes/brochures/guides/livres</v>
      </c>
      <c r="C1399" s="51"/>
      <c r="D1399" s="94" t="str">
        <f>IF(A1399&lt;&gt;0,INDEX(Coûts, 'PA-Détails'!A1399, 5),)</f>
        <v>Unité</v>
      </c>
      <c r="E1399" s="96"/>
      <c r="F1399" s="100">
        <v>80000</v>
      </c>
      <c r="G1399" s="100"/>
      <c r="H1399" s="100"/>
      <c r="I1399" s="100"/>
      <c r="J1399" s="101">
        <f t="shared" si="822"/>
        <v>80000</v>
      </c>
      <c r="K1399" s="115">
        <f>IF(A1399&lt;&gt;0,INDEX(Coûts, 'PA-Détails'!A1399, 3),)</f>
        <v>2</v>
      </c>
      <c r="L1399" s="37">
        <f t="shared" ref="L1399:P1400" si="827">ROUND(+$K1399*E1399,0)</f>
        <v>0</v>
      </c>
      <c r="M1399" s="36">
        <f t="shared" si="827"/>
        <v>160000</v>
      </c>
      <c r="N1399" s="36">
        <f t="shared" si="827"/>
        <v>0</v>
      </c>
      <c r="O1399" s="36">
        <f t="shared" si="827"/>
        <v>0</v>
      </c>
      <c r="P1399" s="268">
        <f t="shared" si="827"/>
        <v>0</v>
      </c>
      <c r="Q1399" s="281">
        <f>SUM(L1399:P1399)</f>
        <v>160000</v>
      </c>
      <c r="R1399" s="39"/>
      <c r="S1399" s="115"/>
      <c r="T1399" s="51"/>
    </row>
    <row r="1400" spans="1:26" x14ac:dyDescent="0.2">
      <c r="A1400" s="17" t="s">
        <v>1268</v>
      </c>
      <c r="B1400" s="45"/>
      <c r="C1400" s="329" t="s">
        <v>828</v>
      </c>
      <c r="D1400" s="18"/>
      <c r="E1400" s="97"/>
      <c r="F1400" s="98"/>
      <c r="G1400" s="98"/>
      <c r="H1400" s="98"/>
      <c r="I1400" s="98"/>
      <c r="J1400" s="99">
        <f t="shared" si="822"/>
        <v>0</v>
      </c>
      <c r="K1400" s="116"/>
      <c r="L1400" s="35">
        <f t="shared" si="827"/>
        <v>0</v>
      </c>
      <c r="M1400" s="34">
        <f t="shared" si="827"/>
        <v>0</v>
      </c>
      <c r="N1400" s="34">
        <f t="shared" si="827"/>
        <v>0</v>
      </c>
      <c r="O1400" s="34">
        <f t="shared" si="827"/>
        <v>0</v>
      </c>
      <c r="P1400" s="269">
        <f t="shared" si="827"/>
        <v>0</v>
      </c>
      <c r="Q1400" s="279">
        <f>SUM(L1400:P1400)</f>
        <v>0</v>
      </c>
      <c r="R1400" s="180"/>
      <c r="S1400" s="181"/>
      <c r="T1400" s="50"/>
    </row>
    <row r="1401" spans="1:26" x14ac:dyDescent="0.2">
      <c r="A1401" s="20" t="s">
        <v>1362</v>
      </c>
      <c r="B1401" s="46"/>
      <c r="C1401" s="51"/>
      <c r="D1401" s="21"/>
      <c r="E1401" s="96"/>
      <c r="F1401" s="100"/>
      <c r="G1401" s="100"/>
      <c r="H1401" s="100"/>
      <c r="I1401" s="100"/>
      <c r="J1401" s="101">
        <f t="shared" si="822"/>
        <v>0</v>
      </c>
      <c r="K1401" s="115"/>
      <c r="L1401" s="161">
        <f t="shared" ref="L1401:Q1401" si="828">SUM(L1402:L1403)</f>
        <v>0</v>
      </c>
      <c r="M1401" s="157">
        <f t="shared" si="828"/>
        <v>11000</v>
      </c>
      <c r="N1401" s="157">
        <f t="shared" si="828"/>
        <v>0</v>
      </c>
      <c r="O1401" s="157">
        <f t="shared" si="828"/>
        <v>0</v>
      </c>
      <c r="P1401" s="270">
        <f t="shared" si="828"/>
        <v>0</v>
      </c>
      <c r="Q1401" s="284">
        <f t="shared" si="828"/>
        <v>11000</v>
      </c>
      <c r="R1401" s="205" t="s">
        <v>1415</v>
      </c>
      <c r="S1401" s="183" t="s">
        <v>665</v>
      </c>
      <c r="T1401" s="51"/>
    </row>
    <row r="1402" spans="1:26" x14ac:dyDescent="0.2">
      <c r="A1402" s="95">
        <v>2</v>
      </c>
      <c r="B1402" s="108" t="str">
        <f>IF(A1402&lt;&gt;0,INDEX(Coûts,'PA-Détails'!A1402, 2),)</f>
        <v>Assistance technique nationale (consultants)</v>
      </c>
      <c r="C1402" s="51"/>
      <c r="D1402" s="94" t="str">
        <f>IF(A1402&lt;&gt;0,INDEX(Coûts, 'PA-Détails'!A1402, 5),)</f>
        <v>Pers / j</v>
      </c>
      <c r="E1402" s="96"/>
      <c r="F1402" s="100">
        <v>20</v>
      </c>
      <c r="G1402" s="100"/>
      <c r="H1402" s="100"/>
      <c r="I1402" s="100"/>
      <c r="J1402" s="101">
        <f t="shared" si="822"/>
        <v>20</v>
      </c>
      <c r="K1402" s="115">
        <f>IF(A1402&lt;&gt;0,INDEX(Coûts, 'PA-Détails'!A1402, 3),)</f>
        <v>300</v>
      </c>
      <c r="L1402" s="37">
        <f t="shared" ref="L1402:P1403" si="829">ROUND(+$K1402*E1402,0)</f>
        <v>0</v>
      </c>
      <c r="M1402" s="36">
        <f t="shared" si="829"/>
        <v>6000</v>
      </c>
      <c r="N1402" s="36">
        <f t="shared" si="829"/>
        <v>0</v>
      </c>
      <c r="O1402" s="36">
        <f t="shared" si="829"/>
        <v>0</v>
      </c>
      <c r="P1402" s="268">
        <f t="shared" si="829"/>
        <v>0</v>
      </c>
      <c r="Q1402" s="281">
        <f>SUM(L1402:P1402)</f>
        <v>6000</v>
      </c>
      <c r="R1402" s="39"/>
      <c r="S1402" s="115"/>
      <c r="T1402" s="51"/>
    </row>
    <row r="1403" spans="1:26" x14ac:dyDescent="0.2">
      <c r="A1403" s="95">
        <v>5</v>
      </c>
      <c r="B1403" s="108" t="str">
        <f>IF(A1403&lt;&gt;0,INDEX(Coûts,'PA-Détails'!A1403, 2),)</f>
        <v>Atelier de validation</v>
      </c>
      <c r="C1403" s="51"/>
      <c r="D1403" s="94" t="str">
        <f>IF(A1403&lt;&gt;0,INDEX(Coûts, 'PA-Détails'!A1403, 5),)</f>
        <v>Pers / j</v>
      </c>
      <c r="E1403" s="96"/>
      <c r="F1403" s="100">
        <v>100</v>
      </c>
      <c r="G1403" s="100"/>
      <c r="H1403" s="100"/>
      <c r="I1403" s="100"/>
      <c r="J1403" s="101">
        <f t="shared" si="822"/>
        <v>100</v>
      </c>
      <c r="K1403" s="115">
        <f>IF(A1403&lt;&gt;0,INDEX(Coûts, 'PA-Détails'!A1403, 3),)</f>
        <v>50</v>
      </c>
      <c r="L1403" s="37">
        <f t="shared" si="829"/>
        <v>0</v>
      </c>
      <c r="M1403" s="36">
        <f t="shared" si="829"/>
        <v>5000</v>
      </c>
      <c r="N1403" s="36">
        <f t="shared" si="829"/>
        <v>0</v>
      </c>
      <c r="O1403" s="36">
        <f t="shared" si="829"/>
        <v>0</v>
      </c>
      <c r="P1403" s="268">
        <f t="shared" si="829"/>
        <v>0</v>
      </c>
      <c r="Q1403" s="281">
        <f>SUM(L1403:P1403)</f>
        <v>5000</v>
      </c>
      <c r="R1403" s="39"/>
      <c r="S1403" s="115"/>
      <c r="T1403" s="51"/>
    </row>
    <row r="1404" spans="1:26" x14ac:dyDescent="0.2">
      <c r="A1404" s="14" t="s">
        <v>1269</v>
      </c>
      <c r="B1404" s="44"/>
      <c r="C1404" s="112"/>
      <c r="D1404" s="15"/>
      <c r="E1404" s="102"/>
      <c r="F1404" s="103"/>
      <c r="G1404" s="103"/>
      <c r="H1404" s="103"/>
      <c r="I1404" s="103"/>
      <c r="J1404" s="104">
        <f t="shared" si="822"/>
        <v>0</v>
      </c>
      <c r="K1404" s="145"/>
      <c r="L1404" s="33">
        <f t="shared" ref="L1404:P1405" si="830">ROUND(+$K1404*E1404,0)</f>
        <v>0</v>
      </c>
      <c r="M1404" s="32">
        <f t="shared" si="830"/>
        <v>0</v>
      </c>
      <c r="N1404" s="32">
        <f t="shared" si="830"/>
        <v>0</v>
      </c>
      <c r="O1404" s="32">
        <f t="shared" si="830"/>
        <v>0</v>
      </c>
      <c r="P1404" s="267">
        <f t="shared" si="830"/>
        <v>0</v>
      </c>
      <c r="Q1404" s="278">
        <f t="shared" ref="Q1404:Q1405" si="831">SUM(L1404:P1404)</f>
        <v>0</v>
      </c>
      <c r="R1404" s="178"/>
      <c r="S1404" s="179"/>
      <c r="T1404" s="49">
        <v>3</v>
      </c>
    </row>
    <row r="1405" spans="1:26" s="162" customFormat="1" x14ac:dyDescent="0.2">
      <c r="A1405" s="122" t="s">
        <v>1270</v>
      </c>
      <c r="B1405" s="152"/>
      <c r="C1405" s="162" t="s">
        <v>1132</v>
      </c>
      <c r="D1405" s="155"/>
      <c r="E1405" s="96"/>
      <c r="F1405" s="100"/>
      <c r="G1405" s="100"/>
      <c r="H1405" s="100"/>
      <c r="I1405" s="100"/>
      <c r="J1405" s="101">
        <f t="shared" si="822"/>
        <v>0</v>
      </c>
      <c r="K1405" s="208"/>
      <c r="L1405" s="161">
        <f t="shared" si="830"/>
        <v>0</v>
      </c>
      <c r="M1405" s="157">
        <f t="shared" si="830"/>
        <v>0</v>
      </c>
      <c r="N1405" s="157">
        <f t="shared" si="830"/>
        <v>0</v>
      </c>
      <c r="O1405" s="157">
        <f t="shared" si="830"/>
        <v>0</v>
      </c>
      <c r="P1405" s="270">
        <f t="shared" si="830"/>
        <v>0</v>
      </c>
      <c r="Q1405" s="284">
        <f t="shared" si="831"/>
        <v>0</v>
      </c>
      <c r="R1405" s="200"/>
      <c r="S1405" s="201"/>
      <c r="T1405" s="154"/>
      <c r="U1405" s="653"/>
      <c r="V1405" s="572"/>
      <c r="W1405" s="572"/>
      <c r="X1405" s="572"/>
      <c r="Y1405" s="572"/>
      <c r="Z1405" s="572"/>
    </row>
    <row r="1406" spans="1:26" s="162" customFormat="1" x14ac:dyDescent="0.2">
      <c r="A1406" s="123" t="s">
        <v>1271</v>
      </c>
      <c r="B1406" s="202"/>
      <c r="C1406" s="153"/>
      <c r="D1406" s="203"/>
      <c r="E1406" s="96"/>
      <c r="F1406" s="100"/>
      <c r="G1406" s="100"/>
      <c r="H1406" s="100"/>
      <c r="I1406" s="100"/>
      <c r="J1406" s="101">
        <f t="shared" si="822"/>
        <v>0</v>
      </c>
      <c r="K1406" s="94"/>
      <c r="L1406" s="161">
        <f t="shared" ref="L1406:Q1406" si="832">SUM(L1407:L1410)</f>
        <v>0</v>
      </c>
      <c r="M1406" s="157">
        <f t="shared" si="832"/>
        <v>47500</v>
      </c>
      <c r="N1406" s="157">
        <f t="shared" si="832"/>
        <v>0</v>
      </c>
      <c r="O1406" s="157">
        <f t="shared" si="832"/>
        <v>0</v>
      </c>
      <c r="P1406" s="270">
        <f t="shared" si="832"/>
        <v>0</v>
      </c>
      <c r="Q1406" s="282">
        <f t="shared" si="832"/>
        <v>47500</v>
      </c>
      <c r="R1406" s="169" t="s">
        <v>1414</v>
      </c>
      <c r="S1406" s="94" t="s">
        <v>665</v>
      </c>
      <c r="T1406" s="153"/>
      <c r="U1406" s="653"/>
      <c r="V1406" s="572"/>
      <c r="W1406" s="572"/>
      <c r="X1406" s="572"/>
      <c r="Y1406" s="572"/>
      <c r="Z1406" s="572"/>
    </row>
    <row r="1407" spans="1:26" s="162" customFormat="1" x14ac:dyDescent="0.2">
      <c r="A1407" s="204">
        <v>2</v>
      </c>
      <c r="B1407" s="163" t="str">
        <f>IF(A1407&lt;&gt;0,INDEX(Coûts,'PA-Détails'!A1407, 2),)</f>
        <v>Assistance technique nationale (consultants)</v>
      </c>
      <c r="C1407" s="153"/>
      <c r="D1407" s="94" t="str">
        <f>IF(A1407&lt;&gt;0,INDEX(Coûts, 'PA-Détails'!A1407, 5),)</f>
        <v>Pers / j</v>
      </c>
      <c r="E1407" s="96"/>
      <c r="F1407" s="100">
        <v>25</v>
      </c>
      <c r="G1407" s="100"/>
      <c r="H1407" s="100"/>
      <c r="I1407" s="100"/>
      <c r="J1407" s="101">
        <f>SUM(F1407:I1407)</f>
        <v>25</v>
      </c>
      <c r="K1407" s="94">
        <f>IF(A1407&lt;&gt;0,INDEX(Coûts, 'PA-Détails'!A1407, 3),)</f>
        <v>300</v>
      </c>
      <c r="L1407" s="167">
        <f t="shared" ref="L1407:P1412" si="833">ROUND(+$K1407*E1407,0)</f>
        <v>0</v>
      </c>
      <c r="M1407" s="168">
        <f t="shared" si="833"/>
        <v>7500</v>
      </c>
      <c r="N1407" s="168">
        <f t="shared" si="833"/>
        <v>0</v>
      </c>
      <c r="O1407" s="168">
        <f t="shared" si="833"/>
        <v>0</v>
      </c>
      <c r="P1407" s="271">
        <f t="shared" si="833"/>
        <v>0</v>
      </c>
      <c r="Q1407" s="283">
        <f>SUM(L1407:P1407)</f>
        <v>7500</v>
      </c>
      <c r="R1407" s="169"/>
      <c r="S1407" s="94"/>
      <c r="T1407" s="153"/>
      <c r="U1407" s="653"/>
      <c r="V1407" s="572"/>
      <c r="W1407" s="572"/>
      <c r="X1407" s="572"/>
      <c r="Y1407" s="572"/>
      <c r="Z1407" s="572"/>
    </row>
    <row r="1408" spans="1:26" s="162" customFormat="1" x14ac:dyDescent="0.2">
      <c r="A1408" s="204">
        <v>1</v>
      </c>
      <c r="B1408" s="163" t="str">
        <f>IF(A1408&lt;&gt;0,INDEX(Coûts,'PA-Détails'!A1408, 2),)</f>
        <v>Assistance technique internationale (consultants)</v>
      </c>
      <c r="C1408" s="153"/>
      <c r="D1408" s="94" t="str">
        <f>IF(A1408&lt;&gt;0,INDEX(Coûts, 'PA-Détails'!A1408, 5),)</f>
        <v>Pers / j</v>
      </c>
      <c r="E1408" s="96"/>
      <c r="F1408" s="100">
        <v>20</v>
      </c>
      <c r="G1408" s="100"/>
      <c r="H1408" s="100"/>
      <c r="I1408" s="100"/>
      <c r="J1408" s="101">
        <f>SUM(F1408:I1408)</f>
        <v>20</v>
      </c>
      <c r="K1408" s="94">
        <f>IF(A1408&lt;&gt;0,INDEX(Coûts, 'PA-Détails'!A1408, 3),)</f>
        <v>1150</v>
      </c>
      <c r="L1408" s="167">
        <f t="shared" si="833"/>
        <v>0</v>
      </c>
      <c r="M1408" s="168">
        <f t="shared" si="833"/>
        <v>23000</v>
      </c>
      <c r="N1408" s="168">
        <f t="shared" si="833"/>
        <v>0</v>
      </c>
      <c r="O1408" s="168">
        <f t="shared" si="833"/>
        <v>0</v>
      </c>
      <c r="P1408" s="271">
        <f t="shared" si="833"/>
        <v>0</v>
      </c>
      <c r="Q1408" s="283">
        <f>SUM(L1408:P1408)</f>
        <v>23000</v>
      </c>
      <c r="T1408" s="153"/>
      <c r="U1408" s="653"/>
      <c r="V1408" s="572"/>
      <c r="W1408" s="572"/>
      <c r="X1408" s="572"/>
      <c r="Y1408" s="572"/>
      <c r="Z1408" s="572"/>
    </row>
    <row r="1409" spans="1:26" s="162" customFormat="1" x14ac:dyDescent="0.2">
      <c r="A1409" s="204">
        <v>11</v>
      </c>
      <c r="B1409" s="163" t="str">
        <f>IF(A1409&lt;&gt;0,INDEX(Coûts,'PA-Détails'!A1409, 2),)</f>
        <v>Atelier technique</v>
      </c>
      <c r="C1409" s="153"/>
      <c r="D1409" s="94" t="str">
        <f>IF(A1409&lt;&gt;0,INDEX(Coûts, 'PA-Détails'!A1409, 5),)</f>
        <v>Pers / j</v>
      </c>
      <c r="E1409" s="96"/>
      <c r="F1409" s="100">
        <v>100</v>
      </c>
      <c r="G1409" s="100"/>
      <c r="H1409" s="100"/>
      <c r="I1409" s="100"/>
      <c r="J1409" s="101">
        <f>SUM(F1409:I1409)</f>
        <v>100</v>
      </c>
      <c r="K1409" s="94">
        <f>IF(A1409&lt;&gt;0,INDEX(Coûts, 'PA-Détails'!A1409, 3),)</f>
        <v>70</v>
      </c>
      <c r="L1409" s="167">
        <f t="shared" si="833"/>
        <v>0</v>
      </c>
      <c r="M1409" s="168">
        <f t="shared" si="833"/>
        <v>7000</v>
      </c>
      <c r="N1409" s="168">
        <f t="shared" si="833"/>
        <v>0</v>
      </c>
      <c r="O1409" s="168">
        <f t="shared" si="833"/>
        <v>0</v>
      </c>
      <c r="P1409" s="271">
        <f t="shared" si="833"/>
        <v>0</v>
      </c>
      <c r="Q1409" s="283">
        <f>SUM(M1409:P1409)</f>
        <v>7000</v>
      </c>
      <c r="R1409" s="169"/>
      <c r="S1409" s="94"/>
      <c r="T1409" s="153"/>
      <c r="U1409" s="653"/>
      <c r="V1409" s="572"/>
      <c r="W1409" s="572"/>
      <c r="X1409" s="572"/>
      <c r="Y1409" s="572"/>
      <c r="Z1409" s="572"/>
    </row>
    <row r="1410" spans="1:26" s="162" customFormat="1" x14ac:dyDescent="0.2">
      <c r="A1410" s="204">
        <v>5</v>
      </c>
      <c r="B1410" s="163" t="str">
        <f>IF(A1410&lt;&gt;0,INDEX(Coûts,'PA-Détails'!A1410, 2),)</f>
        <v>Atelier de validation</v>
      </c>
      <c r="C1410" s="153"/>
      <c r="D1410" s="94" t="str">
        <f>IF(A1410&lt;&gt;0,INDEX(Coûts, 'PA-Détails'!A1410, 5),)</f>
        <v>Pers / j</v>
      </c>
      <c r="E1410" s="96"/>
      <c r="F1410" s="100">
        <v>200</v>
      </c>
      <c r="G1410" s="100"/>
      <c r="H1410" s="100"/>
      <c r="I1410" s="100"/>
      <c r="J1410" s="101">
        <f>SUM(F1410:I1410)</f>
        <v>200</v>
      </c>
      <c r="K1410" s="94">
        <f>IF(A1410&lt;&gt;0,INDEX(Coûts, 'PA-Détails'!A1410, 3),)</f>
        <v>50</v>
      </c>
      <c r="L1410" s="167">
        <f t="shared" si="833"/>
        <v>0</v>
      </c>
      <c r="M1410" s="168">
        <f t="shared" si="833"/>
        <v>10000</v>
      </c>
      <c r="N1410" s="168">
        <f t="shared" si="833"/>
        <v>0</v>
      </c>
      <c r="O1410" s="168">
        <f t="shared" si="833"/>
        <v>0</v>
      </c>
      <c r="P1410" s="271">
        <f t="shared" si="833"/>
        <v>0</v>
      </c>
      <c r="Q1410" s="283">
        <f>SUM(M1410:P1410)</f>
        <v>10000</v>
      </c>
      <c r="R1410" s="169"/>
      <c r="S1410" s="94"/>
      <c r="T1410" s="153"/>
      <c r="U1410" s="653"/>
      <c r="V1410" s="572"/>
      <c r="W1410" s="572"/>
      <c r="X1410" s="572"/>
      <c r="Y1410" s="572"/>
      <c r="Z1410" s="572"/>
    </row>
    <row r="1411" spans="1:26" x14ac:dyDescent="0.2">
      <c r="A1411" s="20" t="s">
        <v>1272</v>
      </c>
      <c r="B1411" s="46"/>
      <c r="C1411" s="51"/>
      <c r="D1411" s="21"/>
      <c r="E1411" s="96"/>
      <c r="F1411" s="100"/>
      <c r="G1411" s="100"/>
      <c r="H1411" s="100"/>
      <c r="I1411" s="100"/>
      <c r="J1411" s="101">
        <f>SUM(E1411:I1411)</f>
        <v>0</v>
      </c>
      <c r="K1411" s="115"/>
      <c r="L1411" s="167">
        <f t="shared" si="833"/>
        <v>0</v>
      </c>
      <c r="M1411" s="168">
        <f t="shared" si="833"/>
        <v>0</v>
      </c>
      <c r="N1411" s="168">
        <f t="shared" si="833"/>
        <v>0</v>
      </c>
      <c r="O1411" s="168">
        <f t="shared" si="833"/>
        <v>0</v>
      </c>
      <c r="P1411" s="271">
        <f t="shared" si="833"/>
        <v>0</v>
      </c>
      <c r="Q1411" s="283">
        <f>SUM(L1411:P1411)</f>
        <v>0</v>
      </c>
      <c r="R1411" s="182"/>
      <c r="S1411" s="183"/>
      <c r="T1411" s="51"/>
    </row>
    <row r="1412" spans="1:26" x14ac:dyDescent="0.2">
      <c r="A1412" s="17" t="s">
        <v>1273</v>
      </c>
      <c r="B1412" s="45"/>
      <c r="C1412" s="329" t="s">
        <v>816</v>
      </c>
      <c r="D1412" s="18"/>
      <c r="E1412" s="96"/>
      <c r="F1412" s="100"/>
      <c r="G1412" s="100"/>
      <c r="H1412" s="100"/>
      <c r="I1412" s="100"/>
      <c r="J1412" s="101">
        <f>SUM(E1412:I1412)</f>
        <v>0</v>
      </c>
      <c r="K1412" s="116"/>
      <c r="L1412" s="167">
        <f t="shared" si="833"/>
        <v>0</v>
      </c>
      <c r="M1412" s="168">
        <f t="shared" si="833"/>
        <v>0</v>
      </c>
      <c r="N1412" s="168">
        <f t="shared" si="833"/>
        <v>0</v>
      </c>
      <c r="O1412" s="168">
        <f t="shared" si="833"/>
        <v>0</v>
      </c>
      <c r="P1412" s="271">
        <f t="shared" si="833"/>
        <v>0</v>
      </c>
      <c r="Q1412" s="283">
        <f>SUM(L1412:P1412)</f>
        <v>0</v>
      </c>
      <c r="R1412" s="180"/>
      <c r="S1412" s="181"/>
      <c r="T1412" s="50"/>
    </row>
    <row r="1413" spans="1:26" x14ac:dyDescent="0.2">
      <c r="A1413" s="20" t="s">
        <v>1274</v>
      </c>
      <c r="B1413" s="46"/>
      <c r="C1413" s="51"/>
      <c r="D1413" s="21"/>
      <c r="E1413" s="96"/>
      <c r="F1413" s="100"/>
      <c r="G1413" s="100"/>
      <c r="H1413" s="100"/>
      <c r="I1413" s="100"/>
      <c r="J1413" s="101">
        <f>SUM(E1413:I1413)</f>
        <v>0</v>
      </c>
      <c r="K1413" s="115"/>
      <c r="L1413" s="161">
        <f t="shared" ref="L1413:Q1413" si="834">SUM(L1414:L1417)</f>
        <v>0</v>
      </c>
      <c r="M1413" s="157">
        <f t="shared" si="834"/>
        <v>40400</v>
      </c>
      <c r="N1413" s="157">
        <f t="shared" si="834"/>
        <v>0</v>
      </c>
      <c r="O1413" s="157">
        <f t="shared" si="834"/>
        <v>0</v>
      </c>
      <c r="P1413" s="270">
        <f t="shared" si="834"/>
        <v>0</v>
      </c>
      <c r="Q1413" s="282">
        <f t="shared" si="834"/>
        <v>40400</v>
      </c>
      <c r="R1413" s="182" t="s">
        <v>1416</v>
      </c>
      <c r="S1413" s="183" t="s">
        <v>665</v>
      </c>
      <c r="T1413" s="51"/>
    </row>
    <row r="1414" spans="1:26" s="162" customFormat="1" x14ac:dyDescent="0.2">
      <c r="A1414" s="199">
        <v>2</v>
      </c>
      <c r="B1414" s="163" t="str">
        <f>IF(A1414&lt;&gt;0,INDEX(Coûts,'PA-Détails'!A1414, 2),)</f>
        <v>Assistance technique nationale (consultants)</v>
      </c>
      <c r="C1414" s="153"/>
      <c r="D1414" s="94" t="str">
        <f>IF(A1414&lt;&gt;0,INDEX(Coûts, 'PA-Détails'!A1414, 5),)</f>
        <v>Pers / j</v>
      </c>
      <c r="E1414" s="96"/>
      <c r="F1414" s="100">
        <v>25</v>
      </c>
      <c r="G1414" s="100"/>
      <c r="H1414" s="100"/>
      <c r="I1414" s="100"/>
      <c r="J1414" s="101">
        <f t="shared" ref="J1414:J1420" si="835">SUM(F1414:I1414)</f>
        <v>25</v>
      </c>
      <c r="K1414" s="94">
        <f>IF(A1414&lt;&gt;0,INDEX(Coûts, 'PA-Détails'!A1414, 3),)</f>
        <v>300</v>
      </c>
      <c r="L1414" s="167">
        <f t="shared" ref="L1414:P1417" si="836">ROUND(+$K1414*E1414,0)</f>
        <v>0</v>
      </c>
      <c r="M1414" s="168">
        <f t="shared" si="836"/>
        <v>7500</v>
      </c>
      <c r="N1414" s="168">
        <f t="shared" si="836"/>
        <v>0</v>
      </c>
      <c r="O1414" s="168">
        <f t="shared" si="836"/>
        <v>0</v>
      </c>
      <c r="P1414" s="271">
        <f t="shared" si="836"/>
        <v>0</v>
      </c>
      <c r="Q1414" s="283">
        <f>SUM(L1414:P1414)</f>
        <v>7500</v>
      </c>
      <c r="R1414" s="169"/>
      <c r="S1414" s="94"/>
      <c r="T1414" s="153"/>
      <c r="U1414" s="653"/>
      <c r="V1414" s="572"/>
      <c r="W1414" s="572"/>
      <c r="X1414" s="572"/>
      <c r="Y1414" s="572"/>
      <c r="Z1414" s="572"/>
    </row>
    <row r="1415" spans="1:26" s="162" customFormat="1" x14ac:dyDescent="0.2">
      <c r="A1415" s="199">
        <v>1</v>
      </c>
      <c r="B1415" s="163" t="str">
        <f>IF(A1415&lt;&gt;0,INDEX(Coûts,'PA-Détails'!A1415, 2),)</f>
        <v>Assistance technique internationale (consultants)</v>
      </c>
      <c r="C1415" s="153"/>
      <c r="D1415" s="94" t="str">
        <f>IF(A1415&lt;&gt;0,INDEX(Coûts, 'PA-Détails'!A1415, 5),)</f>
        <v>Pers / j</v>
      </c>
      <c r="E1415" s="96"/>
      <c r="F1415" s="100">
        <v>20</v>
      </c>
      <c r="G1415" s="100"/>
      <c r="H1415" s="100"/>
      <c r="I1415" s="100"/>
      <c r="J1415" s="101">
        <f t="shared" si="835"/>
        <v>20</v>
      </c>
      <c r="K1415" s="94">
        <f>IF(A1415&lt;&gt;0,INDEX(Coûts, 'PA-Détails'!A1415, 3),)</f>
        <v>1150</v>
      </c>
      <c r="L1415" s="167">
        <f t="shared" si="836"/>
        <v>0</v>
      </c>
      <c r="M1415" s="168">
        <f t="shared" si="836"/>
        <v>23000</v>
      </c>
      <c r="N1415" s="168">
        <f t="shared" si="836"/>
        <v>0</v>
      </c>
      <c r="O1415" s="168">
        <f t="shared" si="836"/>
        <v>0</v>
      </c>
      <c r="P1415" s="271">
        <f t="shared" si="836"/>
        <v>0</v>
      </c>
      <c r="Q1415" s="283">
        <f>SUM(L1415:P1415)</f>
        <v>23000</v>
      </c>
      <c r="T1415" s="153"/>
      <c r="U1415" s="653"/>
      <c r="V1415" s="572"/>
      <c r="W1415" s="572"/>
      <c r="X1415" s="572"/>
      <c r="Y1415" s="572"/>
      <c r="Z1415" s="572"/>
    </row>
    <row r="1416" spans="1:26" s="162" customFormat="1" x14ac:dyDescent="0.2">
      <c r="A1416" s="199">
        <v>11</v>
      </c>
      <c r="B1416" s="163" t="str">
        <f>IF(A1416&lt;&gt;0,INDEX(Coûts,'PA-Détails'!A1416, 2),)</f>
        <v>Atelier technique</v>
      </c>
      <c r="C1416" s="153"/>
      <c r="D1416" s="94" t="str">
        <f>IF(A1416&lt;&gt;0,INDEX(Coûts, 'PA-Détails'!A1416, 5),)</f>
        <v>Pers / j</v>
      </c>
      <c r="E1416" s="96"/>
      <c r="F1416" s="100">
        <v>70</v>
      </c>
      <c r="G1416" s="100"/>
      <c r="H1416" s="100"/>
      <c r="I1416" s="100"/>
      <c r="J1416" s="101">
        <f t="shared" si="835"/>
        <v>70</v>
      </c>
      <c r="K1416" s="94">
        <f>IF(A1416&lt;&gt;0,INDEX(Coûts, 'PA-Détails'!A1416, 3),)</f>
        <v>70</v>
      </c>
      <c r="L1416" s="167">
        <f t="shared" si="836"/>
        <v>0</v>
      </c>
      <c r="M1416" s="168">
        <f t="shared" si="836"/>
        <v>4900</v>
      </c>
      <c r="N1416" s="168">
        <f t="shared" si="836"/>
        <v>0</v>
      </c>
      <c r="O1416" s="168">
        <f t="shared" si="836"/>
        <v>0</v>
      </c>
      <c r="P1416" s="271">
        <f t="shared" si="836"/>
        <v>0</v>
      </c>
      <c r="Q1416" s="283">
        <f>SUM(M1416:P1416)</f>
        <v>4900</v>
      </c>
      <c r="R1416" s="169"/>
      <c r="S1416" s="94"/>
      <c r="T1416" s="153"/>
      <c r="U1416" s="653"/>
      <c r="V1416" s="572"/>
      <c r="W1416" s="572"/>
      <c r="X1416" s="572"/>
      <c r="Y1416" s="572"/>
      <c r="Z1416" s="572"/>
    </row>
    <row r="1417" spans="1:26" s="162" customFormat="1" x14ac:dyDescent="0.2">
      <c r="A1417" s="199">
        <v>5</v>
      </c>
      <c r="B1417" s="163" t="str">
        <f>IF(A1417&lt;&gt;0,INDEX(Coûts,'PA-Détails'!A1417, 2),)</f>
        <v>Atelier de validation</v>
      </c>
      <c r="C1417" s="153"/>
      <c r="D1417" s="94" t="str">
        <f>IF(A1417&lt;&gt;0,INDEX(Coûts, 'PA-Détails'!A1417, 5),)</f>
        <v>Pers / j</v>
      </c>
      <c r="E1417" s="96"/>
      <c r="F1417" s="100">
        <v>100</v>
      </c>
      <c r="G1417" s="100"/>
      <c r="H1417" s="100"/>
      <c r="I1417" s="100"/>
      <c r="J1417" s="101">
        <f t="shared" si="835"/>
        <v>100</v>
      </c>
      <c r="K1417" s="94">
        <f>IF(A1417&lt;&gt;0,INDEX(Coûts, 'PA-Détails'!A1417, 3),)</f>
        <v>50</v>
      </c>
      <c r="L1417" s="167">
        <f t="shared" si="836"/>
        <v>0</v>
      </c>
      <c r="M1417" s="168">
        <f t="shared" si="836"/>
        <v>5000</v>
      </c>
      <c r="N1417" s="168">
        <f t="shared" si="836"/>
        <v>0</v>
      </c>
      <c r="O1417" s="168">
        <f t="shared" si="836"/>
        <v>0</v>
      </c>
      <c r="P1417" s="271">
        <f t="shared" si="836"/>
        <v>0</v>
      </c>
      <c r="Q1417" s="283">
        <f>SUM(M1417:P1417)</f>
        <v>5000</v>
      </c>
      <c r="R1417" s="169"/>
      <c r="S1417" s="94"/>
      <c r="T1417" s="153"/>
      <c r="U1417" s="653"/>
      <c r="V1417" s="572"/>
      <c r="W1417" s="572"/>
      <c r="X1417" s="572"/>
      <c r="Y1417" s="572"/>
      <c r="Z1417" s="572"/>
    </row>
    <row r="1418" spans="1:26" x14ac:dyDescent="0.2">
      <c r="A1418" s="20" t="s">
        <v>1275</v>
      </c>
      <c r="B1418" s="46"/>
      <c r="C1418" s="51"/>
      <c r="D1418" s="21"/>
      <c r="E1418" s="96"/>
      <c r="F1418" s="100"/>
      <c r="G1418" s="100"/>
      <c r="H1418" s="100"/>
      <c r="I1418" s="100"/>
      <c r="J1418" s="101">
        <f t="shared" si="835"/>
        <v>0</v>
      </c>
      <c r="K1418" s="115"/>
      <c r="L1418" s="161">
        <f t="shared" ref="L1418:Q1418" si="837">SUM(L1419:L1420)</f>
        <v>0</v>
      </c>
      <c r="M1418" s="157">
        <f t="shared" si="837"/>
        <v>18000</v>
      </c>
      <c r="N1418" s="157">
        <f t="shared" si="837"/>
        <v>0</v>
      </c>
      <c r="O1418" s="157">
        <f t="shared" si="837"/>
        <v>0</v>
      </c>
      <c r="P1418" s="270">
        <f t="shared" si="837"/>
        <v>0</v>
      </c>
      <c r="Q1418" s="284">
        <f t="shared" si="837"/>
        <v>18000</v>
      </c>
      <c r="R1418" s="182" t="s">
        <v>1430</v>
      </c>
      <c r="S1418" s="183" t="s">
        <v>665</v>
      </c>
      <c r="T1418" s="51"/>
    </row>
    <row r="1419" spans="1:26" s="162" customFormat="1" x14ac:dyDescent="0.2">
      <c r="A1419" s="199">
        <v>2</v>
      </c>
      <c r="B1419" s="163" t="str">
        <f>IF(A1419&lt;&gt;0,INDEX(Coûts,'PA-Détails'!A1419, 2),)</f>
        <v>Assistance technique nationale (consultants)</v>
      </c>
      <c r="C1419" s="153"/>
      <c r="D1419" s="94" t="str">
        <f>IF(A1419&lt;&gt;0,INDEX(Coûts, 'PA-Détails'!A1419, 5),)</f>
        <v>Pers / j</v>
      </c>
      <c r="E1419" s="96"/>
      <c r="F1419" s="100">
        <v>25</v>
      </c>
      <c r="G1419" s="100"/>
      <c r="H1419" s="100"/>
      <c r="I1419" s="100"/>
      <c r="J1419" s="101">
        <f t="shared" si="835"/>
        <v>25</v>
      </c>
      <c r="K1419" s="94">
        <f>IF(A1419&lt;&gt;0,INDEX(Coûts, 'PA-Détails'!A1419, 3),)</f>
        <v>300</v>
      </c>
      <c r="L1419" s="167">
        <f t="shared" ref="L1419:P1420" si="838">ROUND(+$K1419*E1419,0)</f>
        <v>0</v>
      </c>
      <c r="M1419" s="168">
        <f t="shared" si="838"/>
        <v>7500</v>
      </c>
      <c r="N1419" s="168">
        <f t="shared" si="838"/>
        <v>0</v>
      </c>
      <c r="O1419" s="168">
        <f t="shared" si="838"/>
        <v>0</v>
      </c>
      <c r="P1419" s="271">
        <f t="shared" si="838"/>
        <v>0</v>
      </c>
      <c r="Q1419" s="283">
        <f>SUM(M1419:P1419)</f>
        <v>7500</v>
      </c>
      <c r="R1419" s="169"/>
      <c r="S1419" s="94"/>
      <c r="T1419" s="153"/>
      <c r="U1419" s="653"/>
      <c r="V1419" s="572"/>
      <c r="W1419" s="572"/>
      <c r="X1419" s="572"/>
      <c r="Y1419" s="572"/>
      <c r="Z1419" s="572"/>
    </row>
    <row r="1420" spans="1:26" s="162" customFormat="1" x14ac:dyDescent="0.2">
      <c r="A1420" s="199">
        <v>11</v>
      </c>
      <c r="B1420" s="163" t="str">
        <f>IF(A1420&lt;&gt;0,INDEX(Coûts,'PA-Détails'!A1420, 2),)</f>
        <v>Atelier technique</v>
      </c>
      <c r="C1420" s="153"/>
      <c r="D1420" s="94" t="str">
        <f>IF(A1420&lt;&gt;0,INDEX(Coûts, 'PA-Détails'!A1420, 5),)</f>
        <v>Pers / j</v>
      </c>
      <c r="E1420" s="96"/>
      <c r="F1420" s="100">
        <v>150</v>
      </c>
      <c r="G1420" s="100"/>
      <c r="H1420" s="100"/>
      <c r="I1420" s="100"/>
      <c r="J1420" s="101">
        <f t="shared" si="835"/>
        <v>150</v>
      </c>
      <c r="K1420" s="94">
        <f>IF(A1420&lt;&gt;0,INDEX(Coûts, 'PA-Détails'!A1420, 3),)</f>
        <v>70</v>
      </c>
      <c r="L1420" s="167">
        <f t="shared" si="838"/>
        <v>0</v>
      </c>
      <c r="M1420" s="168">
        <f t="shared" si="838"/>
        <v>10500</v>
      </c>
      <c r="N1420" s="168">
        <f t="shared" si="838"/>
        <v>0</v>
      </c>
      <c r="O1420" s="168">
        <f t="shared" si="838"/>
        <v>0</v>
      </c>
      <c r="P1420" s="271">
        <f t="shared" si="838"/>
        <v>0</v>
      </c>
      <c r="Q1420" s="283">
        <f>SUM(M1420:P1420)</f>
        <v>10500</v>
      </c>
      <c r="R1420" s="169"/>
      <c r="S1420" s="94"/>
      <c r="T1420" s="153"/>
      <c r="U1420" s="653"/>
      <c r="V1420" s="572"/>
      <c r="W1420" s="572"/>
      <c r="X1420" s="572"/>
      <c r="Y1420" s="572"/>
      <c r="Z1420" s="572"/>
    </row>
    <row r="1421" spans="1:26" x14ac:dyDescent="0.2">
      <c r="A1421" s="20" t="s">
        <v>1276</v>
      </c>
      <c r="B1421" s="46"/>
      <c r="C1421" s="51"/>
      <c r="D1421" s="21"/>
      <c r="E1421" s="96"/>
      <c r="F1421" s="100"/>
      <c r="G1421" s="100"/>
      <c r="H1421" s="100"/>
      <c r="I1421" s="100"/>
      <c r="J1421" s="101">
        <f>SUM(E1421:I1421)</f>
        <v>0</v>
      </c>
      <c r="K1421" s="115"/>
      <c r="L1421" s="161">
        <f t="shared" ref="L1421:Q1421" si="839">SUM(L1422:L1422)</f>
        <v>0</v>
      </c>
      <c r="M1421" s="157">
        <f t="shared" si="839"/>
        <v>11000</v>
      </c>
      <c r="N1421" s="157">
        <f t="shared" si="839"/>
        <v>0</v>
      </c>
      <c r="O1421" s="157">
        <f t="shared" si="839"/>
        <v>0</v>
      </c>
      <c r="P1421" s="270">
        <f t="shared" si="839"/>
        <v>0</v>
      </c>
      <c r="Q1421" s="284">
        <f t="shared" si="839"/>
        <v>11000</v>
      </c>
      <c r="R1421" s="182" t="s">
        <v>1430</v>
      </c>
      <c r="S1421" s="183" t="s">
        <v>665</v>
      </c>
      <c r="T1421" s="51"/>
    </row>
    <row r="1422" spans="1:26" s="162" customFormat="1" x14ac:dyDescent="0.2">
      <c r="A1422" s="204">
        <v>8</v>
      </c>
      <c r="B1422" s="163" t="str">
        <f>IF(A1422&lt;&gt;0,INDEX(Coûts,'PA-Détails'!A1422, 2),)</f>
        <v>Formation</v>
      </c>
      <c r="C1422" s="153"/>
      <c r="D1422" s="94" t="str">
        <f>IF(A1422&lt;&gt;0,INDEX(Coûts, 'PA-Détails'!A1422, 5),)</f>
        <v>Pers / j</v>
      </c>
      <c r="E1422" s="96"/>
      <c r="F1422" s="100">
        <v>100</v>
      </c>
      <c r="G1422" s="100"/>
      <c r="H1422" s="100"/>
      <c r="I1422" s="100"/>
      <c r="J1422" s="101">
        <f>SUM(F1422:H1422)</f>
        <v>100</v>
      </c>
      <c r="K1422" s="94">
        <f>IF(A1422&lt;&gt;0,INDEX(Coûts, 'PA-Détails'!A1422, 3),)</f>
        <v>110</v>
      </c>
      <c r="L1422" s="288">
        <f>ROUND(+$K1422*E1422,0)</f>
        <v>0</v>
      </c>
      <c r="M1422" s="168">
        <f>ROUND(+$K1422*F1422,0)</f>
        <v>11000</v>
      </c>
      <c r="N1422" s="168">
        <f>ROUND(+$K1422*G1422,0)</f>
        <v>0</v>
      </c>
      <c r="O1422" s="168">
        <f>ROUND(+$K1422*H1422,0)</f>
        <v>0</v>
      </c>
      <c r="P1422" s="271">
        <f>ROUND(+$K1422*I1422,0)</f>
        <v>0</v>
      </c>
      <c r="Q1422" s="283">
        <f>SUM(M1422:P1422)</f>
        <v>11000</v>
      </c>
      <c r="R1422" s="169"/>
      <c r="S1422" s="94"/>
      <c r="T1422" s="153"/>
      <c r="U1422" s="653"/>
      <c r="V1422" s="572"/>
      <c r="W1422" s="572"/>
      <c r="X1422" s="572"/>
      <c r="Y1422" s="572"/>
      <c r="Z1422" s="572"/>
    </row>
    <row r="1423" spans="1:26" x14ac:dyDescent="0.2">
      <c r="A1423" s="20" t="s">
        <v>1277</v>
      </c>
      <c r="B1423" s="46"/>
      <c r="C1423" s="51"/>
      <c r="D1423" s="21"/>
      <c r="E1423" s="96"/>
      <c r="F1423" s="100"/>
      <c r="G1423" s="100"/>
      <c r="H1423" s="100"/>
      <c r="I1423" s="100"/>
      <c r="J1423" s="101">
        <f>SUM(E1423:H1423)</f>
        <v>0</v>
      </c>
      <c r="K1423" s="115"/>
      <c r="L1423" s="161">
        <f t="shared" ref="L1423:Q1423" si="840">SUM(L1424:L1424)</f>
        <v>0</v>
      </c>
      <c r="M1423" s="157">
        <f t="shared" si="840"/>
        <v>22000</v>
      </c>
      <c r="N1423" s="157">
        <f t="shared" si="840"/>
        <v>22000</v>
      </c>
      <c r="O1423" s="157">
        <f t="shared" si="840"/>
        <v>0</v>
      </c>
      <c r="P1423" s="270">
        <f t="shared" si="840"/>
        <v>0</v>
      </c>
      <c r="Q1423" s="284">
        <f t="shared" si="840"/>
        <v>44000</v>
      </c>
      <c r="R1423" s="182" t="s">
        <v>1430</v>
      </c>
      <c r="S1423" s="183"/>
      <c r="T1423" s="51"/>
    </row>
    <row r="1424" spans="1:26" s="162" customFormat="1" x14ac:dyDescent="0.2">
      <c r="A1424" s="204">
        <v>8</v>
      </c>
      <c r="B1424" s="163" t="str">
        <f>IF(A1424&lt;&gt;0,INDEX(Coûts,'PA-Détails'!A1424, 2),)</f>
        <v>Formation</v>
      </c>
      <c r="C1424" s="153"/>
      <c r="D1424" s="94" t="str">
        <f>IF(A1424&lt;&gt;0,INDEX(Coûts, 'PA-Détails'!A1424, 5),)</f>
        <v>Pers / j</v>
      </c>
      <c r="E1424" s="96"/>
      <c r="F1424" s="100">
        <v>200</v>
      </c>
      <c r="G1424" s="100">
        <v>200</v>
      </c>
      <c r="H1424" s="100"/>
      <c r="I1424" s="100"/>
      <c r="J1424" s="101">
        <f>SUM(F1424:I1424)</f>
        <v>400</v>
      </c>
      <c r="K1424" s="94">
        <f>IF(A1424&lt;&gt;0,INDEX(Coûts, 'PA-Détails'!A1424, 3),)</f>
        <v>110</v>
      </c>
      <c r="L1424" s="288">
        <f t="shared" ref="L1424:P1425" si="841">ROUND(+$K1424*E1424,0)</f>
        <v>0</v>
      </c>
      <c r="M1424" s="168">
        <f t="shared" si="841"/>
        <v>22000</v>
      </c>
      <c r="N1424" s="167">
        <f t="shared" si="841"/>
        <v>22000</v>
      </c>
      <c r="O1424" s="168">
        <f t="shared" si="841"/>
        <v>0</v>
      </c>
      <c r="P1424" s="271">
        <f t="shared" si="841"/>
        <v>0</v>
      </c>
      <c r="Q1424" s="283">
        <f>SUM(M1424:P1424)</f>
        <v>44000</v>
      </c>
      <c r="R1424" s="169"/>
      <c r="S1424" s="94"/>
      <c r="T1424" s="153"/>
      <c r="U1424" s="653"/>
      <c r="V1424" s="572"/>
      <c r="W1424" s="572"/>
      <c r="X1424" s="572"/>
      <c r="Y1424" s="572"/>
      <c r="Z1424" s="572"/>
    </row>
    <row r="1425" spans="1:26" x14ac:dyDescent="0.2">
      <c r="A1425" s="17" t="s">
        <v>1278</v>
      </c>
      <c r="B1425" s="45"/>
      <c r="C1425" s="329" t="s">
        <v>1133</v>
      </c>
      <c r="D1425" s="18"/>
      <c r="E1425" s="96"/>
      <c r="F1425" s="100"/>
      <c r="G1425" s="100"/>
      <c r="H1425" s="100"/>
      <c r="I1425" s="100"/>
      <c r="J1425" s="101">
        <f>SUM(E1425:I1425)</f>
        <v>0</v>
      </c>
      <c r="K1425" s="116"/>
      <c r="L1425" s="35">
        <f t="shared" si="841"/>
        <v>0</v>
      </c>
      <c r="M1425" s="34">
        <f t="shared" si="841"/>
        <v>0</v>
      </c>
      <c r="N1425" s="34">
        <f t="shared" si="841"/>
        <v>0</v>
      </c>
      <c r="O1425" s="34">
        <f t="shared" si="841"/>
        <v>0</v>
      </c>
      <c r="P1425" s="269">
        <f t="shared" si="841"/>
        <v>0</v>
      </c>
      <c r="Q1425" s="279">
        <f>SUM(L1425:P1425)</f>
        <v>0</v>
      </c>
      <c r="R1425" s="169"/>
      <c r="S1425" s="94" t="s">
        <v>665</v>
      </c>
      <c r="T1425" s="50"/>
    </row>
    <row r="1426" spans="1:26" x14ac:dyDescent="0.2">
      <c r="A1426" s="20" t="s">
        <v>1279</v>
      </c>
      <c r="B1426" s="46"/>
      <c r="C1426" s="51"/>
      <c r="D1426" s="21"/>
      <c r="E1426" s="96"/>
      <c r="F1426" s="100"/>
      <c r="G1426" s="100"/>
      <c r="H1426" s="100"/>
      <c r="I1426" s="100"/>
      <c r="J1426" s="101">
        <f>SUM(E1426:I1426)</f>
        <v>0</v>
      </c>
      <c r="K1426" s="115"/>
      <c r="L1426" s="161">
        <f t="shared" ref="L1426:Q1426" si="842">SUM(L1427:L1430)</f>
        <v>0</v>
      </c>
      <c r="M1426" s="157">
        <f t="shared" si="842"/>
        <v>0</v>
      </c>
      <c r="N1426" s="157">
        <f t="shared" si="842"/>
        <v>39250</v>
      </c>
      <c r="O1426" s="157">
        <f t="shared" si="842"/>
        <v>0</v>
      </c>
      <c r="P1426" s="270">
        <f t="shared" si="842"/>
        <v>0</v>
      </c>
      <c r="Q1426" s="282">
        <f t="shared" si="842"/>
        <v>39250</v>
      </c>
      <c r="R1426" s="182" t="s">
        <v>1137</v>
      </c>
      <c r="S1426" s="183"/>
      <c r="T1426" s="51"/>
    </row>
    <row r="1427" spans="1:26" x14ac:dyDescent="0.2">
      <c r="A1427" s="95">
        <v>2</v>
      </c>
      <c r="B1427" s="108" t="str">
        <f>IF(A1427&lt;&gt;0,INDEX(Coûts,'PA-Détails'!A1427, 2),)</f>
        <v>Assistance technique nationale (consultants)</v>
      </c>
      <c r="C1427" s="51"/>
      <c r="D1427" s="94" t="str">
        <f>IF(A1427&lt;&gt;0,INDEX(Coûts, 'PA-Détails'!A1427, 5),)</f>
        <v>Pers / j</v>
      </c>
      <c r="E1427" s="96"/>
      <c r="F1427" s="100"/>
      <c r="G1427" s="100">
        <v>25</v>
      </c>
      <c r="H1427" s="100"/>
      <c r="I1427" s="100"/>
      <c r="J1427" s="101">
        <f>SUM(E1427:I1427)</f>
        <v>25</v>
      </c>
      <c r="K1427" s="115">
        <f>IF(A1427&lt;&gt;0,INDEX(Coûts, 'PA-Détails'!A1427, 3),)</f>
        <v>300</v>
      </c>
      <c r="L1427" s="37">
        <f t="shared" ref="L1427:P1432" si="843">ROUND(+$K1427*E1427,0)</f>
        <v>0</v>
      </c>
      <c r="M1427" s="36">
        <f t="shared" si="843"/>
        <v>0</v>
      </c>
      <c r="N1427" s="36">
        <f t="shared" si="843"/>
        <v>7500</v>
      </c>
      <c r="O1427" s="36">
        <f t="shared" si="843"/>
        <v>0</v>
      </c>
      <c r="P1427" s="268">
        <f t="shared" si="843"/>
        <v>0</v>
      </c>
      <c r="Q1427" s="281">
        <f t="shared" ref="Q1427:Q1432" si="844">SUM(L1427:P1427)</f>
        <v>7500</v>
      </c>
      <c r="R1427" s="39"/>
      <c r="S1427" s="115"/>
      <c r="T1427" s="51"/>
    </row>
    <row r="1428" spans="1:26" s="162" customFormat="1" x14ac:dyDescent="0.2">
      <c r="A1428" s="199">
        <v>1</v>
      </c>
      <c r="B1428" s="163" t="str">
        <f>IF(A1428&lt;&gt;0,INDEX(Coûts,'PA-Détails'!A1428, 2),)</f>
        <v>Assistance technique internationale (consultants)</v>
      </c>
      <c r="C1428" s="153"/>
      <c r="D1428" s="94" t="str">
        <f>IF(A1428&lt;&gt;0,INDEX(Coûts, 'PA-Détails'!A1428, 5),)</f>
        <v>Pers / j</v>
      </c>
      <c r="E1428" s="96"/>
      <c r="F1428" s="100"/>
      <c r="G1428" s="100">
        <v>15</v>
      </c>
      <c r="H1428" s="100"/>
      <c r="I1428" s="100"/>
      <c r="J1428" s="101">
        <v>15</v>
      </c>
      <c r="K1428" s="94">
        <f>IF(A1428&lt;&gt;0,INDEX(Coûts, 'PA-Détails'!A1428, 3),)</f>
        <v>1150</v>
      </c>
      <c r="L1428" s="167">
        <f t="shared" si="843"/>
        <v>0</v>
      </c>
      <c r="M1428" s="168">
        <f t="shared" si="843"/>
        <v>0</v>
      </c>
      <c r="N1428" s="168">
        <f t="shared" si="843"/>
        <v>17250</v>
      </c>
      <c r="O1428" s="162">
        <f t="shared" si="843"/>
        <v>0</v>
      </c>
      <c r="P1428" s="271">
        <f t="shared" si="843"/>
        <v>0</v>
      </c>
      <c r="Q1428" s="283">
        <f t="shared" si="844"/>
        <v>17250</v>
      </c>
      <c r="R1428" s="169"/>
      <c r="S1428" s="94"/>
      <c r="T1428" s="153"/>
      <c r="U1428" s="653"/>
      <c r="V1428" s="572"/>
      <c r="W1428" s="572"/>
      <c r="X1428" s="572"/>
      <c r="Y1428" s="572"/>
      <c r="Z1428" s="572"/>
    </row>
    <row r="1429" spans="1:26" x14ac:dyDescent="0.2">
      <c r="A1429" s="95">
        <v>11</v>
      </c>
      <c r="B1429" s="108" t="str">
        <f>IF(A1429&lt;&gt;0,INDEX(Coûts,'PA-Détails'!A1429, 2),)</f>
        <v>Atelier technique</v>
      </c>
      <c r="C1429" s="51"/>
      <c r="D1429" s="94" t="str">
        <f>IF(A1429&lt;&gt;0,INDEX(Coûts, 'PA-Détails'!A1429, 5),)</f>
        <v>Pers / j</v>
      </c>
      <c r="E1429" s="96"/>
      <c r="F1429" s="100"/>
      <c r="G1429" s="100">
        <v>100</v>
      </c>
      <c r="H1429" s="100"/>
      <c r="I1429" s="100"/>
      <c r="J1429" s="101">
        <f t="shared" ref="J1429:J1441" si="845">SUM(E1429:I1429)</f>
        <v>100</v>
      </c>
      <c r="K1429" s="115">
        <f>IF(A1429&lt;&gt;0,INDEX(Coûts, 'PA-Détails'!A1429, 3),)</f>
        <v>70</v>
      </c>
      <c r="L1429" s="37">
        <f t="shared" si="843"/>
        <v>0</v>
      </c>
      <c r="M1429" s="36">
        <f t="shared" si="843"/>
        <v>0</v>
      </c>
      <c r="N1429" s="36">
        <f t="shared" si="843"/>
        <v>7000</v>
      </c>
      <c r="O1429" s="36">
        <f t="shared" si="843"/>
        <v>0</v>
      </c>
      <c r="P1429" s="268">
        <f t="shared" si="843"/>
        <v>0</v>
      </c>
      <c r="Q1429" s="281">
        <f t="shared" si="844"/>
        <v>7000</v>
      </c>
      <c r="R1429" s="39"/>
      <c r="S1429" s="115"/>
      <c r="T1429" s="51"/>
    </row>
    <row r="1430" spans="1:26" x14ac:dyDescent="0.2">
      <c r="A1430" s="95">
        <v>5</v>
      </c>
      <c r="B1430" s="108" t="str">
        <f>IF(A1430&lt;&gt;0,INDEX(Coûts,'PA-Détails'!A1430, 2),)</f>
        <v>Atelier de validation</v>
      </c>
      <c r="C1430" s="51"/>
      <c r="D1430" s="94" t="str">
        <f>IF(A1430&lt;&gt;0,INDEX(Coûts, 'PA-Détails'!A1430, 5),)</f>
        <v>Pers / j</v>
      </c>
      <c r="E1430" s="96"/>
      <c r="F1430" s="100"/>
      <c r="G1430" s="100">
        <v>150</v>
      </c>
      <c r="H1430" s="100"/>
      <c r="I1430" s="100"/>
      <c r="J1430" s="101">
        <f t="shared" si="845"/>
        <v>150</v>
      </c>
      <c r="K1430" s="115">
        <f>IF(A1430&lt;&gt;0,INDEX(Coûts, 'PA-Détails'!A1430, 3),)</f>
        <v>50</v>
      </c>
      <c r="L1430" s="37">
        <f t="shared" si="843"/>
        <v>0</v>
      </c>
      <c r="M1430" s="36">
        <f t="shared" si="843"/>
        <v>0</v>
      </c>
      <c r="N1430" s="36">
        <f t="shared" si="843"/>
        <v>7500</v>
      </c>
      <c r="O1430" s="36">
        <f t="shared" si="843"/>
        <v>0</v>
      </c>
      <c r="P1430" s="268">
        <f t="shared" si="843"/>
        <v>0</v>
      </c>
      <c r="Q1430" s="281">
        <f t="shared" si="844"/>
        <v>7500</v>
      </c>
      <c r="R1430" s="39"/>
      <c r="S1430" s="115"/>
      <c r="T1430" s="51"/>
    </row>
    <row r="1431" spans="1:26" x14ac:dyDescent="0.2">
      <c r="A1431" s="14" t="s">
        <v>1280</v>
      </c>
      <c r="B1431" s="44"/>
      <c r="C1431" s="112"/>
      <c r="D1431" s="15"/>
      <c r="E1431" s="102"/>
      <c r="F1431" s="103"/>
      <c r="G1431" s="103"/>
      <c r="H1431" s="103"/>
      <c r="I1431" s="103"/>
      <c r="J1431" s="104">
        <f t="shared" si="845"/>
        <v>0</v>
      </c>
      <c r="K1431" s="145"/>
      <c r="L1431" s="33">
        <f t="shared" si="843"/>
        <v>0</v>
      </c>
      <c r="M1431" s="32">
        <f t="shared" si="843"/>
        <v>0</v>
      </c>
      <c r="N1431" s="32">
        <f t="shared" si="843"/>
        <v>0</v>
      </c>
      <c r="O1431" s="32">
        <f t="shared" si="843"/>
        <v>0</v>
      </c>
      <c r="P1431" s="267">
        <f t="shared" si="843"/>
        <v>0</v>
      </c>
      <c r="Q1431" s="278">
        <f t="shared" si="844"/>
        <v>0</v>
      </c>
      <c r="R1431" s="40"/>
      <c r="S1431" s="145"/>
      <c r="T1431" s="49">
        <v>3</v>
      </c>
    </row>
    <row r="1432" spans="1:26" x14ac:dyDescent="0.2">
      <c r="A1432" s="17" t="s">
        <v>1281</v>
      </c>
      <c r="B1432" s="45"/>
      <c r="C1432" s="329" t="s">
        <v>821</v>
      </c>
      <c r="D1432" s="18"/>
      <c r="E1432" s="96"/>
      <c r="F1432" s="100"/>
      <c r="G1432" s="100"/>
      <c r="H1432" s="100"/>
      <c r="I1432" s="100"/>
      <c r="J1432" s="101">
        <f t="shared" si="845"/>
        <v>0</v>
      </c>
      <c r="K1432" s="116"/>
      <c r="L1432" s="35">
        <f t="shared" si="843"/>
        <v>0</v>
      </c>
      <c r="M1432" s="34">
        <f t="shared" si="843"/>
        <v>0</v>
      </c>
      <c r="N1432" s="34">
        <f t="shared" si="843"/>
        <v>0</v>
      </c>
      <c r="O1432" s="34">
        <f t="shared" si="843"/>
        <v>0</v>
      </c>
      <c r="P1432" s="269">
        <f t="shared" si="843"/>
        <v>0</v>
      </c>
      <c r="Q1432" s="279">
        <f t="shared" si="844"/>
        <v>0</v>
      </c>
      <c r="R1432" s="38"/>
      <c r="S1432" s="116"/>
      <c r="T1432" s="50"/>
    </row>
    <row r="1433" spans="1:26" x14ac:dyDescent="0.2">
      <c r="A1433" s="20" t="s">
        <v>1282</v>
      </c>
      <c r="B1433" s="46"/>
      <c r="C1433" s="51"/>
      <c r="D1433" s="21"/>
      <c r="E1433" s="96"/>
      <c r="F1433" s="100"/>
      <c r="G1433" s="100"/>
      <c r="H1433" s="100"/>
      <c r="I1433" s="100"/>
      <c r="J1433" s="101">
        <f t="shared" si="845"/>
        <v>0</v>
      </c>
      <c r="K1433" s="115"/>
      <c r="L1433" s="161">
        <f t="shared" ref="L1433:Q1433" si="846">SUM(L1434:L1435)</f>
        <v>15000</v>
      </c>
      <c r="M1433" s="157">
        <f t="shared" si="846"/>
        <v>0</v>
      </c>
      <c r="N1433" s="157">
        <f t="shared" si="846"/>
        <v>0</v>
      </c>
      <c r="O1433" s="157">
        <f t="shared" si="846"/>
        <v>0</v>
      </c>
      <c r="P1433" s="270">
        <f t="shared" si="846"/>
        <v>0</v>
      </c>
      <c r="Q1433" s="284">
        <f t="shared" si="846"/>
        <v>15000</v>
      </c>
      <c r="R1433" s="39" t="s">
        <v>754</v>
      </c>
      <c r="S1433" s="115" t="s">
        <v>665</v>
      </c>
      <c r="T1433" s="51"/>
    </row>
    <row r="1434" spans="1:26" x14ac:dyDescent="0.2">
      <c r="A1434" s="95">
        <v>2</v>
      </c>
      <c r="B1434" s="108" t="str">
        <f>IF(A1434&lt;&gt;0,INDEX(Coûts,'PA-Détails'!A1434, 2),)</f>
        <v>Assistance technique nationale (consultants)</v>
      </c>
      <c r="C1434" s="51"/>
      <c r="D1434" s="94" t="str">
        <f>IF(A1434&lt;&gt;0,INDEX(Coûts, 'PA-Détails'!A1434, 5),)</f>
        <v>Pers / j</v>
      </c>
      <c r="E1434" s="96">
        <v>15</v>
      </c>
      <c r="F1434" s="100"/>
      <c r="G1434" s="100"/>
      <c r="H1434" s="100"/>
      <c r="I1434" s="100"/>
      <c r="J1434" s="101">
        <f t="shared" si="845"/>
        <v>15</v>
      </c>
      <c r="K1434" s="115">
        <f>IF(A1434&lt;&gt;0,INDEX(Coûts, 'PA-Détails'!A1434, 3),)</f>
        <v>300</v>
      </c>
      <c r="L1434" s="37">
        <f t="shared" ref="L1434:P1435" si="847">ROUND(+$K1434*E1434,0)</f>
        <v>4500</v>
      </c>
      <c r="M1434" s="36">
        <f t="shared" si="847"/>
        <v>0</v>
      </c>
      <c r="N1434" s="1">
        <f t="shared" si="847"/>
        <v>0</v>
      </c>
      <c r="O1434" s="36">
        <f t="shared" si="847"/>
        <v>0</v>
      </c>
      <c r="P1434" s="268">
        <f t="shared" si="847"/>
        <v>0</v>
      </c>
      <c r="Q1434" s="281">
        <f>SUM(L1434:P1434)</f>
        <v>4500</v>
      </c>
      <c r="R1434" s="39"/>
      <c r="S1434" s="115"/>
      <c r="T1434" s="51"/>
    </row>
    <row r="1435" spans="1:26" x14ac:dyDescent="0.2">
      <c r="A1435" s="95">
        <v>11</v>
      </c>
      <c r="B1435" s="108" t="str">
        <f>IF(A1435&lt;&gt;0,INDEX(Coûts,'PA-Détails'!A1435, 2),)</f>
        <v>Atelier technique</v>
      </c>
      <c r="C1435" s="51"/>
      <c r="D1435" s="94" t="str">
        <f>IF(A1435&lt;&gt;0,INDEX(Coûts, 'PA-Détails'!A1435, 5),)</f>
        <v>Pers / j</v>
      </c>
      <c r="E1435" s="96">
        <f>30*5</f>
        <v>150</v>
      </c>
      <c r="F1435" s="100"/>
      <c r="G1435" s="100"/>
      <c r="H1435" s="100"/>
      <c r="I1435" s="100"/>
      <c r="J1435" s="101">
        <f t="shared" si="845"/>
        <v>150</v>
      </c>
      <c r="K1435" s="115">
        <f>IF(A1435&lt;&gt;0,INDEX(Coûts, 'PA-Détails'!A1435, 3),)</f>
        <v>70</v>
      </c>
      <c r="L1435" s="37">
        <f t="shared" si="847"/>
        <v>10500</v>
      </c>
      <c r="M1435" s="36">
        <f t="shared" si="847"/>
        <v>0</v>
      </c>
      <c r="N1435" s="36">
        <f t="shared" si="847"/>
        <v>0</v>
      </c>
      <c r="O1435" s="36">
        <f t="shared" si="847"/>
        <v>0</v>
      </c>
      <c r="P1435" s="268">
        <f t="shared" si="847"/>
        <v>0</v>
      </c>
      <c r="Q1435" s="281">
        <f>SUM(L1435:P1435)</f>
        <v>10500</v>
      </c>
      <c r="R1435" s="39"/>
      <c r="S1435" s="115"/>
      <c r="T1435" s="51"/>
    </row>
    <row r="1436" spans="1:26" x14ac:dyDescent="0.2">
      <c r="A1436" s="20" t="s">
        <v>1283</v>
      </c>
      <c r="B1436" s="46"/>
      <c r="C1436" s="51"/>
      <c r="D1436" s="21"/>
      <c r="E1436" s="96"/>
      <c r="F1436" s="100"/>
      <c r="G1436" s="100"/>
      <c r="H1436" s="100"/>
      <c r="I1436" s="100"/>
      <c r="J1436" s="101">
        <f t="shared" si="845"/>
        <v>0</v>
      </c>
      <c r="K1436" s="115"/>
      <c r="L1436" s="161">
        <f t="shared" ref="L1436:Q1436" si="848">SUM(L1437:L1437)</f>
        <v>46000</v>
      </c>
      <c r="M1436" s="157">
        <f t="shared" si="848"/>
        <v>46000</v>
      </c>
      <c r="N1436" s="157">
        <f t="shared" si="848"/>
        <v>46000</v>
      </c>
      <c r="O1436" s="157">
        <f t="shared" si="848"/>
        <v>0</v>
      </c>
      <c r="P1436" s="270">
        <f t="shared" si="848"/>
        <v>0</v>
      </c>
      <c r="Q1436" s="284">
        <f t="shared" si="848"/>
        <v>138000</v>
      </c>
      <c r="R1436" s="39" t="s">
        <v>754</v>
      </c>
      <c r="S1436" s="115" t="s">
        <v>665</v>
      </c>
      <c r="T1436" s="51"/>
    </row>
    <row r="1437" spans="1:26" x14ac:dyDescent="0.2">
      <c r="A1437" s="95">
        <v>59</v>
      </c>
      <c r="B1437" s="108" t="str">
        <f>IF(A1437&lt;&gt;0,INDEX(Coûts,'PA-Détails'!A1437, 2),)</f>
        <v>Acquisition et distribution de plaquettes/brochures/guides/livres</v>
      </c>
      <c r="C1437" s="51"/>
      <c r="D1437" s="94" t="str">
        <f>IF(A1437&lt;&gt;0,INDEX(Coûts, 'PA-Détails'!A1437, 5),)</f>
        <v>Unité</v>
      </c>
      <c r="E1437" s="96">
        <v>23000</v>
      </c>
      <c r="F1437" s="100">
        <v>23000</v>
      </c>
      <c r="G1437" s="100">
        <v>23000</v>
      </c>
      <c r="H1437" s="100"/>
      <c r="I1437" s="100"/>
      <c r="J1437" s="101">
        <f t="shared" si="845"/>
        <v>69000</v>
      </c>
      <c r="K1437" s="115">
        <f>IF(A1437&lt;&gt;0,INDEX(Coûts, 'PA-Détails'!A1437, 3),)</f>
        <v>2</v>
      </c>
      <c r="L1437" s="37">
        <f t="shared" ref="L1437:P1438" si="849">ROUND(+$K1437*E1437,0)</f>
        <v>46000</v>
      </c>
      <c r="M1437" s="36">
        <f t="shared" si="849"/>
        <v>46000</v>
      </c>
      <c r="N1437" s="36">
        <f t="shared" si="849"/>
        <v>46000</v>
      </c>
      <c r="O1437" s="36">
        <f t="shared" si="849"/>
        <v>0</v>
      </c>
      <c r="P1437" s="268">
        <f t="shared" si="849"/>
        <v>0</v>
      </c>
      <c r="Q1437" s="281">
        <f>SUM(L1437:P1437)</f>
        <v>138000</v>
      </c>
      <c r="R1437" s="39"/>
      <c r="S1437" s="115"/>
      <c r="T1437" s="51"/>
    </row>
    <row r="1438" spans="1:26" x14ac:dyDescent="0.2">
      <c r="A1438" s="17" t="s">
        <v>1284</v>
      </c>
      <c r="B1438" s="45"/>
      <c r="C1438" s="329" t="s">
        <v>823</v>
      </c>
      <c r="D1438" s="18"/>
      <c r="E1438" s="96"/>
      <c r="F1438" s="100"/>
      <c r="G1438" s="100"/>
      <c r="H1438" s="100"/>
      <c r="I1438" s="100"/>
      <c r="J1438" s="101">
        <f t="shared" si="845"/>
        <v>0</v>
      </c>
      <c r="K1438" s="116"/>
      <c r="L1438" s="35">
        <f t="shared" si="849"/>
        <v>0</v>
      </c>
      <c r="M1438" s="34">
        <f t="shared" si="849"/>
        <v>0</v>
      </c>
      <c r="N1438" s="34">
        <f t="shared" si="849"/>
        <v>0</v>
      </c>
      <c r="O1438" s="34">
        <f t="shared" si="849"/>
        <v>0</v>
      </c>
      <c r="P1438" s="269">
        <f t="shared" si="849"/>
        <v>0</v>
      </c>
      <c r="Q1438" s="279">
        <f>SUM(L1438:P1438)</f>
        <v>0</v>
      </c>
      <c r="R1438" s="38"/>
      <c r="S1438" s="116"/>
      <c r="T1438" s="50"/>
    </row>
    <row r="1439" spans="1:26" x14ac:dyDescent="0.2">
      <c r="A1439" s="20" t="s">
        <v>1285</v>
      </c>
      <c r="B1439" s="46"/>
      <c r="C1439" s="51"/>
      <c r="D1439" s="21"/>
      <c r="E1439" s="96"/>
      <c r="F1439" s="100"/>
      <c r="G1439" s="100"/>
      <c r="H1439" s="100"/>
      <c r="I1439" s="100"/>
      <c r="J1439" s="101">
        <f t="shared" si="845"/>
        <v>0</v>
      </c>
      <c r="K1439" s="115"/>
      <c r="L1439" s="161">
        <f t="shared" ref="L1439:Q1439" si="850">SUM(L1440:L1440)</f>
        <v>52500</v>
      </c>
      <c r="M1439" s="157">
        <f t="shared" si="850"/>
        <v>52500</v>
      </c>
      <c r="N1439" s="157">
        <f t="shared" si="850"/>
        <v>52500</v>
      </c>
      <c r="O1439" s="157">
        <f t="shared" si="850"/>
        <v>0</v>
      </c>
      <c r="P1439" s="270">
        <f t="shared" si="850"/>
        <v>0</v>
      </c>
      <c r="Q1439" s="284">
        <f t="shared" si="850"/>
        <v>157500</v>
      </c>
      <c r="R1439" s="39" t="s">
        <v>752</v>
      </c>
      <c r="S1439" s="115" t="s">
        <v>665</v>
      </c>
      <c r="T1439" s="51"/>
    </row>
    <row r="1440" spans="1:26" x14ac:dyDescent="0.2">
      <c r="A1440" s="95">
        <v>84</v>
      </c>
      <c r="B1440" s="108" t="str">
        <f>IF(A1440&lt;&gt;0,INDEX(Coûts,'PA-Détails'!A1440, 2),)</f>
        <v>Campagne de sensibilisation</v>
      </c>
      <c r="C1440" s="51"/>
      <c r="D1440" s="94" t="str">
        <f>IF(A1440&lt;&gt;0,INDEX(Coûts, 'PA-Détails'!A1440, 5),)</f>
        <v>Unité</v>
      </c>
      <c r="E1440" s="96">
        <v>30</v>
      </c>
      <c r="F1440" s="100">
        <v>30</v>
      </c>
      <c r="G1440" s="100">
        <v>30</v>
      </c>
      <c r="H1440" s="100"/>
      <c r="I1440" s="100"/>
      <c r="J1440" s="101">
        <f t="shared" si="845"/>
        <v>90</v>
      </c>
      <c r="K1440" s="115">
        <f>IF(A1440&lt;&gt;0,INDEX(Coûts, 'PA-Détails'!A1440, 3),)</f>
        <v>1750</v>
      </c>
      <c r="L1440" s="37">
        <f t="shared" ref="L1440:P1441" si="851">ROUND(+$K1440*E1440,0)</f>
        <v>52500</v>
      </c>
      <c r="M1440" s="36">
        <f t="shared" si="851"/>
        <v>52500</v>
      </c>
      <c r="N1440" s="36">
        <f t="shared" si="851"/>
        <v>52500</v>
      </c>
      <c r="O1440" s="36">
        <f t="shared" si="851"/>
        <v>0</v>
      </c>
      <c r="P1440" s="268">
        <f t="shared" si="851"/>
        <v>0</v>
      </c>
      <c r="Q1440" s="281">
        <f>SUM(L1440:P1440)</f>
        <v>157500</v>
      </c>
      <c r="R1440" s="39"/>
      <c r="S1440" s="115"/>
      <c r="T1440" s="51"/>
    </row>
    <row r="1441" spans="1:26" s="162" customFormat="1" x14ac:dyDescent="0.2">
      <c r="A1441" s="122" t="s">
        <v>1286</v>
      </c>
      <c r="B1441" s="152"/>
      <c r="C1441" s="162" t="s">
        <v>824</v>
      </c>
      <c r="D1441" s="155"/>
      <c r="E1441" s="96"/>
      <c r="F1441" s="100"/>
      <c r="G1441" s="100"/>
      <c r="H1441" s="100"/>
      <c r="I1441" s="100"/>
      <c r="J1441" s="101">
        <f t="shared" si="845"/>
        <v>0</v>
      </c>
      <c r="K1441" s="208"/>
      <c r="L1441" s="161">
        <f t="shared" si="851"/>
        <v>0</v>
      </c>
      <c r="M1441" s="157">
        <f t="shared" si="851"/>
        <v>0</v>
      </c>
      <c r="N1441" s="157">
        <f t="shared" si="851"/>
        <v>0</v>
      </c>
      <c r="O1441" s="157">
        <f t="shared" si="851"/>
        <v>0</v>
      </c>
      <c r="P1441" s="270">
        <f t="shared" si="851"/>
        <v>0</v>
      </c>
      <c r="Q1441" s="284">
        <f>SUM(L1441:P1441)</f>
        <v>0</v>
      </c>
      <c r="R1441" s="159"/>
      <c r="S1441" s="208"/>
      <c r="T1441" s="154"/>
      <c r="U1441" s="653"/>
      <c r="V1441" s="572"/>
      <c r="W1441" s="572"/>
      <c r="X1441" s="572"/>
      <c r="Y1441" s="572"/>
      <c r="Z1441" s="572"/>
    </row>
    <row r="1442" spans="1:26" s="162" customFormat="1" x14ac:dyDescent="0.2">
      <c r="A1442" s="123" t="s">
        <v>1287</v>
      </c>
      <c r="B1442" s="202"/>
      <c r="C1442" s="153"/>
      <c r="D1442" s="203"/>
      <c r="E1442" s="96"/>
      <c r="F1442" s="100"/>
      <c r="G1442" s="100"/>
      <c r="H1442" s="100"/>
      <c r="I1442" s="100"/>
      <c r="J1442" s="101"/>
      <c r="K1442" s="94"/>
      <c r="L1442" s="161">
        <f t="shared" ref="L1442:Q1442" si="852">SUM(L1443:L1443)</f>
        <v>3300</v>
      </c>
      <c r="M1442" s="157">
        <f t="shared" si="852"/>
        <v>3300</v>
      </c>
      <c r="N1442" s="157">
        <f t="shared" si="852"/>
        <v>0</v>
      </c>
      <c r="O1442" s="157">
        <f t="shared" si="852"/>
        <v>0</v>
      </c>
      <c r="P1442" s="270">
        <f t="shared" si="852"/>
        <v>0</v>
      </c>
      <c r="Q1442" s="284">
        <f t="shared" si="852"/>
        <v>6600</v>
      </c>
      <c r="R1442" s="169" t="s">
        <v>819</v>
      </c>
      <c r="S1442" s="94" t="s">
        <v>665</v>
      </c>
      <c r="T1442" s="153"/>
      <c r="U1442" s="653"/>
      <c r="V1442" s="572"/>
      <c r="W1442" s="572"/>
      <c r="X1442" s="572"/>
      <c r="Y1442" s="572"/>
      <c r="Z1442" s="572"/>
    </row>
    <row r="1443" spans="1:26" s="162" customFormat="1" x14ac:dyDescent="0.2">
      <c r="A1443" s="204">
        <v>8</v>
      </c>
      <c r="B1443" s="163" t="str">
        <f>IF(A1443&lt;&gt;0,INDEX(Coûts,'PA-Détails'!A1443, 2),)</f>
        <v>Formation</v>
      </c>
      <c r="C1443" s="153"/>
      <c r="D1443" s="94" t="str">
        <f>IF(A1443&lt;&gt;0,INDEX(Coûts, 'PA-Détails'!A1443, 5),)</f>
        <v>Pers / j</v>
      </c>
      <c r="E1443" s="96">
        <v>30</v>
      </c>
      <c r="F1443" s="100">
        <v>30</v>
      </c>
      <c r="G1443" s="100"/>
      <c r="H1443" s="100"/>
      <c r="I1443" s="100"/>
      <c r="J1443" s="101">
        <f t="shared" ref="J1443:J1461" si="853">SUM(E1443:I1443)</f>
        <v>60</v>
      </c>
      <c r="K1443" s="94">
        <f>IF(A1443&lt;&gt;0,INDEX(Coûts, 'PA-Détails'!A1443, 3),)</f>
        <v>110</v>
      </c>
      <c r="L1443" s="167">
        <f t="shared" ref="L1443:P1444" si="854">ROUND(+$K1443*E1443,0)</f>
        <v>3300</v>
      </c>
      <c r="M1443" s="168">
        <f t="shared" si="854"/>
        <v>3300</v>
      </c>
      <c r="N1443" s="168">
        <f t="shared" si="854"/>
        <v>0</v>
      </c>
      <c r="O1443" s="168">
        <f t="shared" si="854"/>
        <v>0</v>
      </c>
      <c r="P1443" s="271">
        <f t="shared" si="854"/>
        <v>0</v>
      </c>
      <c r="Q1443" s="283">
        <f>SUM(L1443:P1443)</f>
        <v>6600</v>
      </c>
      <c r="R1443" s="169"/>
      <c r="S1443" s="94"/>
      <c r="T1443" s="153"/>
      <c r="U1443" s="653"/>
      <c r="V1443" s="572"/>
      <c r="W1443" s="572"/>
      <c r="X1443" s="572"/>
      <c r="Y1443" s="572"/>
      <c r="Z1443" s="572"/>
    </row>
    <row r="1444" spans="1:26" x14ac:dyDescent="0.2">
      <c r="A1444" s="17" t="s">
        <v>1288</v>
      </c>
      <c r="B1444" s="45"/>
      <c r="C1444" s="51"/>
      <c r="D1444" s="18"/>
      <c r="E1444" s="96"/>
      <c r="F1444" s="100"/>
      <c r="G1444" s="100"/>
      <c r="H1444" s="100"/>
      <c r="I1444" s="100"/>
      <c r="J1444" s="99">
        <f t="shared" si="853"/>
        <v>0</v>
      </c>
      <c r="K1444" s="116"/>
      <c r="L1444" s="35">
        <f t="shared" si="854"/>
        <v>0</v>
      </c>
      <c r="M1444" s="34">
        <f t="shared" si="854"/>
        <v>0</v>
      </c>
      <c r="N1444" s="34">
        <f t="shared" si="854"/>
        <v>0</v>
      </c>
      <c r="O1444" s="34">
        <f t="shared" si="854"/>
        <v>0</v>
      </c>
      <c r="P1444" s="269">
        <f t="shared" si="854"/>
        <v>0</v>
      </c>
      <c r="Q1444" s="279">
        <f>SUM(L1444:P1444)</f>
        <v>0</v>
      </c>
      <c r="R1444" s="38"/>
      <c r="S1444" s="116"/>
      <c r="T1444" s="50"/>
    </row>
    <row r="1445" spans="1:26" x14ac:dyDescent="0.2">
      <c r="A1445" s="20" t="s">
        <v>1289</v>
      </c>
      <c r="B1445" s="46"/>
      <c r="C1445" s="51" t="s">
        <v>647</v>
      </c>
      <c r="D1445" s="21"/>
      <c r="E1445" s="96"/>
      <c r="F1445" s="100"/>
      <c r="G1445" s="100"/>
      <c r="H1445" s="100"/>
      <c r="I1445" s="100"/>
      <c r="J1445" s="101">
        <f t="shared" si="853"/>
        <v>0</v>
      </c>
      <c r="K1445" s="115"/>
      <c r="L1445" s="161">
        <f t="shared" ref="L1445:Q1445" si="855">SUM(L1446:L1447)</f>
        <v>0</v>
      </c>
      <c r="M1445" s="157">
        <f t="shared" si="855"/>
        <v>25500</v>
      </c>
      <c r="N1445" s="157">
        <f t="shared" si="855"/>
        <v>0</v>
      </c>
      <c r="O1445" s="157">
        <f t="shared" si="855"/>
        <v>0</v>
      </c>
      <c r="P1445" s="270">
        <f t="shared" si="855"/>
        <v>0</v>
      </c>
      <c r="Q1445" s="284">
        <f t="shared" si="855"/>
        <v>25500</v>
      </c>
      <c r="R1445" s="39" t="s">
        <v>827</v>
      </c>
      <c r="S1445" s="115" t="s">
        <v>665</v>
      </c>
      <c r="T1445" s="51"/>
    </row>
    <row r="1446" spans="1:26" x14ac:dyDescent="0.2">
      <c r="A1446" s="95">
        <v>1</v>
      </c>
      <c r="B1446" s="108" t="str">
        <f>IF(A1446&lt;&gt;0,INDEX(Coûts,'PA-Détails'!A1446, 2),)</f>
        <v>Assistance technique internationale (consultants)</v>
      </c>
      <c r="C1446" s="51"/>
      <c r="D1446" s="94" t="str">
        <f>IF(A1446&lt;&gt;0,INDEX(Coûts, 'PA-Détails'!A1446, 5),)</f>
        <v>Pers / j</v>
      </c>
      <c r="E1446" s="96"/>
      <c r="F1446" s="100">
        <v>20</v>
      </c>
      <c r="G1446" s="100"/>
      <c r="H1446" s="100"/>
      <c r="I1446" s="100"/>
      <c r="J1446" s="101">
        <f t="shared" si="853"/>
        <v>20</v>
      </c>
      <c r="K1446" s="115">
        <f>IF(A1446&lt;&gt;0,INDEX(Coûts, 'PA-Détails'!A1446, 3),)</f>
        <v>1150</v>
      </c>
      <c r="L1446" s="37">
        <f t="shared" ref="L1446:P1447" si="856">ROUND(+$K1446*E1446,0)</f>
        <v>0</v>
      </c>
      <c r="M1446" s="36">
        <f t="shared" si="856"/>
        <v>23000</v>
      </c>
      <c r="N1446" s="36">
        <f t="shared" si="856"/>
        <v>0</v>
      </c>
      <c r="O1446" s="36">
        <f t="shared" si="856"/>
        <v>0</v>
      </c>
      <c r="P1446" s="268">
        <f t="shared" si="856"/>
        <v>0</v>
      </c>
      <c r="Q1446" s="281">
        <f>SUM(L1446:P1446)</f>
        <v>23000</v>
      </c>
      <c r="R1446" s="39"/>
      <c r="S1446" s="115"/>
      <c r="T1446" s="51"/>
    </row>
    <row r="1447" spans="1:26" x14ac:dyDescent="0.2">
      <c r="A1447" s="95">
        <v>5</v>
      </c>
      <c r="B1447" s="108" t="str">
        <f>IF(A1447&lt;&gt;0,INDEX(Coûts,'PA-Détails'!A1447, 2),)</f>
        <v>Atelier de validation</v>
      </c>
      <c r="C1447" s="51"/>
      <c r="D1447" s="94" t="str">
        <f>IF(A1447&lt;&gt;0,INDEX(Coûts, 'PA-Détails'!A1447, 5),)</f>
        <v>Pers / j</v>
      </c>
      <c r="E1447" s="96"/>
      <c r="F1447" s="100">
        <v>50</v>
      </c>
      <c r="G1447" s="100"/>
      <c r="H1447" s="100"/>
      <c r="I1447" s="100"/>
      <c r="J1447" s="101">
        <f t="shared" si="853"/>
        <v>50</v>
      </c>
      <c r="K1447" s="115">
        <f>IF(A1447&lt;&gt;0,INDEX(Coûts, 'PA-Détails'!A1447, 3),)</f>
        <v>50</v>
      </c>
      <c r="L1447" s="37">
        <f t="shared" si="856"/>
        <v>0</v>
      </c>
      <c r="M1447" s="36">
        <f t="shared" si="856"/>
        <v>2500</v>
      </c>
      <c r="N1447" s="36">
        <f t="shared" si="856"/>
        <v>0</v>
      </c>
      <c r="O1447" s="36">
        <f t="shared" si="856"/>
        <v>0</v>
      </c>
      <c r="P1447" s="268">
        <f t="shared" si="856"/>
        <v>0</v>
      </c>
      <c r="Q1447" s="281">
        <f>SUM(L1447:P1447)</f>
        <v>2500</v>
      </c>
      <c r="R1447" s="39"/>
      <c r="S1447" s="115"/>
      <c r="T1447" s="51"/>
    </row>
    <row r="1448" spans="1:26" x14ac:dyDescent="0.2">
      <c r="A1448" s="20" t="s">
        <v>1290</v>
      </c>
      <c r="B1448" s="46"/>
      <c r="C1448" s="51"/>
      <c r="D1448" s="21"/>
      <c r="E1448" s="96"/>
      <c r="F1448" s="100"/>
      <c r="G1448" s="100"/>
      <c r="H1448" s="100"/>
      <c r="I1448" s="100"/>
      <c r="J1448" s="101">
        <f t="shared" si="853"/>
        <v>0</v>
      </c>
      <c r="K1448" s="115"/>
      <c r="L1448" s="161">
        <f t="shared" ref="L1448:Q1448" si="857">SUM(L1449:L1450)</f>
        <v>0</v>
      </c>
      <c r="M1448" s="157">
        <f t="shared" si="857"/>
        <v>0</v>
      </c>
      <c r="N1448" s="157">
        <f t="shared" si="857"/>
        <v>137600</v>
      </c>
      <c r="O1448" s="157">
        <f t="shared" si="857"/>
        <v>0</v>
      </c>
      <c r="P1448" s="270">
        <f t="shared" si="857"/>
        <v>0</v>
      </c>
      <c r="Q1448" s="284">
        <f t="shared" si="857"/>
        <v>137600</v>
      </c>
      <c r="R1448" s="39" t="s">
        <v>827</v>
      </c>
      <c r="S1448" s="115" t="s">
        <v>665</v>
      </c>
      <c r="T1448" s="51"/>
    </row>
    <row r="1449" spans="1:26" x14ac:dyDescent="0.2">
      <c r="A1449" s="95">
        <v>45</v>
      </c>
      <c r="B1449" s="108" t="str">
        <f>IF(A1449&lt;&gt;0,INDEX(Coûts,'PA-Détails'!A1449, 2),)</f>
        <v>Équipement informatique (lot PC, logiciel,  imprimante, photocopieuse, scanner)</v>
      </c>
      <c r="C1449" s="51"/>
      <c r="D1449" s="94" t="str">
        <f>IF(A1449&lt;&gt;0,INDEX(Coûts, 'PA-Détails'!A1449, 5),)</f>
        <v>Forfait</v>
      </c>
      <c r="E1449" s="96"/>
      <c r="F1449" s="100"/>
      <c r="G1449" s="100">
        <f>(30+1)+(46+2)+1</f>
        <v>80</v>
      </c>
      <c r="H1449" s="100"/>
      <c r="I1449" s="100"/>
      <c r="J1449" s="101">
        <f t="shared" si="853"/>
        <v>80</v>
      </c>
      <c r="K1449" s="115">
        <f>IF(A1449&lt;&gt;0,INDEX(Coûts, 'PA-Détails'!A1449, 3),)</f>
        <v>1500</v>
      </c>
      <c r="L1449" s="37">
        <f t="shared" ref="L1449:P1450" si="858">ROUND(+$K1449*E1449,0)</f>
        <v>0</v>
      </c>
      <c r="M1449" s="36">
        <f t="shared" si="858"/>
        <v>0</v>
      </c>
      <c r="N1449" s="36">
        <f t="shared" si="858"/>
        <v>120000</v>
      </c>
      <c r="O1449" s="36">
        <f t="shared" si="858"/>
        <v>0</v>
      </c>
      <c r="P1449" s="268">
        <f t="shared" si="858"/>
        <v>0</v>
      </c>
      <c r="Q1449" s="281">
        <f>SUM(L1449:P1449)</f>
        <v>120000</v>
      </c>
      <c r="R1449" s="39"/>
      <c r="S1449" s="115"/>
      <c r="T1449" s="51"/>
    </row>
    <row r="1450" spans="1:26" x14ac:dyDescent="0.2">
      <c r="A1450" s="95">
        <v>8</v>
      </c>
      <c r="B1450" s="108" t="str">
        <f>IF(A1450&lt;&gt;0,INDEX(Coûts,'PA-Détails'!A1450, 2),)</f>
        <v>Formation</v>
      </c>
      <c r="C1450" s="51"/>
      <c r="D1450" s="94" t="str">
        <f>IF(A1450&lt;&gt;0,INDEX(Coûts, 'PA-Détails'!A1450, 5),)</f>
        <v>Pers / j</v>
      </c>
      <c r="E1450" s="96"/>
      <c r="F1450" s="100"/>
      <c r="G1450" s="100">
        <f>G1449*2</f>
        <v>160</v>
      </c>
      <c r="H1450" s="100"/>
      <c r="I1450" s="100"/>
      <c r="J1450" s="101">
        <f t="shared" si="853"/>
        <v>160</v>
      </c>
      <c r="K1450" s="115">
        <f>IF(A1450&lt;&gt;0,INDEX(Coûts, 'PA-Détails'!A1450, 3),)</f>
        <v>110</v>
      </c>
      <c r="L1450" s="37">
        <f t="shared" si="858"/>
        <v>0</v>
      </c>
      <c r="M1450" s="36">
        <f t="shared" si="858"/>
        <v>0</v>
      </c>
      <c r="N1450" s="36">
        <f t="shared" si="858"/>
        <v>17600</v>
      </c>
      <c r="O1450" s="36">
        <f t="shared" si="858"/>
        <v>0</v>
      </c>
      <c r="P1450" s="268">
        <f t="shared" si="858"/>
        <v>0</v>
      </c>
      <c r="Q1450" s="281">
        <f>SUM(L1450:P1450)</f>
        <v>17600</v>
      </c>
      <c r="R1450" s="39"/>
      <c r="S1450" s="115"/>
      <c r="T1450" s="51"/>
    </row>
    <row r="1451" spans="1:26" x14ac:dyDescent="0.2">
      <c r="A1451" s="14" t="s">
        <v>1291</v>
      </c>
      <c r="B1451" s="44"/>
      <c r="C1451" s="112"/>
      <c r="D1451" s="15"/>
      <c r="E1451" s="102"/>
      <c r="F1451" s="103"/>
      <c r="G1451" s="103"/>
      <c r="H1451" s="103"/>
      <c r="I1451" s="103"/>
      <c r="J1451" s="104">
        <f t="shared" si="853"/>
        <v>0</v>
      </c>
      <c r="K1451" s="145"/>
      <c r="L1451" s="33">
        <f t="shared" ref="L1451:P1452" si="859">ROUND(+$K1451*E1451,0)</f>
        <v>0</v>
      </c>
      <c r="M1451" s="32">
        <f t="shared" si="859"/>
        <v>0</v>
      </c>
      <c r="N1451" s="32">
        <f t="shared" si="859"/>
        <v>0</v>
      </c>
      <c r="O1451" s="32">
        <f t="shared" si="859"/>
        <v>0</v>
      </c>
      <c r="P1451" s="267">
        <f t="shared" si="859"/>
        <v>0</v>
      </c>
      <c r="Q1451" s="278">
        <f>SUM(L1451:P1451)</f>
        <v>0</v>
      </c>
      <c r="R1451" s="40"/>
      <c r="S1451" s="145"/>
      <c r="T1451" s="49">
        <v>3</v>
      </c>
    </row>
    <row r="1452" spans="1:26" x14ac:dyDescent="0.2">
      <c r="A1452" s="17" t="s">
        <v>1292</v>
      </c>
      <c r="B1452" s="45"/>
      <c r="C1452" s="51" t="s">
        <v>583</v>
      </c>
      <c r="D1452" s="18"/>
      <c r="E1452" s="97"/>
      <c r="F1452" s="98"/>
      <c r="G1452" s="98"/>
      <c r="H1452" s="98"/>
      <c r="I1452" s="98"/>
      <c r="J1452" s="99">
        <f t="shared" si="853"/>
        <v>0</v>
      </c>
      <c r="K1452" s="116"/>
      <c r="L1452" s="35">
        <f t="shared" si="859"/>
        <v>0</v>
      </c>
      <c r="M1452" s="34">
        <f t="shared" si="859"/>
        <v>0</v>
      </c>
      <c r="N1452" s="34">
        <f t="shared" si="859"/>
        <v>0</v>
      </c>
      <c r="O1452" s="34">
        <f t="shared" si="859"/>
        <v>0</v>
      </c>
      <c r="P1452" s="269">
        <f t="shared" si="859"/>
        <v>0</v>
      </c>
      <c r="Q1452" s="279">
        <f>SUM(L1452:P1452)</f>
        <v>0</v>
      </c>
      <c r="R1452" s="38"/>
      <c r="S1452" s="116"/>
      <c r="T1452" s="50"/>
    </row>
    <row r="1453" spans="1:26" x14ac:dyDescent="0.2">
      <c r="A1453" s="20" t="s">
        <v>1293</v>
      </c>
      <c r="B1453" s="46"/>
      <c r="C1453" s="51"/>
      <c r="D1453" s="21"/>
      <c r="E1453" s="96"/>
      <c r="F1453" s="100"/>
      <c r="G1453" s="100"/>
      <c r="H1453" s="100"/>
      <c r="I1453" s="100"/>
      <c r="J1453" s="101">
        <f t="shared" si="853"/>
        <v>0</v>
      </c>
      <c r="K1453" s="115"/>
      <c r="L1453" s="161">
        <f t="shared" ref="L1453:Q1453" si="860">SUM(L1454:L1456)</f>
        <v>22100</v>
      </c>
      <c r="M1453" s="157">
        <f t="shared" si="860"/>
        <v>0</v>
      </c>
      <c r="N1453" s="157">
        <f t="shared" si="860"/>
        <v>0</v>
      </c>
      <c r="O1453" s="157">
        <f t="shared" si="860"/>
        <v>0</v>
      </c>
      <c r="P1453" s="270">
        <f t="shared" si="860"/>
        <v>0</v>
      </c>
      <c r="Q1453" s="282">
        <f t="shared" si="860"/>
        <v>22100</v>
      </c>
      <c r="R1453" s="39" t="s">
        <v>829</v>
      </c>
      <c r="S1453" s="115" t="s">
        <v>584</v>
      </c>
      <c r="T1453" s="51"/>
    </row>
    <row r="1454" spans="1:26" x14ac:dyDescent="0.2">
      <c r="A1454" s="95">
        <v>1</v>
      </c>
      <c r="B1454" s="108" t="str">
        <f>IF(A1454&lt;&gt;0,INDEX(Coûts,'PA-Détails'!A1454, 2),)</f>
        <v>Assistance technique internationale (consultants)</v>
      </c>
      <c r="C1454" s="51"/>
      <c r="D1454" s="94" t="str">
        <f>IF(A1454&lt;&gt;0,INDEX(Coûts, 'PA-Détails'!A1454, 5),)</f>
        <v>Pers / j</v>
      </c>
      <c r="E1454" s="96">
        <v>10</v>
      </c>
      <c r="F1454" s="100"/>
      <c r="G1454" s="100"/>
      <c r="H1454" s="100"/>
      <c r="I1454" s="100"/>
      <c r="J1454" s="101">
        <f t="shared" si="853"/>
        <v>10</v>
      </c>
      <c r="K1454" s="115">
        <f>IF(A1454&lt;&gt;0,INDEX(Coûts, 'PA-Détails'!A1454, 3),)</f>
        <v>1150</v>
      </c>
      <c r="L1454" s="37">
        <f t="shared" ref="L1454:P1456" si="861">ROUND(+$K1454*E1454,0)</f>
        <v>11500</v>
      </c>
      <c r="M1454" s="36">
        <f t="shared" si="861"/>
        <v>0</v>
      </c>
      <c r="N1454" s="36">
        <f t="shared" si="861"/>
        <v>0</v>
      </c>
      <c r="O1454" s="36">
        <f t="shared" si="861"/>
        <v>0</v>
      </c>
      <c r="P1454" s="268">
        <f t="shared" si="861"/>
        <v>0</v>
      </c>
      <c r="Q1454" s="281">
        <f>SUM(L1454:P1454)</f>
        <v>11500</v>
      </c>
      <c r="R1454" s="39"/>
      <c r="S1454" s="115"/>
      <c r="T1454" s="51"/>
    </row>
    <row r="1455" spans="1:26" x14ac:dyDescent="0.2">
      <c r="A1455" s="95">
        <v>11</v>
      </c>
      <c r="B1455" s="108" t="str">
        <f>IF(A1455&lt;&gt;0,INDEX(Coûts,'PA-Détails'!A1455, 2),)</f>
        <v>Atelier technique</v>
      </c>
      <c r="C1455" s="51"/>
      <c r="D1455" s="94" t="str">
        <f>IF(A1455&lt;&gt;0,INDEX(Coûts, 'PA-Détails'!A1455, 5),)</f>
        <v>Pers / j</v>
      </c>
      <c r="E1455" s="96">
        <f>4*20</f>
        <v>80</v>
      </c>
      <c r="F1455" s="100"/>
      <c r="G1455" s="100"/>
      <c r="H1455" s="100"/>
      <c r="I1455" s="100"/>
      <c r="J1455" s="101">
        <f t="shared" si="853"/>
        <v>80</v>
      </c>
      <c r="K1455" s="115">
        <f>IF(A1455&lt;&gt;0,INDEX(Coûts, 'PA-Détails'!A1455, 3),)</f>
        <v>70</v>
      </c>
      <c r="L1455" s="37">
        <f t="shared" si="861"/>
        <v>5600</v>
      </c>
      <c r="M1455" s="36">
        <f t="shared" si="861"/>
        <v>0</v>
      </c>
      <c r="N1455" s="36">
        <f t="shared" si="861"/>
        <v>0</v>
      </c>
      <c r="O1455" s="36">
        <f t="shared" si="861"/>
        <v>0</v>
      </c>
      <c r="P1455" s="268">
        <f t="shared" si="861"/>
        <v>0</v>
      </c>
      <c r="Q1455" s="281">
        <f>SUM(L1455:P1455)</f>
        <v>5600</v>
      </c>
      <c r="R1455" s="39"/>
      <c r="S1455" s="115"/>
      <c r="T1455" s="51"/>
    </row>
    <row r="1456" spans="1:26" x14ac:dyDescent="0.2">
      <c r="A1456" s="95">
        <v>5</v>
      </c>
      <c r="B1456" s="108" t="str">
        <f>IF(A1456&lt;&gt;0,INDEX(Coûts,'PA-Détails'!A1456, 2),)</f>
        <v>Atelier de validation</v>
      </c>
      <c r="C1456" s="51"/>
      <c r="D1456" s="94" t="str">
        <f>IF(A1456&lt;&gt;0,INDEX(Coûts, 'PA-Détails'!A1456, 5),)</f>
        <v>Pers / j</v>
      </c>
      <c r="E1456" s="96">
        <f>2*50</f>
        <v>100</v>
      </c>
      <c r="F1456" s="100"/>
      <c r="G1456" s="100"/>
      <c r="H1456" s="100"/>
      <c r="I1456" s="100"/>
      <c r="J1456" s="101">
        <f t="shared" si="853"/>
        <v>100</v>
      </c>
      <c r="K1456" s="115">
        <f>IF(A1456&lt;&gt;0,INDEX(Coûts, 'PA-Détails'!A1456, 3),)</f>
        <v>50</v>
      </c>
      <c r="L1456" s="37">
        <f t="shared" si="861"/>
        <v>5000</v>
      </c>
      <c r="M1456" s="36">
        <f t="shared" si="861"/>
        <v>0</v>
      </c>
      <c r="N1456" s="36">
        <f t="shared" si="861"/>
        <v>0</v>
      </c>
      <c r="O1456" s="36">
        <f t="shared" si="861"/>
        <v>0</v>
      </c>
      <c r="P1456" s="268">
        <f t="shared" si="861"/>
        <v>0</v>
      </c>
      <c r="Q1456" s="281">
        <f>SUM(L1456:P1456)</f>
        <v>5000</v>
      </c>
      <c r="R1456" s="39"/>
      <c r="S1456" s="115"/>
      <c r="T1456" s="51"/>
    </row>
    <row r="1457" spans="1:20" x14ac:dyDescent="0.2">
      <c r="A1457" s="20" t="s">
        <v>1294</v>
      </c>
      <c r="B1457" s="46"/>
      <c r="C1457" s="51"/>
      <c r="D1457" s="21"/>
      <c r="E1457" s="96"/>
      <c r="F1457" s="100"/>
      <c r="G1457" s="100"/>
      <c r="H1457" s="100"/>
      <c r="I1457" s="100"/>
      <c r="J1457" s="101">
        <f t="shared" si="853"/>
        <v>0</v>
      </c>
      <c r="K1457" s="115"/>
      <c r="L1457" s="161">
        <f t="shared" ref="L1457:Q1457" si="862">SUM(L1458:L1462)</f>
        <v>71300</v>
      </c>
      <c r="M1457" s="157">
        <f t="shared" si="862"/>
        <v>52300</v>
      </c>
      <c r="N1457" s="157">
        <f t="shared" si="862"/>
        <v>52300</v>
      </c>
      <c r="O1457" s="157">
        <f t="shared" si="862"/>
        <v>52300</v>
      </c>
      <c r="P1457" s="270">
        <f t="shared" si="862"/>
        <v>52300</v>
      </c>
      <c r="Q1457" s="282">
        <f t="shared" si="862"/>
        <v>280500</v>
      </c>
      <c r="R1457" s="39" t="str">
        <f>R1453</f>
        <v>CGC/EVF/DGENF/CC(MTFP et MESU-DEP)</v>
      </c>
      <c r="S1457" s="115" t="s">
        <v>584</v>
      </c>
      <c r="T1457" s="51"/>
    </row>
    <row r="1458" spans="1:20" x14ac:dyDescent="0.2">
      <c r="A1458" s="95">
        <v>81</v>
      </c>
      <c r="B1458" s="108" t="str">
        <f>IF(A1458&lt;&gt;0,INDEX(Coûts,'PA-Détails'!A1458, 2),)</f>
        <v>Production et diffusion de spots / sketchs audios</v>
      </c>
      <c r="C1458" s="51"/>
      <c r="D1458" s="94" t="str">
        <f>IF(A1458&lt;&gt;0,INDEX(Coûts, 'PA-Détails'!A1458, 5),)</f>
        <v>Unité</v>
      </c>
      <c r="E1458" s="96">
        <v>4</v>
      </c>
      <c r="F1458" s="100"/>
      <c r="G1458" s="100"/>
      <c r="H1458" s="100"/>
      <c r="I1458" s="100"/>
      <c r="J1458" s="101">
        <f t="shared" si="853"/>
        <v>4</v>
      </c>
      <c r="K1458" s="115">
        <f>IF(A1458&lt;&gt;0,INDEX(Coûts, 'PA-Détails'!A1458, 3),)</f>
        <v>350</v>
      </c>
      <c r="L1458" s="37">
        <f t="shared" ref="L1458:P1462" si="863">ROUND(+$K1458*E1458,0)</f>
        <v>1400</v>
      </c>
      <c r="M1458" s="36">
        <f t="shared" si="863"/>
        <v>0</v>
      </c>
      <c r="N1458" s="36">
        <f t="shared" si="863"/>
        <v>0</v>
      </c>
      <c r="O1458" s="36">
        <f t="shared" si="863"/>
        <v>0</v>
      </c>
      <c r="P1458" s="268">
        <f t="shared" si="863"/>
        <v>0</v>
      </c>
      <c r="Q1458" s="281">
        <f>SUM(L1458:P1458)</f>
        <v>1400</v>
      </c>
      <c r="R1458" s="39"/>
      <c r="S1458" s="115"/>
      <c r="T1458" s="51"/>
    </row>
    <row r="1459" spans="1:20" x14ac:dyDescent="0.2">
      <c r="A1459" s="95">
        <v>85</v>
      </c>
      <c r="B1459" s="108" t="str">
        <f>IF(A1459&lt;&gt;0,INDEX(Coûts,'PA-Détails'!A1459, 2),)</f>
        <v>Production d'un spot et d'un sketch vidéo</v>
      </c>
      <c r="C1459" s="51"/>
      <c r="D1459" s="94" t="str">
        <f>IF(A1459&lt;&gt;0,INDEX(Coûts, 'PA-Détails'!A1459, 5),)</f>
        <v>Unité</v>
      </c>
      <c r="E1459" s="96">
        <v>2</v>
      </c>
      <c r="F1459" s="100"/>
      <c r="G1459" s="100"/>
      <c r="H1459" s="100"/>
      <c r="I1459" s="100"/>
      <c r="J1459" s="101">
        <f t="shared" si="853"/>
        <v>2</v>
      </c>
      <c r="K1459" s="115">
        <f>IF(A1459&lt;&gt;0,INDEX(Coûts, 'PA-Détails'!A1459, 3),)</f>
        <v>8800</v>
      </c>
      <c r="L1459" s="37">
        <f t="shared" si="863"/>
        <v>17600</v>
      </c>
      <c r="M1459" s="36">
        <f t="shared" si="863"/>
        <v>0</v>
      </c>
      <c r="N1459" s="36">
        <f t="shared" si="863"/>
        <v>0</v>
      </c>
      <c r="O1459" s="36">
        <f t="shared" si="863"/>
        <v>0</v>
      </c>
      <c r="P1459" s="268">
        <f t="shared" si="863"/>
        <v>0</v>
      </c>
      <c r="Q1459" s="281">
        <f>SUM(L1459:P1459)</f>
        <v>17600</v>
      </c>
      <c r="R1459" s="39"/>
      <c r="S1459" s="115"/>
      <c r="T1459" s="51"/>
    </row>
    <row r="1460" spans="1:20" x14ac:dyDescent="0.2">
      <c r="A1460" s="95">
        <v>86</v>
      </c>
      <c r="B1460" s="108" t="str">
        <f>IF(A1460&lt;&gt;0,INDEX(Coûts,'PA-Détails'!A1460, 2),)</f>
        <v>Diffusion de spots / sketchs video</v>
      </c>
      <c r="C1460" s="51"/>
      <c r="D1460" s="94" t="str">
        <f>IF(A1460&lt;&gt;0,INDEX(Coûts, 'PA-Détails'!A1460, 5),)</f>
        <v>Unité</v>
      </c>
      <c r="E1460" s="96">
        <f>3*3*5</f>
        <v>45</v>
      </c>
      <c r="F1460" s="100">
        <f>E1460</f>
        <v>45</v>
      </c>
      <c r="G1460" s="100">
        <f>F1460</f>
        <v>45</v>
      </c>
      <c r="H1460" s="100">
        <f>G1460</f>
        <v>45</v>
      </c>
      <c r="I1460" s="100">
        <f>H1460</f>
        <v>45</v>
      </c>
      <c r="J1460" s="101">
        <f t="shared" si="853"/>
        <v>225</v>
      </c>
      <c r="K1460" s="115">
        <f>IF(A1460&lt;&gt;0,INDEX(Coûts, 'PA-Détails'!A1460, 3),)</f>
        <v>500</v>
      </c>
      <c r="L1460" s="37">
        <f t="shared" si="863"/>
        <v>22500</v>
      </c>
      <c r="M1460" s="36">
        <f t="shared" si="863"/>
        <v>22500</v>
      </c>
      <c r="N1460" s="36">
        <f t="shared" si="863"/>
        <v>22500</v>
      </c>
      <c r="O1460" s="36">
        <f t="shared" si="863"/>
        <v>22500</v>
      </c>
      <c r="P1460" s="268">
        <f t="shared" si="863"/>
        <v>22500</v>
      </c>
      <c r="Q1460" s="281">
        <f>SUM(L1460:P1460)</f>
        <v>112500</v>
      </c>
      <c r="R1460" s="39"/>
      <c r="S1460" s="115"/>
      <c r="T1460" s="51"/>
    </row>
    <row r="1461" spans="1:20" x14ac:dyDescent="0.2">
      <c r="A1461" s="95">
        <v>82</v>
      </c>
      <c r="B1461" s="108" t="str">
        <f>IF(A1461&lt;&gt;0,INDEX(Coûts,'PA-Détails'!A1461, 2),)</f>
        <v>Support publicitaire : panneaux</v>
      </c>
      <c r="C1461" s="51"/>
      <c r="D1461" s="94" t="str">
        <f>IF(A1461&lt;&gt;0,INDEX(Coûts, 'PA-Détails'!A1461, 5),)</f>
        <v>Unité/mois</v>
      </c>
      <c r="E1461" s="96">
        <v>2</v>
      </c>
      <c r="F1461" s="100">
        <v>2</v>
      </c>
      <c r="G1461" s="100">
        <v>2</v>
      </c>
      <c r="H1461" s="100">
        <v>2</v>
      </c>
      <c r="I1461" s="100">
        <v>2</v>
      </c>
      <c r="J1461" s="101">
        <f t="shared" si="853"/>
        <v>10</v>
      </c>
      <c r="K1461" s="115">
        <f>IF(A1461&lt;&gt;0,INDEX(Coûts, 'PA-Détails'!A1461, 3),)</f>
        <v>2400</v>
      </c>
      <c r="L1461" s="37">
        <f t="shared" si="863"/>
        <v>4800</v>
      </c>
      <c r="M1461" s="36">
        <f t="shared" si="863"/>
        <v>4800</v>
      </c>
      <c r="N1461" s="36">
        <f t="shared" si="863"/>
        <v>4800</v>
      </c>
      <c r="O1461" s="36">
        <f t="shared" si="863"/>
        <v>4800</v>
      </c>
      <c r="P1461" s="268">
        <f t="shared" si="863"/>
        <v>4800</v>
      </c>
      <c r="Q1461" s="281">
        <f>SUM(L1461:P1461)</f>
        <v>24000</v>
      </c>
      <c r="R1461" s="39"/>
      <c r="S1461" s="115"/>
      <c r="T1461" s="51"/>
    </row>
    <row r="1462" spans="1:20" x14ac:dyDescent="0.2">
      <c r="A1462" s="95">
        <v>83</v>
      </c>
      <c r="B1462" s="108" t="str">
        <f>IF(A1462&lt;&gt;0,INDEX(Coûts,'PA-Détails'!A1462, 2),)</f>
        <v>Support publicitaire : affiches</v>
      </c>
      <c r="C1462" s="51"/>
      <c r="D1462" s="94" t="str">
        <f>IF(A1462&lt;&gt;0,INDEX(Coûts, 'PA-Détails'!A1462, 5),)</f>
        <v>Unité</v>
      </c>
      <c r="E1462" s="96">
        <v>1000</v>
      </c>
      <c r="F1462" s="100">
        <v>1000</v>
      </c>
      <c r="G1462" s="100">
        <v>1000</v>
      </c>
      <c r="H1462" s="100">
        <v>1000</v>
      </c>
      <c r="I1462" s="100">
        <v>1000</v>
      </c>
      <c r="J1462" s="101">
        <f t="shared" ref="J1462:J1493" si="864">SUM(E1462:I1462)</f>
        <v>5000</v>
      </c>
      <c r="K1462" s="115">
        <f>IF(A1462&lt;&gt;0,INDEX(Coûts, 'PA-Détails'!A1462, 3),)</f>
        <v>25</v>
      </c>
      <c r="L1462" s="37">
        <f t="shared" si="863"/>
        <v>25000</v>
      </c>
      <c r="M1462" s="36">
        <f t="shared" si="863"/>
        <v>25000</v>
      </c>
      <c r="N1462" s="36">
        <f t="shared" si="863"/>
        <v>25000</v>
      </c>
      <c r="O1462" s="36">
        <f t="shared" si="863"/>
        <v>25000</v>
      </c>
      <c r="P1462" s="268">
        <f t="shared" si="863"/>
        <v>25000</v>
      </c>
      <c r="Q1462" s="281">
        <f>SUM(L1462:P1462)</f>
        <v>125000</v>
      </c>
      <c r="R1462" s="39"/>
      <c r="S1462" s="115"/>
      <c r="T1462" s="51"/>
    </row>
    <row r="1463" spans="1:20" x14ac:dyDescent="0.2">
      <c r="A1463" s="20" t="s">
        <v>1295</v>
      </c>
      <c r="B1463" s="46"/>
      <c r="C1463" s="51"/>
      <c r="D1463" s="21"/>
      <c r="E1463" s="96"/>
      <c r="F1463" s="100"/>
      <c r="G1463" s="100"/>
      <c r="H1463" s="100"/>
      <c r="I1463" s="100"/>
      <c r="J1463" s="101">
        <f t="shared" si="864"/>
        <v>0</v>
      </c>
      <c r="K1463" s="115"/>
      <c r="L1463" s="161">
        <f t="shared" ref="L1463:Q1463" si="865">SUM(L1464:L1465)</f>
        <v>127500</v>
      </c>
      <c r="M1463" s="157">
        <f t="shared" si="865"/>
        <v>52500</v>
      </c>
      <c r="N1463" s="157">
        <f t="shared" si="865"/>
        <v>52500</v>
      </c>
      <c r="O1463" s="157">
        <f t="shared" si="865"/>
        <v>52500</v>
      </c>
      <c r="P1463" s="270">
        <f t="shared" si="865"/>
        <v>52500</v>
      </c>
      <c r="Q1463" s="284">
        <f t="shared" si="865"/>
        <v>337500</v>
      </c>
      <c r="R1463" s="39" t="str">
        <f>R1457</f>
        <v>CGC/EVF/DGENF/CC(MTFP et MESU-DEP)</v>
      </c>
      <c r="S1463" s="115" t="s">
        <v>584</v>
      </c>
      <c r="T1463" s="51"/>
    </row>
    <row r="1464" spans="1:20" x14ac:dyDescent="0.2">
      <c r="A1464" s="95">
        <v>12</v>
      </c>
      <c r="B1464" s="108" t="str">
        <f>IF(A1464&lt;&gt;0,INDEX(Coûts,'PA-Détails'!A1464, 2),)</f>
        <v>Formation - Action et Formation de formateurs</v>
      </c>
      <c r="C1464" s="51"/>
      <c r="D1464" s="94" t="str">
        <f>IF(A1464&lt;&gt;0,INDEX(Coûts, 'PA-Détails'!A1464, 5),)</f>
        <v>Pers / j</v>
      </c>
      <c r="E1464" s="96">
        <f>100*5</f>
        <v>500</v>
      </c>
      <c r="F1464" s="100"/>
      <c r="G1464" s="100"/>
      <c r="H1464" s="100"/>
      <c r="I1464" s="100"/>
      <c r="J1464" s="101">
        <f t="shared" si="864"/>
        <v>500</v>
      </c>
      <c r="K1464" s="115">
        <f>IF(A1464&lt;&gt;0,INDEX(Coûts, 'PA-Détails'!A1464, 3),)</f>
        <v>150</v>
      </c>
      <c r="L1464" s="37">
        <f t="shared" ref="L1464:P1466" si="866">ROUND(+$K1464*E1464,0)</f>
        <v>75000</v>
      </c>
      <c r="M1464" s="36">
        <f t="shared" si="866"/>
        <v>0</v>
      </c>
      <c r="N1464" s="36">
        <f t="shared" si="866"/>
        <v>0</v>
      </c>
      <c r="O1464" s="36">
        <f t="shared" si="866"/>
        <v>0</v>
      </c>
      <c r="P1464" s="268">
        <f t="shared" si="866"/>
        <v>0</v>
      </c>
      <c r="Q1464" s="281">
        <f>SUM(L1464:P1464)</f>
        <v>75000</v>
      </c>
      <c r="R1464" s="39"/>
      <c r="S1464" s="115"/>
      <c r="T1464" s="51"/>
    </row>
    <row r="1465" spans="1:20" x14ac:dyDescent="0.2">
      <c r="A1465" s="95">
        <v>84</v>
      </c>
      <c r="B1465" s="108" t="str">
        <f>IF(A1465&lt;&gt;0,INDEX(Coûts,'PA-Détails'!A1465, 2),)</f>
        <v>Campagne de sensibilisation</v>
      </c>
      <c r="C1465" s="51"/>
      <c r="D1465" s="94" t="str">
        <f>IF(A1465&lt;&gt;0,INDEX(Coûts, 'PA-Détails'!A1465, 5),)</f>
        <v>Unité</v>
      </c>
      <c r="E1465" s="96">
        <v>30</v>
      </c>
      <c r="F1465" s="100">
        <v>30</v>
      </c>
      <c r="G1465" s="100">
        <f>F1465</f>
        <v>30</v>
      </c>
      <c r="H1465" s="100">
        <f>G1465</f>
        <v>30</v>
      </c>
      <c r="I1465" s="100">
        <f>H1465</f>
        <v>30</v>
      </c>
      <c r="J1465" s="101">
        <f t="shared" si="864"/>
        <v>150</v>
      </c>
      <c r="K1465" s="115">
        <f>IF(A1465&lt;&gt;0,INDEX(Coûts, 'PA-Détails'!A1465, 3),)</f>
        <v>1750</v>
      </c>
      <c r="L1465" s="37">
        <f t="shared" si="866"/>
        <v>52500</v>
      </c>
      <c r="M1465" s="36">
        <f t="shared" si="866"/>
        <v>52500</v>
      </c>
      <c r="N1465" s="36">
        <f t="shared" si="866"/>
        <v>52500</v>
      </c>
      <c r="O1465" s="36">
        <f t="shared" si="866"/>
        <v>52500</v>
      </c>
      <c r="P1465" s="268">
        <f t="shared" si="866"/>
        <v>52500</v>
      </c>
      <c r="Q1465" s="281">
        <f>SUM(L1465:P1465)</f>
        <v>262500</v>
      </c>
      <c r="R1465" s="39"/>
      <c r="S1465" s="115"/>
      <c r="T1465" s="51"/>
    </row>
    <row r="1466" spans="1:20" x14ac:dyDescent="0.2">
      <c r="A1466" s="17" t="s">
        <v>1296</v>
      </c>
      <c r="B1466" s="45"/>
      <c r="C1466" s="51" t="s">
        <v>585</v>
      </c>
      <c r="D1466" s="18"/>
      <c r="E1466" s="97"/>
      <c r="F1466" s="98"/>
      <c r="G1466" s="98"/>
      <c r="H1466" s="98"/>
      <c r="I1466" s="98"/>
      <c r="J1466" s="99">
        <f t="shared" si="864"/>
        <v>0</v>
      </c>
      <c r="K1466" s="116"/>
      <c r="L1466" s="35">
        <f t="shared" si="866"/>
        <v>0</v>
      </c>
      <c r="M1466" s="34">
        <f t="shared" si="866"/>
        <v>0</v>
      </c>
      <c r="N1466" s="34">
        <f t="shared" si="866"/>
        <v>0</v>
      </c>
      <c r="O1466" s="34">
        <f t="shared" si="866"/>
        <v>0</v>
      </c>
      <c r="P1466" s="269">
        <f t="shared" si="866"/>
        <v>0</v>
      </c>
      <c r="Q1466" s="279">
        <f>SUM(L1466:P1466)</f>
        <v>0</v>
      </c>
      <c r="R1466" s="38"/>
      <c r="S1466" s="116"/>
      <c r="T1466" s="50"/>
    </row>
    <row r="1467" spans="1:20" x14ac:dyDescent="0.2">
      <c r="A1467" s="20" t="s">
        <v>1297</v>
      </c>
      <c r="B1467" s="46"/>
      <c r="C1467" s="51"/>
      <c r="D1467" s="21"/>
      <c r="E1467" s="96"/>
      <c r="F1467" s="100"/>
      <c r="G1467" s="100"/>
      <c r="H1467" s="100"/>
      <c r="I1467" s="100"/>
      <c r="J1467" s="101">
        <f t="shared" si="864"/>
        <v>0</v>
      </c>
      <c r="K1467" s="115"/>
      <c r="L1467" s="161">
        <f t="shared" ref="L1467:Q1467" si="867">SUM(L1468:L1469)</f>
        <v>9500</v>
      </c>
      <c r="M1467" s="157">
        <f t="shared" si="867"/>
        <v>0</v>
      </c>
      <c r="N1467" s="157">
        <f t="shared" si="867"/>
        <v>0</v>
      </c>
      <c r="O1467" s="157">
        <f t="shared" si="867"/>
        <v>0</v>
      </c>
      <c r="P1467" s="270">
        <f t="shared" si="867"/>
        <v>0</v>
      </c>
      <c r="Q1467" s="284">
        <f t="shared" si="867"/>
        <v>9500</v>
      </c>
      <c r="R1467" s="39" t="s">
        <v>1137</v>
      </c>
      <c r="S1467" s="115" t="s">
        <v>584</v>
      </c>
      <c r="T1467" s="51"/>
    </row>
    <row r="1468" spans="1:20" x14ac:dyDescent="0.2">
      <c r="A1468" s="95">
        <v>2</v>
      </c>
      <c r="B1468" s="108" t="str">
        <f>IF(A1468&lt;&gt;0,INDEX(Coûts,'PA-Détails'!A1468, 2),)</f>
        <v>Assistance technique nationale (consultants)</v>
      </c>
      <c r="C1468" s="51"/>
      <c r="D1468" s="94" t="str">
        <f>IF(A1468&lt;&gt;0,INDEX(Coûts, 'PA-Détails'!A1468, 5),)</f>
        <v>Pers / j</v>
      </c>
      <c r="E1468" s="96">
        <v>15</v>
      </c>
      <c r="F1468" s="100"/>
      <c r="G1468" s="100"/>
      <c r="H1468" s="100"/>
      <c r="I1468" s="100"/>
      <c r="J1468" s="101">
        <f t="shared" si="864"/>
        <v>15</v>
      </c>
      <c r="K1468" s="115">
        <f>IF(A1468&lt;&gt;0,INDEX(Coûts, 'PA-Détails'!A1468, 3),)</f>
        <v>300</v>
      </c>
      <c r="L1468" s="37">
        <f t="shared" ref="L1468:P1469" si="868">ROUND(+$K1468*E1468,0)</f>
        <v>4500</v>
      </c>
      <c r="M1468" s="36">
        <f t="shared" si="868"/>
        <v>0</v>
      </c>
      <c r="N1468" s="36">
        <f t="shared" si="868"/>
        <v>0</v>
      </c>
      <c r="O1468" s="36">
        <f t="shared" si="868"/>
        <v>0</v>
      </c>
      <c r="P1468" s="268">
        <f t="shared" si="868"/>
        <v>0</v>
      </c>
      <c r="Q1468" s="281">
        <f>SUM(L1468:P1468)</f>
        <v>4500</v>
      </c>
      <c r="R1468" s="39"/>
      <c r="S1468" s="115"/>
      <c r="T1468" s="51"/>
    </row>
    <row r="1469" spans="1:20" x14ac:dyDescent="0.2">
      <c r="A1469" s="95">
        <v>5</v>
      </c>
      <c r="B1469" s="108" t="str">
        <f>IF(A1469&lt;&gt;0,INDEX(Coûts,'PA-Détails'!A1469, 2),)</f>
        <v>Atelier de validation</v>
      </c>
      <c r="C1469" s="51"/>
      <c r="D1469" s="94" t="str">
        <f>IF(A1469&lt;&gt;0,INDEX(Coûts, 'PA-Détails'!A1469, 5),)</f>
        <v>Pers / j</v>
      </c>
      <c r="E1469" s="96">
        <v>100</v>
      </c>
      <c r="F1469" s="100"/>
      <c r="G1469" s="100"/>
      <c r="H1469" s="100"/>
      <c r="I1469" s="100"/>
      <c r="J1469" s="101">
        <f t="shared" si="864"/>
        <v>100</v>
      </c>
      <c r="K1469" s="115">
        <f>IF(A1469&lt;&gt;0,INDEX(Coûts, 'PA-Détails'!A1469, 3),)</f>
        <v>50</v>
      </c>
      <c r="L1469" s="37">
        <f t="shared" si="868"/>
        <v>5000</v>
      </c>
      <c r="M1469" s="36">
        <f t="shared" si="868"/>
        <v>0</v>
      </c>
      <c r="N1469" s="36">
        <f t="shared" si="868"/>
        <v>0</v>
      </c>
      <c r="O1469" s="36">
        <f t="shared" si="868"/>
        <v>0</v>
      </c>
      <c r="P1469" s="268">
        <f t="shared" si="868"/>
        <v>0</v>
      </c>
      <c r="Q1469" s="281">
        <f>SUM(L1469:P1469)</f>
        <v>5000</v>
      </c>
      <c r="R1469" s="39"/>
      <c r="S1469" s="115"/>
      <c r="T1469" s="51"/>
    </row>
    <row r="1470" spans="1:20" x14ac:dyDescent="0.2">
      <c r="A1470" s="20" t="s">
        <v>1298</v>
      </c>
      <c r="B1470" s="46"/>
      <c r="C1470" s="51"/>
      <c r="D1470" s="21"/>
      <c r="E1470" s="96"/>
      <c r="F1470" s="100"/>
      <c r="G1470" s="100"/>
      <c r="H1470" s="100"/>
      <c r="I1470" s="100"/>
      <c r="J1470" s="101">
        <f t="shared" si="864"/>
        <v>0</v>
      </c>
      <c r="K1470" s="115"/>
      <c r="L1470" s="161">
        <f t="shared" ref="L1470:Q1470" si="869">SUM(L1471:L1472)</f>
        <v>72500</v>
      </c>
      <c r="M1470" s="157">
        <f t="shared" si="869"/>
        <v>35000</v>
      </c>
      <c r="N1470" s="157">
        <f t="shared" si="869"/>
        <v>35000</v>
      </c>
      <c r="O1470" s="157">
        <f t="shared" si="869"/>
        <v>35000</v>
      </c>
      <c r="P1470" s="270">
        <f t="shared" si="869"/>
        <v>35000</v>
      </c>
      <c r="Q1470" s="284">
        <f t="shared" si="869"/>
        <v>212500</v>
      </c>
      <c r="R1470" s="39" t="str">
        <f>R1467</f>
        <v>SPACE</v>
      </c>
      <c r="S1470" s="115" t="s">
        <v>584</v>
      </c>
      <c r="T1470" s="51"/>
    </row>
    <row r="1471" spans="1:20" x14ac:dyDescent="0.2">
      <c r="A1471" s="95">
        <v>12</v>
      </c>
      <c r="B1471" s="108" t="str">
        <f>IF(A1471&lt;&gt;0,INDEX(Coûts,'PA-Détails'!A1471, 2),)</f>
        <v>Formation - Action et Formation de formateurs</v>
      </c>
      <c r="C1471" s="51"/>
      <c r="D1471" s="94" t="str">
        <f>IF(A1471&lt;&gt;0,INDEX(Coûts, 'PA-Détails'!A1471, 5),)</f>
        <v>Pers / j</v>
      </c>
      <c r="E1471" s="96">
        <f>50*5</f>
        <v>250</v>
      </c>
      <c r="F1471" s="100"/>
      <c r="G1471" s="100"/>
      <c r="H1471" s="100"/>
      <c r="I1471" s="100"/>
      <c r="J1471" s="101">
        <f t="shared" si="864"/>
        <v>250</v>
      </c>
      <c r="K1471" s="115">
        <f>IF(A1471&lt;&gt;0,INDEX(Coûts, 'PA-Détails'!A1471, 3),)</f>
        <v>150</v>
      </c>
      <c r="L1471" s="37">
        <f t="shared" ref="L1471:P1472" si="870">ROUND(+$K1471*E1471,0)</f>
        <v>37500</v>
      </c>
      <c r="M1471" s="36">
        <f t="shared" si="870"/>
        <v>0</v>
      </c>
      <c r="N1471" s="36">
        <f t="shared" si="870"/>
        <v>0</v>
      </c>
      <c r="O1471" s="36">
        <f t="shared" si="870"/>
        <v>0</v>
      </c>
      <c r="P1471" s="268">
        <f t="shared" si="870"/>
        <v>0</v>
      </c>
      <c r="Q1471" s="281">
        <f>SUM(L1471:P1471)</f>
        <v>37500</v>
      </c>
      <c r="R1471" s="39"/>
      <c r="S1471" s="115"/>
      <c r="T1471" s="51"/>
    </row>
    <row r="1472" spans="1:20" x14ac:dyDescent="0.2">
      <c r="A1472" s="95">
        <v>84</v>
      </c>
      <c r="B1472" s="108" t="str">
        <f>IF(A1472&lt;&gt;0,INDEX(Coûts,'PA-Détails'!A1472, 2),)</f>
        <v>Campagne de sensibilisation</v>
      </c>
      <c r="C1472" s="51"/>
      <c r="D1472" s="94" t="str">
        <f>IF(A1472&lt;&gt;0,INDEX(Coûts, 'PA-Détails'!A1472, 5),)</f>
        <v>Unité</v>
      </c>
      <c r="E1472" s="96">
        <v>20</v>
      </c>
      <c r="F1472" s="100">
        <f>E1472</f>
        <v>20</v>
      </c>
      <c r="G1472" s="100">
        <f>F1472</f>
        <v>20</v>
      </c>
      <c r="H1472" s="100">
        <f>G1472</f>
        <v>20</v>
      </c>
      <c r="I1472" s="100">
        <f>H1472</f>
        <v>20</v>
      </c>
      <c r="J1472" s="101">
        <f t="shared" si="864"/>
        <v>100</v>
      </c>
      <c r="K1472" s="115">
        <f>IF(A1472&lt;&gt;0,INDEX(Coûts, 'PA-Détails'!A1472, 3),)</f>
        <v>1750</v>
      </c>
      <c r="L1472" s="37">
        <f t="shared" si="870"/>
        <v>35000</v>
      </c>
      <c r="M1472" s="36">
        <f t="shared" si="870"/>
        <v>35000</v>
      </c>
      <c r="N1472" s="36">
        <f t="shared" si="870"/>
        <v>35000</v>
      </c>
      <c r="O1472" s="36">
        <f t="shared" si="870"/>
        <v>35000</v>
      </c>
      <c r="P1472" s="268">
        <f t="shared" si="870"/>
        <v>35000</v>
      </c>
      <c r="Q1472" s="281">
        <f>SUM(L1472:P1472)</f>
        <v>175000</v>
      </c>
      <c r="R1472" s="39"/>
      <c r="S1472" s="115"/>
      <c r="T1472" s="51"/>
    </row>
    <row r="1473" spans="1:20" x14ac:dyDescent="0.2">
      <c r="A1473" s="20" t="s">
        <v>1299</v>
      </c>
      <c r="B1473" s="46"/>
      <c r="C1473" s="51"/>
      <c r="D1473" s="21"/>
      <c r="E1473" s="96"/>
      <c r="F1473" s="100"/>
      <c r="G1473" s="100"/>
      <c r="H1473" s="100"/>
      <c r="I1473" s="100"/>
      <c r="J1473" s="101">
        <f t="shared" si="864"/>
        <v>0</v>
      </c>
      <c r="K1473" s="115"/>
      <c r="L1473" s="161">
        <f t="shared" ref="L1473:Q1473" si="871">SUM(L1474:L1475)</f>
        <v>97500</v>
      </c>
      <c r="M1473" s="157">
        <f t="shared" si="871"/>
        <v>90000</v>
      </c>
      <c r="N1473" s="157">
        <f t="shared" si="871"/>
        <v>120000</v>
      </c>
      <c r="O1473" s="157">
        <f t="shared" si="871"/>
        <v>150000</v>
      </c>
      <c r="P1473" s="270">
        <f t="shared" si="871"/>
        <v>180000</v>
      </c>
      <c r="Q1473" s="284">
        <f t="shared" si="871"/>
        <v>637500</v>
      </c>
      <c r="R1473" s="39" t="str">
        <f>R1467</f>
        <v>SPACE</v>
      </c>
      <c r="S1473" s="115" t="s">
        <v>584</v>
      </c>
      <c r="T1473" s="51"/>
    </row>
    <row r="1474" spans="1:20" x14ac:dyDescent="0.2">
      <c r="A1474" s="95">
        <v>12</v>
      </c>
      <c r="B1474" s="108" t="str">
        <f>IF(A1474&lt;&gt;0,INDEX(Coûts,'PA-Détails'!A1474, 2),)</f>
        <v>Formation - Action et Formation de formateurs</v>
      </c>
      <c r="C1474" s="51"/>
      <c r="D1474" s="94" t="str">
        <f>IF(A1474&lt;&gt;0,INDEX(Coûts, 'PA-Détails'!A1474, 5),)</f>
        <v>Pers / j</v>
      </c>
      <c r="E1474" s="96">
        <f>50*5</f>
        <v>250</v>
      </c>
      <c r="F1474" s="100"/>
      <c r="G1474" s="100"/>
      <c r="H1474" s="100"/>
      <c r="I1474" s="100"/>
      <c r="J1474" s="101">
        <f t="shared" si="864"/>
        <v>250</v>
      </c>
      <c r="K1474" s="115">
        <f>IF(A1474&lt;&gt;0,INDEX(Coûts, 'PA-Détails'!A1474, 3),)</f>
        <v>150</v>
      </c>
      <c r="L1474" s="37">
        <f t="shared" ref="L1474:P1476" si="872">ROUND(+$K1474*E1474,0)</f>
        <v>37500</v>
      </c>
      <c r="M1474" s="36">
        <f t="shared" si="872"/>
        <v>0</v>
      </c>
      <c r="N1474" s="36">
        <f t="shared" si="872"/>
        <v>0</v>
      </c>
      <c r="O1474" s="36">
        <f t="shared" si="872"/>
        <v>0</v>
      </c>
      <c r="P1474" s="268">
        <f t="shared" si="872"/>
        <v>0</v>
      </c>
      <c r="Q1474" s="281">
        <f>SUM(L1474:P1474)</f>
        <v>37500</v>
      </c>
      <c r="R1474" s="39"/>
      <c r="S1474" s="115"/>
      <c r="T1474" s="51"/>
    </row>
    <row r="1475" spans="1:20" x14ac:dyDescent="0.2">
      <c r="A1475" s="95">
        <v>93</v>
      </c>
      <c r="B1475" s="108" t="str">
        <f>IF(A1475&lt;&gt;0,INDEX(Coûts,'PA-Détails'!A1475, 2),)</f>
        <v>Fonctionnement point focal Genre</v>
      </c>
      <c r="C1475" s="51"/>
      <c r="D1475" s="94" t="str">
        <f>IF(A1475&lt;&gt;0,INDEX(Coûts, 'PA-Détails'!A1475, 5),)</f>
        <v>Forfait annuel</v>
      </c>
      <c r="E1475" s="96">
        <v>200</v>
      </c>
      <c r="F1475" s="100">
        <f>E1475+100</f>
        <v>300</v>
      </c>
      <c r="G1475" s="100">
        <f>F1475+100</f>
        <v>400</v>
      </c>
      <c r="H1475" s="100">
        <f>G1475+100</f>
        <v>500</v>
      </c>
      <c r="I1475" s="100">
        <f>H1475+100</f>
        <v>600</v>
      </c>
      <c r="J1475" s="101">
        <f t="shared" si="864"/>
        <v>2000</v>
      </c>
      <c r="K1475" s="115">
        <f>IF(A1475&lt;&gt;0,INDEX(Coûts, 'PA-Détails'!A1475, 3),)</f>
        <v>300</v>
      </c>
      <c r="L1475" s="37">
        <f t="shared" si="872"/>
        <v>60000</v>
      </c>
      <c r="M1475" s="36">
        <f t="shared" si="872"/>
        <v>90000</v>
      </c>
      <c r="N1475" s="36">
        <f t="shared" si="872"/>
        <v>120000</v>
      </c>
      <c r="O1475" s="36">
        <f t="shared" si="872"/>
        <v>150000</v>
      </c>
      <c r="P1475" s="268">
        <f t="shared" si="872"/>
        <v>180000</v>
      </c>
      <c r="Q1475" s="281">
        <f>SUM(L1475:P1475)</f>
        <v>600000</v>
      </c>
      <c r="R1475" s="39"/>
      <c r="S1475" s="115"/>
      <c r="T1475" s="51"/>
    </row>
    <row r="1476" spans="1:20" x14ac:dyDescent="0.2">
      <c r="A1476" s="17" t="s">
        <v>1300</v>
      </c>
      <c r="B1476" s="45"/>
      <c r="C1476" s="51" t="s">
        <v>586</v>
      </c>
      <c r="D1476" s="18"/>
      <c r="E1476" s="97"/>
      <c r="F1476" s="98"/>
      <c r="G1476" s="98"/>
      <c r="H1476" s="98"/>
      <c r="I1476" s="98"/>
      <c r="J1476" s="99">
        <f t="shared" si="864"/>
        <v>0</v>
      </c>
      <c r="K1476" s="116"/>
      <c r="L1476" s="35">
        <f t="shared" si="872"/>
        <v>0</v>
      </c>
      <c r="M1476" s="34">
        <f t="shared" si="872"/>
        <v>0</v>
      </c>
      <c r="N1476" s="34">
        <f t="shared" si="872"/>
        <v>0</v>
      </c>
      <c r="O1476" s="34">
        <f t="shared" si="872"/>
        <v>0</v>
      </c>
      <c r="P1476" s="269">
        <f t="shared" si="872"/>
        <v>0</v>
      </c>
      <c r="Q1476" s="279">
        <f>SUM(L1476:P1476)</f>
        <v>0</v>
      </c>
      <c r="R1476" s="38"/>
      <c r="S1476" s="116"/>
      <c r="T1476" s="50"/>
    </row>
    <row r="1477" spans="1:20" x14ac:dyDescent="0.2">
      <c r="A1477" s="20" t="s">
        <v>1301</v>
      </c>
      <c r="B1477" s="46"/>
      <c r="C1477" s="51"/>
      <c r="D1477" s="21"/>
      <c r="E1477" s="96"/>
      <c r="F1477" s="100"/>
      <c r="G1477" s="100"/>
      <c r="H1477" s="100"/>
      <c r="I1477" s="100"/>
      <c r="J1477" s="101">
        <f t="shared" si="864"/>
        <v>0</v>
      </c>
      <c r="K1477" s="115"/>
      <c r="L1477" s="161">
        <f t="shared" ref="L1477:Q1477" si="873">SUM(L1478:L1478)</f>
        <v>3000</v>
      </c>
      <c r="M1477" s="157">
        <f t="shared" si="873"/>
        <v>0</v>
      </c>
      <c r="N1477" s="157">
        <f t="shared" si="873"/>
        <v>0</v>
      </c>
      <c r="O1477" s="157">
        <f t="shared" si="873"/>
        <v>0</v>
      </c>
      <c r="P1477" s="270">
        <f t="shared" si="873"/>
        <v>0</v>
      </c>
      <c r="Q1477" s="284">
        <f t="shared" si="873"/>
        <v>3000</v>
      </c>
      <c r="R1477" s="39" t="s">
        <v>1137</v>
      </c>
      <c r="S1477" s="115" t="s">
        <v>584</v>
      </c>
      <c r="T1477" s="51"/>
    </row>
    <row r="1478" spans="1:20" x14ac:dyDescent="0.2">
      <c r="A1478" s="95">
        <v>2</v>
      </c>
      <c r="B1478" s="108" t="str">
        <f>IF(A1478&lt;&gt;0,INDEX(Coûts,'PA-Détails'!A1478, 2),)</f>
        <v>Assistance technique nationale (consultants)</v>
      </c>
      <c r="C1478" s="51"/>
      <c r="D1478" s="94" t="str">
        <f>IF(A1478&lt;&gt;0,INDEX(Coûts, 'PA-Détails'!A1478, 5),)</f>
        <v>Pers / j</v>
      </c>
      <c r="E1478" s="96">
        <v>10</v>
      </c>
      <c r="F1478" s="100"/>
      <c r="G1478" s="100"/>
      <c r="H1478" s="100"/>
      <c r="I1478" s="100"/>
      <c r="J1478" s="101">
        <f t="shared" si="864"/>
        <v>10</v>
      </c>
      <c r="K1478" s="115">
        <f>IF(A1478&lt;&gt;0,INDEX(Coûts, 'PA-Détails'!A1478, 3),)</f>
        <v>300</v>
      </c>
      <c r="L1478" s="37">
        <f>ROUND(+$K1478*E1478,0)</f>
        <v>3000</v>
      </c>
      <c r="M1478" s="36">
        <f>ROUND(+$K1478*F1478,0)</f>
        <v>0</v>
      </c>
      <c r="N1478" s="36">
        <f>ROUND(+$K1478*G1478,0)</f>
        <v>0</v>
      </c>
      <c r="O1478" s="36">
        <f>ROUND(+$K1478*H1478,0)</f>
        <v>0</v>
      </c>
      <c r="P1478" s="268">
        <f>ROUND(+$K1478*I1478,0)</f>
        <v>0</v>
      </c>
      <c r="Q1478" s="281">
        <f>SUM(L1478:P1478)</f>
        <v>3000</v>
      </c>
      <c r="R1478" s="39"/>
      <c r="S1478" s="115"/>
      <c r="T1478" s="51"/>
    </row>
    <row r="1479" spans="1:20" x14ac:dyDescent="0.2">
      <c r="A1479" s="20" t="s">
        <v>1302</v>
      </c>
      <c r="B1479" s="46"/>
      <c r="C1479" s="51"/>
      <c r="D1479" s="21"/>
      <c r="E1479" s="96"/>
      <c r="F1479" s="100"/>
      <c r="G1479" s="100"/>
      <c r="H1479" s="100"/>
      <c r="I1479" s="100"/>
      <c r="J1479" s="101">
        <f t="shared" si="864"/>
        <v>0</v>
      </c>
      <c r="K1479" s="115"/>
      <c r="L1479" s="161">
        <f t="shared" ref="L1479:Q1479" si="874">SUM(L1480:L1480)</f>
        <v>19000</v>
      </c>
      <c r="M1479" s="157">
        <f t="shared" si="874"/>
        <v>38000</v>
      </c>
      <c r="N1479" s="157">
        <f t="shared" si="874"/>
        <v>57000</v>
      </c>
      <c r="O1479" s="157">
        <f t="shared" si="874"/>
        <v>57000</v>
      </c>
      <c r="P1479" s="270">
        <f t="shared" si="874"/>
        <v>57000</v>
      </c>
      <c r="Q1479" s="284">
        <f t="shared" si="874"/>
        <v>228000</v>
      </c>
      <c r="R1479" s="39" t="s">
        <v>1138</v>
      </c>
      <c r="S1479" s="115" t="s">
        <v>584</v>
      </c>
      <c r="T1479" s="51"/>
    </row>
    <row r="1480" spans="1:20" x14ac:dyDescent="0.2">
      <c r="A1480" s="95">
        <v>7</v>
      </c>
      <c r="B1480" s="108" t="str">
        <f>IF(A1480&lt;&gt;0,INDEX(Coûts,'PA-Détails'!A1480, 2),)</f>
        <v>Séminaire</v>
      </c>
      <c r="C1480" s="51"/>
      <c r="D1480" s="94" t="str">
        <f>IF(A1480&lt;&gt;0,INDEX(Coûts, 'PA-Détails'!A1480, 5),)</f>
        <v>Pers / j</v>
      </c>
      <c r="E1480" s="96">
        <v>100</v>
      </c>
      <c r="F1480" s="100">
        <f>200</f>
        <v>200</v>
      </c>
      <c r="G1480" s="100">
        <v>300</v>
      </c>
      <c r="H1480" s="100">
        <f>G1480</f>
        <v>300</v>
      </c>
      <c r="I1480" s="100">
        <f>H1480</f>
        <v>300</v>
      </c>
      <c r="J1480" s="101">
        <f t="shared" si="864"/>
        <v>1200</v>
      </c>
      <c r="K1480" s="115">
        <f>IF(A1480&lt;&gt;0,INDEX(Coûts, 'PA-Détails'!A1480, 3),)</f>
        <v>190</v>
      </c>
      <c r="L1480" s="37">
        <f t="shared" ref="L1480:P1481" si="875">ROUND(+$K1480*E1480,0)</f>
        <v>19000</v>
      </c>
      <c r="M1480" s="36">
        <f t="shared" si="875"/>
        <v>38000</v>
      </c>
      <c r="N1480" s="36">
        <f t="shared" si="875"/>
        <v>57000</v>
      </c>
      <c r="O1480" s="36">
        <f t="shared" si="875"/>
        <v>57000</v>
      </c>
      <c r="P1480" s="268">
        <f t="shared" si="875"/>
        <v>57000</v>
      </c>
      <c r="Q1480" s="281">
        <f>SUM(L1480:P1480)</f>
        <v>228000</v>
      </c>
      <c r="R1480" s="39"/>
      <c r="S1480" s="115"/>
      <c r="T1480" s="51"/>
    </row>
    <row r="1481" spans="1:20" x14ac:dyDescent="0.2">
      <c r="A1481" s="17" t="s">
        <v>1303</v>
      </c>
      <c r="B1481" s="45"/>
      <c r="C1481" s="51" t="s">
        <v>587</v>
      </c>
      <c r="D1481" s="18"/>
      <c r="E1481" s="97"/>
      <c r="F1481" s="98"/>
      <c r="G1481" s="98"/>
      <c r="H1481" s="98"/>
      <c r="I1481" s="98"/>
      <c r="J1481" s="99">
        <f t="shared" si="864"/>
        <v>0</v>
      </c>
      <c r="K1481" s="116"/>
      <c r="L1481" s="35">
        <f t="shared" si="875"/>
        <v>0</v>
      </c>
      <c r="M1481" s="34">
        <f t="shared" si="875"/>
        <v>0</v>
      </c>
      <c r="N1481" s="34">
        <f t="shared" si="875"/>
        <v>0</v>
      </c>
      <c r="O1481" s="34">
        <f t="shared" si="875"/>
        <v>0</v>
      </c>
      <c r="P1481" s="269">
        <f t="shared" si="875"/>
        <v>0</v>
      </c>
      <c r="Q1481" s="279">
        <f>SUM(L1481:P1481)</f>
        <v>0</v>
      </c>
      <c r="R1481" s="38"/>
      <c r="S1481" s="116"/>
      <c r="T1481" s="50"/>
    </row>
    <row r="1482" spans="1:20" x14ac:dyDescent="0.2">
      <c r="A1482" s="20" t="s">
        <v>1304</v>
      </c>
      <c r="B1482" s="46"/>
      <c r="C1482" s="51"/>
      <c r="D1482" s="21"/>
      <c r="E1482" s="96"/>
      <c r="F1482" s="100"/>
      <c r="G1482" s="100"/>
      <c r="H1482" s="100"/>
      <c r="I1482" s="100"/>
      <c r="J1482" s="101">
        <f t="shared" si="864"/>
        <v>0</v>
      </c>
      <c r="K1482" s="115"/>
      <c r="L1482" s="161">
        <f t="shared" ref="L1482:Q1482" si="876">SUM(L1483:L1484)</f>
        <v>90000</v>
      </c>
      <c r="M1482" s="157">
        <f t="shared" si="876"/>
        <v>52500</v>
      </c>
      <c r="N1482" s="157">
        <f t="shared" si="876"/>
        <v>52500</v>
      </c>
      <c r="O1482" s="157">
        <f t="shared" si="876"/>
        <v>52500</v>
      </c>
      <c r="P1482" s="270">
        <f t="shared" si="876"/>
        <v>52500</v>
      </c>
      <c r="Q1482" s="284">
        <f t="shared" si="876"/>
        <v>300000</v>
      </c>
      <c r="R1482" s="39" t="s">
        <v>1138</v>
      </c>
      <c r="S1482" s="115" t="s">
        <v>584</v>
      </c>
      <c r="T1482" s="51"/>
    </row>
    <row r="1483" spans="1:20" x14ac:dyDescent="0.2">
      <c r="A1483" s="95">
        <v>12</v>
      </c>
      <c r="B1483" s="108" t="str">
        <f>IF(A1483&lt;&gt;0,INDEX(Coûts,'PA-Détails'!A1483, 2),)</f>
        <v>Formation - Action et Formation de formateurs</v>
      </c>
      <c r="C1483" s="51"/>
      <c r="D1483" s="94" t="str">
        <f>IF(A1483&lt;&gt;0,INDEX(Coûts, 'PA-Détails'!A1483, 5),)</f>
        <v>Pers / j</v>
      </c>
      <c r="E1483" s="96">
        <f>50*5</f>
        <v>250</v>
      </c>
      <c r="F1483" s="100"/>
      <c r="G1483" s="100"/>
      <c r="H1483" s="100"/>
      <c r="I1483" s="100"/>
      <c r="J1483" s="101">
        <f t="shared" si="864"/>
        <v>250</v>
      </c>
      <c r="K1483" s="115">
        <f>IF(A1483&lt;&gt;0,INDEX(Coûts, 'PA-Détails'!A1483, 3),)</f>
        <v>150</v>
      </c>
      <c r="L1483" s="37">
        <f t="shared" ref="L1483:P1484" si="877">ROUND(+$K1483*E1483,0)</f>
        <v>37500</v>
      </c>
      <c r="M1483" s="36">
        <f t="shared" si="877"/>
        <v>0</v>
      </c>
      <c r="N1483" s="36">
        <f t="shared" si="877"/>
        <v>0</v>
      </c>
      <c r="O1483" s="36">
        <f t="shared" si="877"/>
        <v>0</v>
      </c>
      <c r="P1483" s="268">
        <f t="shared" si="877"/>
        <v>0</v>
      </c>
      <c r="Q1483" s="281">
        <f>SUM(L1483:P1483)</f>
        <v>37500</v>
      </c>
      <c r="R1483" s="39"/>
      <c r="S1483" s="115"/>
      <c r="T1483" s="51"/>
    </row>
    <row r="1484" spans="1:20" x14ac:dyDescent="0.2">
      <c r="A1484" s="95">
        <v>84</v>
      </c>
      <c r="B1484" s="108" t="str">
        <f>IF(A1484&lt;&gt;0,INDEX(Coûts,'PA-Détails'!A1484, 2),)</f>
        <v>Campagne de sensibilisation</v>
      </c>
      <c r="C1484" s="51"/>
      <c r="D1484" s="94" t="str">
        <f>IF(A1484&lt;&gt;0,INDEX(Coûts, 'PA-Détails'!A1484, 5),)</f>
        <v>Unité</v>
      </c>
      <c r="E1484" s="96">
        <v>30</v>
      </c>
      <c r="F1484" s="100">
        <f>E1484</f>
        <v>30</v>
      </c>
      <c r="G1484" s="100">
        <f>F1484</f>
        <v>30</v>
      </c>
      <c r="H1484" s="100">
        <f>G1484</f>
        <v>30</v>
      </c>
      <c r="I1484" s="100">
        <f>H1484</f>
        <v>30</v>
      </c>
      <c r="J1484" s="101">
        <f t="shared" si="864"/>
        <v>150</v>
      </c>
      <c r="K1484" s="115">
        <f>IF(A1484&lt;&gt;0,INDEX(Coûts, 'PA-Détails'!A1484, 3),)</f>
        <v>1750</v>
      </c>
      <c r="L1484" s="37">
        <f t="shared" si="877"/>
        <v>52500</v>
      </c>
      <c r="M1484" s="36">
        <f t="shared" si="877"/>
        <v>52500</v>
      </c>
      <c r="N1484" s="36">
        <f t="shared" si="877"/>
        <v>52500</v>
      </c>
      <c r="O1484" s="36">
        <f t="shared" si="877"/>
        <v>52500</v>
      </c>
      <c r="P1484" s="268">
        <f t="shared" si="877"/>
        <v>52500</v>
      </c>
      <c r="Q1484" s="281">
        <f>SUM(L1484:P1484)</f>
        <v>262500</v>
      </c>
      <c r="R1484" s="39"/>
      <c r="S1484" s="115"/>
      <c r="T1484" s="51"/>
    </row>
    <row r="1485" spans="1:20" x14ac:dyDescent="0.2">
      <c r="A1485" s="20" t="s">
        <v>1622</v>
      </c>
      <c r="B1485" s="46"/>
      <c r="C1485" s="51"/>
      <c r="D1485" s="21"/>
      <c r="E1485" s="96"/>
      <c r="F1485" s="100"/>
      <c r="G1485" s="100"/>
      <c r="H1485" s="100"/>
      <c r="I1485" s="100"/>
      <c r="J1485" s="101">
        <f t="shared" si="864"/>
        <v>0</v>
      </c>
      <c r="K1485" s="115"/>
      <c r="L1485" s="161">
        <f t="shared" ref="L1485:Q1485" si="878">SUM(L1486:L1486)</f>
        <v>82950</v>
      </c>
      <c r="M1485" s="157">
        <f t="shared" si="878"/>
        <v>82950</v>
      </c>
      <c r="N1485" s="157">
        <f t="shared" si="878"/>
        <v>82950</v>
      </c>
      <c r="O1485" s="157">
        <f t="shared" si="878"/>
        <v>82950</v>
      </c>
      <c r="P1485" s="270">
        <f t="shared" si="878"/>
        <v>82950</v>
      </c>
      <c r="Q1485" s="284">
        <f t="shared" si="878"/>
        <v>414750</v>
      </c>
      <c r="R1485" s="39" t="s">
        <v>1138</v>
      </c>
      <c r="S1485" s="115" t="s">
        <v>584</v>
      </c>
      <c r="T1485" s="51"/>
    </row>
    <row r="1486" spans="1:20" x14ac:dyDescent="0.2">
      <c r="A1486" s="95">
        <v>12</v>
      </c>
      <c r="B1486" s="108" t="str">
        <f>IF(A1486&lt;&gt;0,INDEX(Coûts,'PA-Détails'!A1486, 2),)</f>
        <v>Formation - Action et Formation de formateurs</v>
      </c>
      <c r="C1486" s="51"/>
      <c r="D1486" s="94" t="str">
        <f>IF(A1486&lt;&gt;0,INDEX(Coûts, 'PA-Détails'!A1486, 5),)</f>
        <v>Pers / j</v>
      </c>
      <c r="E1486" s="96">
        <f>2300*0.1+350*0.2+(2600+2460)*0.05</f>
        <v>553</v>
      </c>
      <c r="F1486" s="100">
        <f>2300*0.1+350*0.2+(2600+2460)*0.05</f>
        <v>553</v>
      </c>
      <c r="G1486" s="100">
        <f>2300*0.1+350*0.2+(2600+2460)*0.05</f>
        <v>553</v>
      </c>
      <c r="H1486" s="100">
        <f>2300*0.1+350*0.2+(2600+2460)*0.05</f>
        <v>553</v>
      </c>
      <c r="I1486" s="100">
        <f>2300*0.1+350*0.2+(2600+2460)*0.05</f>
        <v>553</v>
      </c>
      <c r="J1486" s="101">
        <f t="shared" si="864"/>
        <v>2765</v>
      </c>
      <c r="K1486" s="115">
        <f>IF(A1486&lt;&gt;0,INDEX(Coûts, 'PA-Détails'!A1486, 3),)</f>
        <v>150</v>
      </c>
      <c r="L1486" s="37">
        <f t="shared" ref="L1486:P1487" si="879">ROUND(+$K1486*E1486,0)</f>
        <v>82950</v>
      </c>
      <c r="M1486" s="36">
        <f t="shared" si="879"/>
        <v>82950</v>
      </c>
      <c r="N1486" s="36">
        <f t="shared" si="879"/>
        <v>82950</v>
      </c>
      <c r="O1486" s="36">
        <f t="shared" si="879"/>
        <v>82950</v>
      </c>
      <c r="P1486" s="268">
        <f t="shared" si="879"/>
        <v>82950</v>
      </c>
      <c r="Q1486" s="281">
        <f>SUM(L1486:P1486)</f>
        <v>414750</v>
      </c>
      <c r="R1486" s="39"/>
      <c r="S1486" s="146"/>
      <c r="T1486" s="51"/>
    </row>
    <row r="1487" spans="1:20" x14ac:dyDescent="0.2">
      <c r="A1487" s="17" t="s">
        <v>1306</v>
      </c>
      <c r="B1487" s="45"/>
      <c r="C1487" s="51" t="s">
        <v>588</v>
      </c>
      <c r="D1487" s="18"/>
      <c r="E1487" s="97"/>
      <c r="F1487" s="98"/>
      <c r="G1487" s="98"/>
      <c r="H1487" s="98"/>
      <c r="I1487" s="98"/>
      <c r="J1487" s="99">
        <f t="shared" si="864"/>
        <v>0</v>
      </c>
      <c r="K1487" s="116"/>
      <c r="L1487" s="35">
        <f t="shared" si="879"/>
        <v>0</v>
      </c>
      <c r="M1487" s="34">
        <f t="shared" si="879"/>
        <v>0</v>
      </c>
      <c r="N1487" s="34">
        <f t="shared" si="879"/>
        <v>0</v>
      </c>
      <c r="O1487" s="34">
        <f t="shared" si="879"/>
        <v>0</v>
      </c>
      <c r="P1487" s="269">
        <f t="shared" si="879"/>
        <v>0</v>
      </c>
      <c r="Q1487" s="279">
        <f>SUM(L1487:P1487)</f>
        <v>0</v>
      </c>
      <c r="R1487" s="38"/>
      <c r="S1487" s="116"/>
      <c r="T1487" s="50"/>
    </row>
    <row r="1488" spans="1:20" x14ac:dyDescent="0.2">
      <c r="A1488" s="20" t="s">
        <v>1307</v>
      </c>
      <c r="B1488" s="46"/>
      <c r="C1488" s="51"/>
      <c r="D1488" s="21"/>
      <c r="E1488" s="96"/>
      <c r="F1488" s="100"/>
      <c r="G1488" s="100"/>
      <c r="H1488" s="100"/>
      <c r="I1488" s="100"/>
      <c r="J1488" s="101">
        <f t="shared" si="864"/>
        <v>0</v>
      </c>
      <c r="K1488" s="115"/>
      <c r="L1488" s="161">
        <f t="shared" ref="L1488:Q1488" si="880">SUM(L1489:L1491)</f>
        <v>34250</v>
      </c>
      <c r="M1488" s="34">
        <f t="shared" si="880"/>
        <v>0</v>
      </c>
      <c r="N1488" s="34">
        <f t="shared" si="880"/>
        <v>0</v>
      </c>
      <c r="O1488" s="34">
        <f t="shared" si="880"/>
        <v>0</v>
      </c>
      <c r="P1488" s="269">
        <f t="shared" si="880"/>
        <v>0</v>
      </c>
      <c r="Q1488" s="279">
        <f t="shared" si="880"/>
        <v>34250</v>
      </c>
      <c r="R1488" s="39" t="s">
        <v>1412</v>
      </c>
      <c r="S1488" s="115" t="s">
        <v>584</v>
      </c>
      <c r="T1488" s="51"/>
    </row>
    <row r="1489" spans="1:20" x14ac:dyDescent="0.2">
      <c r="A1489" s="95">
        <v>1</v>
      </c>
      <c r="B1489" s="108" t="str">
        <f>IF(A1489&lt;&gt;0,INDEX(Coûts,'PA-Détails'!A1489, 2),)</f>
        <v>Assistance technique internationale (consultants)</v>
      </c>
      <c r="C1489" s="51"/>
      <c r="D1489" s="94" t="str">
        <f>IF(A1489&lt;&gt;0,INDEX(Coûts, 'PA-Détails'!A1489, 5),)</f>
        <v>Pers / j</v>
      </c>
      <c r="E1489" s="96">
        <v>15</v>
      </c>
      <c r="F1489" s="100"/>
      <c r="G1489" s="100"/>
      <c r="H1489" s="100"/>
      <c r="I1489" s="100"/>
      <c r="J1489" s="101">
        <f t="shared" si="864"/>
        <v>15</v>
      </c>
      <c r="K1489" s="115">
        <f>IF(A1489&lt;&gt;0,INDEX(Coûts, 'PA-Détails'!A1489, 3),)</f>
        <v>1150</v>
      </c>
      <c r="L1489" s="37">
        <f t="shared" ref="L1489:P1491" si="881">ROUND(+$K1489*E1489,0)</f>
        <v>17250</v>
      </c>
      <c r="M1489" s="36">
        <f t="shared" si="881"/>
        <v>0</v>
      </c>
      <c r="N1489" s="36">
        <f t="shared" si="881"/>
        <v>0</v>
      </c>
      <c r="O1489" s="36">
        <f t="shared" si="881"/>
        <v>0</v>
      </c>
      <c r="P1489" s="268">
        <f t="shared" si="881"/>
        <v>0</v>
      </c>
      <c r="Q1489" s="281">
        <f>SUM(L1489:P1489)</f>
        <v>17250</v>
      </c>
      <c r="R1489" s="39"/>
      <c r="S1489" s="115"/>
      <c r="T1489" s="51"/>
    </row>
    <row r="1490" spans="1:20" x14ac:dyDescent="0.2">
      <c r="A1490" s="95">
        <v>2</v>
      </c>
      <c r="B1490" s="108" t="str">
        <f>IF(A1490&lt;&gt;0,INDEX(Coûts,'PA-Détails'!A1490, 2),)</f>
        <v>Assistance technique nationale (consultants)</v>
      </c>
      <c r="C1490" s="51"/>
      <c r="D1490" s="94" t="str">
        <f>IF(A1490&lt;&gt;0,INDEX(Coûts, 'PA-Détails'!A1490, 5),)</f>
        <v>Pers / j</v>
      </c>
      <c r="E1490" s="96">
        <v>40</v>
      </c>
      <c r="F1490" s="100"/>
      <c r="G1490" s="100"/>
      <c r="H1490" s="100"/>
      <c r="I1490" s="100"/>
      <c r="J1490" s="101">
        <f t="shared" si="864"/>
        <v>40</v>
      </c>
      <c r="K1490" s="115">
        <f>IF(A1490&lt;&gt;0,INDEX(Coûts, 'PA-Détails'!A1490, 3),)</f>
        <v>300</v>
      </c>
      <c r="L1490" s="37">
        <f t="shared" si="881"/>
        <v>12000</v>
      </c>
      <c r="M1490" s="36">
        <f t="shared" si="881"/>
        <v>0</v>
      </c>
      <c r="N1490" s="36">
        <f t="shared" si="881"/>
        <v>0</v>
      </c>
      <c r="O1490" s="36">
        <f t="shared" si="881"/>
        <v>0</v>
      </c>
      <c r="P1490" s="268">
        <f t="shared" si="881"/>
        <v>0</v>
      </c>
      <c r="Q1490" s="281">
        <f>SUM(L1490:P1490)</f>
        <v>12000</v>
      </c>
      <c r="R1490" s="39"/>
      <c r="S1490" s="115"/>
      <c r="T1490" s="51"/>
    </row>
    <row r="1491" spans="1:20" x14ac:dyDescent="0.2">
      <c r="A1491" s="95">
        <v>5</v>
      </c>
      <c r="B1491" s="108" t="str">
        <f>IF(A1491&lt;&gt;0,INDEX(Coûts,'PA-Détails'!A1491, 2),)</f>
        <v>Atelier de validation</v>
      </c>
      <c r="C1491" s="51"/>
      <c r="D1491" s="94" t="str">
        <f>IF(A1491&lt;&gt;0,INDEX(Coûts, 'PA-Détails'!A1491, 5),)</f>
        <v>Pers / j</v>
      </c>
      <c r="E1491" s="96">
        <v>100</v>
      </c>
      <c r="F1491" s="100"/>
      <c r="G1491" s="100"/>
      <c r="H1491" s="100"/>
      <c r="I1491" s="100"/>
      <c r="J1491" s="101">
        <f t="shared" si="864"/>
        <v>100</v>
      </c>
      <c r="K1491" s="115">
        <f>IF(A1491&lt;&gt;0,INDEX(Coûts, 'PA-Détails'!A1491, 3),)</f>
        <v>50</v>
      </c>
      <c r="L1491" s="37">
        <f t="shared" si="881"/>
        <v>5000</v>
      </c>
      <c r="M1491" s="36">
        <f t="shared" si="881"/>
        <v>0</v>
      </c>
      <c r="N1491" s="36">
        <f t="shared" si="881"/>
        <v>0</v>
      </c>
      <c r="O1491" s="36">
        <f t="shared" si="881"/>
        <v>0</v>
      </c>
      <c r="P1491" s="268">
        <f t="shared" si="881"/>
        <v>0</v>
      </c>
      <c r="Q1491" s="281">
        <f>SUM(L1491:P1491)</f>
        <v>5000</v>
      </c>
      <c r="R1491" s="39"/>
      <c r="S1491" s="115"/>
      <c r="T1491" s="51"/>
    </row>
    <row r="1492" spans="1:20" x14ac:dyDescent="0.2">
      <c r="A1492" s="20" t="s">
        <v>1308</v>
      </c>
      <c r="B1492" s="46"/>
      <c r="C1492" s="51"/>
      <c r="D1492" s="21"/>
      <c r="E1492" s="96"/>
      <c r="F1492" s="100"/>
      <c r="G1492" s="100"/>
      <c r="H1492" s="100"/>
      <c r="I1492" s="100"/>
      <c r="J1492" s="101">
        <f t="shared" si="864"/>
        <v>0</v>
      </c>
      <c r="K1492" s="115"/>
      <c r="L1492" s="161">
        <f t="shared" ref="L1492:Q1492" si="882">SUM(L1493:L1494)</f>
        <v>0</v>
      </c>
      <c r="M1492" s="157">
        <f t="shared" si="882"/>
        <v>28000</v>
      </c>
      <c r="N1492" s="157">
        <f t="shared" si="882"/>
        <v>0</v>
      </c>
      <c r="O1492" s="157">
        <f t="shared" si="882"/>
        <v>0</v>
      </c>
      <c r="P1492" s="270">
        <f t="shared" si="882"/>
        <v>0</v>
      </c>
      <c r="Q1492" s="284">
        <f t="shared" si="882"/>
        <v>28000</v>
      </c>
      <c r="R1492" s="39" t="s">
        <v>1412</v>
      </c>
      <c r="S1492" s="115" t="s">
        <v>584</v>
      </c>
      <c r="T1492" s="51"/>
    </row>
    <row r="1493" spans="1:20" x14ac:dyDescent="0.2">
      <c r="A1493" s="95">
        <v>1</v>
      </c>
      <c r="B1493" s="108" t="str">
        <f>IF(A1493&lt;&gt;0,INDEX(Coûts,'PA-Détails'!A1493, 2),)</f>
        <v>Assistance technique internationale (consultants)</v>
      </c>
      <c r="C1493" s="51"/>
      <c r="D1493" s="94" t="str">
        <f>IF(A1493&lt;&gt;0,INDEX(Coûts, 'PA-Détails'!A1493, 5),)</f>
        <v>Pers / j</v>
      </c>
      <c r="E1493" s="96"/>
      <c r="F1493" s="100">
        <v>20</v>
      </c>
      <c r="G1493" s="100"/>
      <c r="H1493" s="100"/>
      <c r="I1493" s="100"/>
      <c r="J1493" s="101">
        <f t="shared" si="864"/>
        <v>20</v>
      </c>
      <c r="K1493" s="115">
        <f>IF(A1493&lt;&gt;0,INDEX(Coûts, 'PA-Détails'!A1493, 3),)</f>
        <v>1150</v>
      </c>
      <c r="L1493" s="37">
        <f t="shared" ref="L1493:P1494" si="883">ROUND(+$K1493*E1493,0)</f>
        <v>0</v>
      </c>
      <c r="M1493" s="36">
        <f t="shared" si="883"/>
        <v>23000</v>
      </c>
      <c r="N1493" s="36">
        <f t="shared" si="883"/>
        <v>0</v>
      </c>
      <c r="O1493" s="36">
        <f t="shared" si="883"/>
        <v>0</v>
      </c>
      <c r="P1493" s="268">
        <f t="shared" si="883"/>
        <v>0</v>
      </c>
      <c r="Q1493" s="281">
        <f>SUM(L1493:P1493)</f>
        <v>23000</v>
      </c>
      <c r="R1493" s="39"/>
      <c r="S1493" s="115"/>
      <c r="T1493" s="51"/>
    </row>
    <row r="1494" spans="1:20" x14ac:dyDescent="0.2">
      <c r="A1494" s="95">
        <v>5</v>
      </c>
      <c r="B1494" s="108" t="str">
        <f>IF(A1494&lt;&gt;0,INDEX(Coûts,'PA-Détails'!A1494, 2),)</f>
        <v>Atelier de validation</v>
      </c>
      <c r="C1494" s="51"/>
      <c r="D1494" s="94" t="str">
        <f>IF(A1494&lt;&gt;0,INDEX(Coûts, 'PA-Détails'!A1494, 5),)</f>
        <v>Pers / j</v>
      </c>
      <c r="E1494" s="96"/>
      <c r="F1494" s="100">
        <v>100</v>
      </c>
      <c r="G1494" s="100"/>
      <c r="H1494" s="100"/>
      <c r="I1494" s="100"/>
      <c r="J1494" s="101">
        <f t="shared" ref="J1494:J1522" si="884">SUM(E1494:I1494)</f>
        <v>100</v>
      </c>
      <c r="K1494" s="115">
        <f>IF(A1494&lt;&gt;0,INDEX(Coûts, 'PA-Détails'!A1494, 3),)</f>
        <v>50</v>
      </c>
      <c r="L1494" s="37">
        <f t="shared" si="883"/>
        <v>0</v>
      </c>
      <c r="M1494" s="36">
        <f t="shared" si="883"/>
        <v>5000</v>
      </c>
      <c r="N1494" s="36">
        <f t="shared" si="883"/>
        <v>0</v>
      </c>
      <c r="O1494" s="36">
        <f t="shared" si="883"/>
        <v>0</v>
      </c>
      <c r="P1494" s="268">
        <f t="shared" si="883"/>
        <v>0</v>
      </c>
      <c r="Q1494" s="281">
        <f>SUM(L1494:P1494)</f>
        <v>5000</v>
      </c>
      <c r="R1494" s="39"/>
      <c r="S1494" s="115"/>
      <c r="T1494" s="51"/>
    </row>
    <row r="1495" spans="1:20" x14ac:dyDescent="0.2">
      <c r="A1495" s="20" t="s">
        <v>1309</v>
      </c>
      <c r="B1495" s="46"/>
      <c r="C1495" s="51"/>
      <c r="D1495" s="21"/>
      <c r="E1495" s="96"/>
      <c r="F1495" s="100"/>
      <c r="G1495" s="100"/>
      <c r="H1495" s="100"/>
      <c r="I1495" s="100"/>
      <c r="J1495" s="101">
        <f t="shared" si="884"/>
        <v>0</v>
      </c>
      <c r="K1495" s="115"/>
      <c r="L1495" s="161">
        <f t="shared" ref="L1495:Q1495" si="885">SUM(L1496:L1497)</f>
        <v>0</v>
      </c>
      <c r="M1495" s="157">
        <f t="shared" si="885"/>
        <v>20000</v>
      </c>
      <c r="N1495" s="157">
        <f t="shared" si="885"/>
        <v>0</v>
      </c>
      <c r="O1495" s="157">
        <f t="shared" si="885"/>
        <v>0</v>
      </c>
      <c r="P1495" s="270">
        <f t="shared" si="885"/>
        <v>0</v>
      </c>
      <c r="Q1495" s="284">
        <f t="shared" si="885"/>
        <v>20000</v>
      </c>
      <c r="R1495" s="39" t="s">
        <v>1412</v>
      </c>
      <c r="S1495" s="115" t="s">
        <v>584</v>
      </c>
      <c r="T1495" s="51"/>
    </row>
    <row r="1496" spans="1:20" x14ac:dyDescent="0.2">
      <c r="A1496" s="95">
        <v>2</v>
      </c>
      <c r="B1496" s="108" t="str">
        <f>IF(A1496&lt;&gt;0,INDEX(Coûts,'PA-Détails'!A1496, 2),)</f>
        <v>Assistance technique nationale (consultants)</v>
      </c>
      <c r="C1496" s="51"/>
      <c r="D1496" s="94" t="str">
        <f>IF(A1496&lt;&gt;0,INDEX(Coûts, 'PA-Détails'!A1496, 5),)</f>
        <v>Pers / j</v>
      </c>
      <c r="E1496" s="96"/>
      <c r="F1496" s="100">
        <v>50</v>
      </c>
      <c r="G1496" s="100"/>
      <c r="H1496" s="100"/>
      <c r="I1496" s="100"/>
      <c r="J1496" s="101">
        <f t="shared" si="884"/>
        <v>50</v>
      </c>
      <c r="K1496" s="115">
        <f>IF(A1496&lt;&gt;0,INDEX(Coûts, 'PA-Détails'!A1496, 3),)</f>
        <v>300</v>
      </c>
      <c r="L1496" s="37">
        <f t="shared" ref="L1496:P1497" si="886">ROUND(+$K1496*E1496,0)</f>
        <v>0</v>
      </c>
      <c r="M1496" s="36">
        <f t="shared" si="886"/>
        <v>15000</v>
      </c>
      <c r="N1496" s="36">
        <f t="shared" si="886"/>
        <v>0</v>
      </c>
      <c r="O1496" s="36">
        <f t="shared" si="886"/>
        <v>0</v>
      </c>
      <c r="P1496" s="268">
        <f t="shared" si="886"/>
        <v>0</v>
      </c>
      <c r="Q1496" s="281">
        <f>SUM(L1496:P1496)</f>
        <v>15000</v>
      </c>
      <c r="R1496" s="39"/>
      <c r="S1496" s="115"/>
      <c r="T1496" s="51"/>
    </row>
    <row r="1497" spans="1:20" x14ac:dyDescent="0.2">
      <c r="A1497" s="95">
        <v>5</v>
      </c>
      <c r="B1497" s="108" t="str">
        <f>IF(A1497&lt;&gt;0,INDEX(Coûts,'PA-Détails'!A1497, 2),)</f>
        <v>Atelier de validation</v>
      </c>
      <c r="C1497" s="51"/>
      <c r="D1497" s="94" t="str">
        <f>IF(A1497&lt;&gt;0,INDEX(Coûts, 'PA-Détails'!A1497, 5),)</f>
        <v>Pers / j</v>
      </c>
      <c r="E1497" s="96"/>
      <c r="F1497" s="100">
        <v>100</v>
      </c>
      <c r="G1497" s="100"/>
      <c r="H1497" s="100"/>
      <c r="I1497" s="100"/>
      <c r="J1497" s="101">
        <f t="shared" si="884"/>
        <v>100</v>
      </c>
      <c r="K1497" s="115">
        <f>IF(A1497&lt;&gt;0,INDEX(Coûts, 'PA-Détails'!A1497, 3),)</f>
        <v>50</v>
      </c>
      <c r="L1497" s="37">
        <f t="shared" si="886"/>
        <v>0</v>
      </c>
      <c r="M1497" s="36">
        <f t="shared" si="886"/>
        <v>5000</v>
      </c>
      <c r="N1497" s="36">
        <f t="shared" si="886"/>
        <v>0</v>
      </c>
      <c r="O1497" s="36">
        <f t="shared" si="886"/>
        <v>0</v>
      </c>
      <c r="P1497" s="268">
        <f t="shared" si="886"/>
        <v>0</v>
      </c>
      <c r="Q1497" s="281">
        <f>SUM(L1497:P1497)</f>
        <v>5000</v>
      </c>
      <c r="R1497" s="39"/>
      <c r="S1497" s="115"/>
      <c r="T1497" s="51"/>
    </row>
    <row r="1498" spans="1:20" x14ac:dyDescent="0.2">
      <c r="A1498" s="20" t="s">
        <v>1310</v>
      </c>
      <c r="B1498" s="46"/>
      <c r="C1498" s="51"/>
      <c r="D1498" s="21"/>
      <c r="E1498" s="96"/>
      <c r="F1498" s="100"/>
      <c r="G1498" s="100"/>
      <c r="H1498" s="100"/>
      <c r="I1498" s="100"/>
      <c r="J1498" s="101">
        <f t="shared" si="884"/>
        <v>0</v>
      </c>
      <c r="K1498" s="115"/>
      <c r="L1498" s="161">
        <f t="shared" ref="L1498:Q1498" si="887">SUM(L1499:L1499)</f>
        <v>0</v>
      </c>
      <c r="M1498" s="157">
        <f t="shared" si="887"/>
        <v>134063</v>
      </c>
      <c r="N1498" s="157">
        <f t="shared" si="887"/>
        <v>134063</v>
      </c>
      <c r="O1498" s="157">
        <f t="shared" si="887"/>
        <v>0</v>
      </c>
      <c r="P1498" s="270">
        <f t="shared" si="887"/>
        <v>0</v>
      </c>
      <c r="Q1498" s="284">
        <f t="shared" si="887"/>
        <v>268126</v>
      </c>
      <c r="R1498" s="39" t="s">
        <v>1413</v>
      </c>
      <c r="S1498" s="115" t="s">
        <v>584</v>
      </c>
      <c r="T1498" s="51"/>
    </row>
    <row r="1499" spans="1:20" x14ac:dyDescent="0.2">
      <c r="A1499" s="95">
        <v>12</v>
      </c>
      <c r="B1499" s="108" t="str">
        <f>IF(A1499&lt;&gt;0,INDEX(Coûts,'PA-Détails'!A1499, 2),)</f>
        <v>Formation - Action et Formation de formateurs</v>
      </c>
      <c r="C1499" s="51"/>
      <c r="D1499" s="94" t="str">
        <f>IF(A1499&lt;&gt;0,INDEX(Coûts, 'PA-Détails'!A1499, 5),)</f>
        <v>Pers / j</v>
      </c>
      <c r="E1499" s="96"/>
      <c r="F1499" s="100">
        <f>(340000/200+(6900+10600)/200)/2</f>
        <v>893.75</v>
      </c>
      <c r="G1499" s="100">
        <f>F1499</f>
        <v>893.75</v>
      </c>
      <c r="H1499" s="100"/>
      <c r="I1499" s="100"/>
      <c r="J1499" s="101">
        <f t="shared" si="884"/>
        <v>1787.5</v>
      </c>
      <c r="K1499" s="115">
        <f>IF(A1499&lt;&gt;0,INDEX(Coûts, 'PA-Détails'!A1499, 3),)</f>
        <v>150</v>
      </c>
      <c r="L1499" s="37">
        <f t="shared" ref="L1499:P1504" si="888">ROUND(+$K1499*E1499,0)</f>
        <v>0</v>
      </c>
      <c r="M1499" s="36">
        <f t="shared" si="888"/>
        <v>134063</v>
      </c>
      <c r="N1499" s="36">
        <f t="shared" si="888"/>
        <v>134063</v>
      </c>
      <c r="O1499" s="36">
        <f t="shared" si="888"/>
        <v>0</v>
      </c>
      <c r="P1499" s="268">
        <f t="shared" si="888"/>
        <v>0</v>
      </c>
      <c r="Q1499" s="281">
        <f t="shared" ref="Q1499:Q1504" si="889">SUM(L1499:P1499)</f>
        <v>268126</v>
      </c>
      <c r="R1499" s="39"/>
      <c r="S1499" s="115"/>
      <c r="T1499" s="51"/>
    </row>
    <row r="1500" spans="1:20" x14ac:dyDescent="0.2">
      <c r="A1500" s="14" t="s">
        <v>1311</v>
      </c>
      <c r="B1500" s="44"/>
      <c r="C1500" s="112"/>
      <c r="D1500" s="15"/>
      <c r="E1500" s="102"/>
      <c r="F1500" s="103"/>
      <c r="G1500" s="103"/>
      <c r="H1500" s="103"/>
      <c r="I1500" s="103"/>
      <c r="J1500" s="104">
        <f t="shared" si="884"/>
        <v>0</v>
      </c>
      <c r="K1500" s="145"/>
      <c r="L1500" s="33">
        <f t="shared" si="888"/>
        <v>0</v>
      </c>
      <c r="M1500" s="32">
        <f t="shared" si="888"/>
        <v>0</v>
      </c>
      <c r="N1500" s="32">
        <f t="shared" si="888"/>
        <v>0</v>
      </c>
      <c r="O1500" s="32">
        <f t="shared" si="888"/>
        <v>0</v>
      </c>
      <c r="P1500" s="267">
        <f t="shared" si="888"/>
        <v>0</v>
      </c>
      <c r="Q1500" s="278">
        <f t="shared" si="889"/>
        <v>0</v>
      </c>
      <c r="R1500" s="40"/>
      <c r="S1500" s="145"/>
      <c r="T1500" s="49">
        <v>3</v>
      </c>
    </row>
    <row r="1501" spans="1:20" x14ac:dyDescent="0.2">
      <c r="A1501" s="17" t="s">
        <v>1312</v>
      </c>
      <c r="B1501" s="45"/>
      <c r="C1501" s="51"/>
      <c r="D1501" s="18"/>
      <c r="E1501" s="97"/>
      <c r="F1501" s="98"/>
      <c r="G1501" s="98"/>
      <c r="H1501" s="98"/>
      <c r="I1501" s="98"/>
      <c r="J1501" s="99">
        <f t="shared" si="884"/>
        <v>0</v>
      </c>
      <c r="K1501" s="116"/>
      <c r="L1501" s="35">
        <f t="shared" si="888"/>
        <v>0</v>
      </c>
      <c r="M1501" s="34">
        <f t="shared" si="888"/>
        <v>0</v>
      </c>
      <c r="N1501" s="34">
        <f t="shared" si="888"/>
        <v>0</v>
      </c>
      <c r="O1501" s="34">
        <f t="shared" si="888"/>
        <v>0</v>
      </c>
      <c r="P1501" s="269">
        <f t="shared" si="888"/>
        <v>0</v>
      </c>
      <c r="Q1501" s="279">
        <f t="shared" si="889"/>
        <v>0</v>
      </c>
      <c r="R1501" s="38"/>
      <c r="S1501" s="116"/>
      <c r="T1501" s="50"/>
    </row>
    <row r="1502" spans="1:20" x14ac:dyDescent="0.2">
      <c r="A1502" s="20" t="s">
        <v>1313</v>
      </c>
      <c r="B1502" s="175"/>
      <c r="C1502" s="51"/>
      <c r="D1502" s="21"/>
      <c r="E1502" s="96">
        <v>1</v>
      </c>
      <c r="F1502" s="100"/>
      <c r="G1502" s="100"/>
      <c r="H1502" s="100"/>
      <c r="I1502" s="100"/>
      <c r="J1502" s="101">
        <f t="shared" si="884"/>
        <v>1</v>
      </c>
      <c r="K1502" s="115"/>
      <c r="L1502" s="37">
        <f t="shared" si="888"/>
        <v>0</v>
      </c>
      <c r="M1502" s="36">
        <f t="shared" si="888"/>
        <v>0</v>
      </c>
      <c r="N1502" s="36">
        <f t="shared" si="888"/>
        <v>0</v>
      </c>
      <c r="O1502" s="36">
        <f t="shared" si="888"/>
        <v>0</v>
      </c>
      <c r="P1502" s="268">
        <f t="shared" si="888"/>
        <v>0</v>
      </c>
      <c r="Q1502" s="281">
        <f t="shared" si="889"/>
        <v>0</v>
      </c>
      <c r="R1502" s="39" t="s">
        <v>1431</v>
      </c>
      <c r="S1502" s="115"/>
      <c r="T1502" s="51"/>
    </row>
    <row r="1503" spans="1:20" x14ac:dyDescent="0.2">
      <c r="A1503" s="20" t="s">
        <v>1314</v>
      </c>
      <c r="B1503" s="149"/>
      <c r="C1503" s="51"/>
      <c r="D1503" s="21"/>
      <c r="E1503" s="96">
        <v>1</v>
      </c>
      <c r="F1503" s="100"/>
      <c r="G1503" s="100"/>
      <c r="H1503" s="100"/>
      <c r="I1503" s="100"/>
      <c r="J1503" s="101">
        <f t="shared" si="884"/>
        <v>1</v>
      </c>
      <c r="K1503" s="115"/>
      <c r="L1503" s="37">
        <f t="shared" si="888"/>
        <v>0</v>
      </c>
      <c r="M1503" s="36">
        <f t="shared" si="888"/>
        <v>0</v>
      </c>
      <c r="N1503" s="36">
        <f t="shared" si="888"/>
        <v>0</v>
      </c>
      <c r="O1503" s="36">
        <f t="shared" si="888"/>
        <v>0</v>
      </c>
      <c r="P1503" s="268">
        <f t="shared" si="888"/>
        <v>0</v>
      </c>
      <c r="Q1503" s="281">
        <f t="shared" si="889"/>
        <v>0</v>
      </c>
      <c r="R1503" s="39" t="s">
        <v>1431</v>
      </c>
      <c r="S1503" s="115"/>
      <c r="T1503" s="51"/>
    </row>
    <row r="1504" spans="1:20" x14ac:dyDescent="0.2">
      <c r="A1504" s="17" t="s">
        <v>1315</v>
      </c>
      <c r="B1504" s="45"/>
      <c r="C1504" s="51"/>
      <c r="D1504" s="18"/>
      <c r="E1504" s="97"/>
      <c r="F1504" s="100"/>
      <c r="G1504" s="98"/>
      <c r="H1504" s="98"/>
      <c r="I1504" s="98"/>
      <c r="J1504" s="99">
        <f t="shared" si="884"/>
        <v>0</v>
      </c>
      <c r="K1504" s="116"/>
      <c r="L1504" s="37">
        <f t="shared" si="888"/>
        <v>0</v>
      </c>
      <c r="M1504" s="36">
        <f t="shared" si="888"/>
        <v>0</v>
      </c>
      <c r="N1504" s="34">
        <f t="shared" si="888"/>
        <v>0</v>
      </c>
      <c r="O1504" s="34">
        <f t="shared" si="888"/>
        <v>0</v>
      </c>
      <c r="P1504" s="269">
        <f t="shared" si="888"/>
        <v>0</v>
      </c>
      <c r="Q1504" s="279">
        <f t="shared" si="889"/>
        <v>0</v>
      </c>
      <c r="R1504" s="38"/>
      <c r="S1504" s="116"/>
      <c r="T1504" s="50"/>
    </row>
    <row r="1505" spans="1:26" x14ac:dyDescent="0.2">
      <c r="A1505" s="20" t="s">
        <v>1316</v>
      </c>
      <c r="B1505" s="46"/>
      <c r="C1505" s="51" t="s">
        <v>830</v>
      </c>
      <c r="D1505" s="21"/>
      <c r="E1505" s="96"/>
      <c r="F1505" s="100"/>
      <c r="G1505" s="100"/>
      <c r="H1505" s="100"/>
      <c r="I1505" s="100"/>
      <c r="J1505" s="101">
        <f t="shared" si="884"/>
        <v>0</v>
      </c>
      <c r="K1505" s="115"/>
      <c r="L1505" s="37">
        <f t="shared" ref="L1505:M1508" si="890">ROUND(+$K1505*E1505,0)</f>
        <v>0</v>
      </c>
      <c r="M1505" s="36">
        <f t="shared" si="890"/>
        <v>0</v>
      </c>
      <c r="N1505" s="157">
        <f>SUM(N1506:N1507)</f>
        <v>13000</v>
      </c>
      <c r="O1505" s="157">
        <f>SUM(O1506:O1507)</f>
        <v>0</v>
      </c>
      <c r="P1505" s="270">
        <f>SUM(P1506:P1507)</f>
        <v>0</v>
      </c>
      <c r="Q1505" s="284">
        <f>SUM(Q1506:Q1507)</f>
        <v>13000</v>
      </c>
      <c r="R1505" s="39" t="s">
        <v>1432</v>
      </c>
      <c r="S1505" s="115" t="s">
        <v>665</v>
      </c>
      <c r="T1505" s="51"/>
    </row>
    <row r="1506" spans="1:26" x14ac:dyDescent="0.2">
      <c r="A1506" s="95">
        <v>2</v>
      </c>
      <c r="B1506" s="108" t="str">
        <f>IF(A1506&lt;&gt;0,INDEX(Coûts,'PA-Détails'!A1506, 2),)</f>
        <v>Assistance technique nationale (consultants)</v>
      </c>
      <c r="C1506" s="51"/>
      <c r="D1506" s="94" t="str">
        <f>IF(A1506&lt;&gt;0,INDEX(Coûts, 'PA-Détails'!A1506, 5),)</f>
        <v>Pers / j</v>
      </c>
      <c r="E1506" s="96"/>
      <c r="F1506" s="100"/>
      <c r="G1506" s="100">
        <v>20</v>
      </c>
      <c r="H1506" s="100"/>
      <c r="I1506" s="100"/>
      <c r="J1506" s="101">
        <f t="shared" si="884"/>
        <v>20</v>
      </c>
      <c r="K1506" s="115">
        <f>IF(A1506&lt;&gt;0,INDEX(Coûts, 'PA-Détails'!A1506, 3),)</f>
        <v>300</v>
      </c>
      <c r="L1506" s="37">
        <f t="shared" si="890"/>
        <v>0</v>
      </c>
      <c r="M1506" s="36">
        <f t="shared" si="890"/>
        <v>0</v>
      </c>
      <c r="N1506" s="36">
        <f t="shared" ref="N1506:P1508" si="891">ROUND(+$K1506*G1506,0)</f>
        <v>6000</v>
      </c>
      <c r="O1506" s="36">
        <f t="shared" si="891"/>
        <v>0</v>
      </c>
      <c r="P1506" s="268">
        <f t="shared" si="891"/>
        <v>0</v>
      </c>
      <c r="Q1506" s="281">
        <f>SUM(L1506:P1506)</f>
        <v>6000</v>
      </c>
      <c r="R1506" s="39"/>
      <c r="S1506" s="115"/>
      <c r="T1506" s="51"/>
    </row>
    <row r="1507" spans="1:26" x14ac:dyDescent="0.2">
      <c r="A1507" s="95">
        <v>11</v>
      </c>
      <c r="B1507" s="108" t="str">
        <f>IF(A1507&lt;&gt;0,INDEX(Coûts,'PA-Détails'!A1507, 2),)</f>
        <v>Atelier technique</v>
      </c>
      <c r="C1507" s="51"/>
      <c r="D1507" s="94" t="str">
        <f>IF(A1507&lt;&gt;0,INDEX(Coûts, 'PA-Détails'!A1507, 5),)</f>
        <v>Pers / j</v>
      </c>
      <c r="E1507" s="96"/>
      <c r="F1507" s="100"/>
      <c r="G1507" s="100">
        <v>100</v>
      </c>
      <c r="H1507" s="100"/>
      <c r="I1507" s="100"/>
      <c r="J1507" s="101">
        <f t="shared" si="884"/>
        <v>100</v>
      </c>
      <c r="K1507" s="115">
        <f>IF(A1507&lt;&gt;0,INDEX(Coûts, 'PA-Détails'!A1507, 3),)</f>
        <v>70</v>
      </c>
      <c r="L1507" s="37">
        <f t="shared" si="890"/>
        <v>0</v>
      </c>
      <c r="M1507" s="36">
        <f t="shared" si="890"/>
        <v>0</v>
      </c>
      <c r="N1507" s="36">
        <f t="shared" si="891"/>
        <v>7000</v>
      </c>
      <c r="O1507" s="36">
        <f t="shared" si="891"/>
        <v>0</v>
      </c>
      <c r="P1507" s="268">
        <f t="shared" si="891"/>
        <v>0</v>
      </c>
      <c r="Q1507" s="281">
        <f>SUM(L1507:P1507)</f>
        <v>7000</v>
      </c>
      <c r="R1507" s="39"/>
      <c r="S1507" s="115"/>
      <c r="T1507" s="51"/>
    </row>
    <row r="1508" spans="1:26" x14ac:dyDescent="0.2">
      <c r="A1508" s="17" t="s">
        <v>1317</v>
      </c>
      <c r="B1508" s="45"/>
      <c r="C1508" s="51" t="s">
        <v>831</v>
      </c>
      <c r="D1508" s="18"/>
      <c r="E1508" s="97"/>
      <c r="F1508" s="98"/>
      <c r="G1508" s="98"/>
      <c r="H1508" s="98"/>
      <c r="I1508" s="98"/>
      <c r="J1508" s="99">
        <f t="shared" si="884"/>
        <v>0</v>
      </c>
      <c r="K1508" s="116"/>
      <c r="L1508" s="37">
        <f t="shared" si="890"/>
        <v>0</v>
      </c>
      <c r="M1508" s="36">
        <f t="shared" si="890"/>
        <v>0</v>
      </c>
      <c r="N1508" s="34">
        <f t="shared" si="891"/>
        <v>0</v>
      </c>
      <c r="O1508" s="34">
        <f t="shared" si="891"/>
        <v>0</v>
      </c>
      <c r="P1508" s="269">
        <f t="shared" si="891"/>
        <v>0</v>
      </c>
      <c r="Q1508" s="279">
        <f>SUM(L1508:P1508)</f>
        <v>0</v>
      </c>
      <c r="R1508" s="38"/>
      <c r="S1508" s="116"/>
      <c r="T1508" s="50"/>
    </row>
    <row r="1509" spans="1:26" x14ac:dyDescent="0.2">
      <c r="A1509" s="20" t="s">
        <v>1318</v>
      </c>
      <c r="B1509" s="46"/>
      <c r="C1509" s="51"/>
      <c r="D1509" s="21"/>
      <c r="E1509" s="96"/>
      <c r="F1509" s="100"/>
      <c r="G1509" s="100"/>
      <c r="H1509" s="100"/>
      <c r="I1509" s="100"/>
      <c r="J1509" s="101">
        <f t="shared" si="884"/>
        <v>0</v>
      </c>
      <c r="K1509" s="115"/>
      <c r="L1509" s="161">
        <f t="shared" ref="L1509:Q1509" si="892">SUM(L1510:L1511)</f>
        <v>0</v>
      </c>
      <c r="M1509" s="157">
        <f t="shared" si="892"/>
        <v>10900</v>
      </c>
      <c r="N1509" s="157">
        <f t="shared" si="892"/>
        <v>0</v>
      </c>
      <c r="O1509" s="157">
        <f t="shared" si="892"/>
        <v>0</v>
      </c>
      <c r="P1509" s="270">
        <f t="shared" si="892"/>
        <v>0</v>
      </c>
      <c r="Q1509" s="284">
        <f t="shared" si="892"/>
        <v>10900</v>
      </c>
      <c r="R1509" s="39" t="s">
        <v>1431</v>
      </c>
      <c r="S1509" s="115" t="s">
        <v>665</v>
      </c>
      <c r="T1509" s="51"/>
    </row>
    <row r="1510" spans="1:26" x14ac:dyDescent="0.2">
      <c r="A1510" s="95">
        <v>2</v>
      </c>
      <c r="B1510" s="108" t="str">
        <f>IF(A1510&lt;&gt;0,INDEX(Coûts,'PA-Détails'!A1510, 2),)</f>
        <v>Assistance technique nationale (consultants)</v>
      </c>
      <c r="C1510" s="51"/>
      <c r="D1510" s="94" t="str">
        <f>IF(A1510&lt;&gt;0,INDEX(Coûts, 'PA-Détails'!A1510, 5),)</f>
        <v>Pers / j</v>
      </c>
      <c r="E1510" s="96"/>
      <c r="F1510" s="100">
        <v>20</v>
      </c>
      <c r="G1510" s="100"/>
      <c r="H1510" s="100"/>
      <c r="I1510" s="100"/>
      <c r="J1510" s="101">
        <f t="shared" si="884"/>
        <v>20</v>
      </c>
      <c r="K1510" s="115">
        <f>IF(A1510&lt;&gt;0,INDEX(Coûts, 'PA-Détails'!A1510, 3),)</f>
        <v>300</v>
      </c>
      <c r="L1510" s="37">
        <f t="shared" ref="L1510:P1513" si="893">ROUND(+$K1510*E1510,0)</f>
        <v>0</v>
      </c>
      <c r="M1510" s="36">
        <f t="shared" si="893"/>
        <v>6000</v>
      </c>
      <c r="N1510" s="36">
        <f t="shared" si="893"/>
        <v>0</v>
      </c>
      <c r="O1510" s="36">
        <f t="shared" si="893"/>
        <v>0</v>
      </c>
      <c r="P1510" s="268">
        <f t="shared" si="893"/>
        <v>0</v>
      </c>
      <c r="Q1510" s="281">
        <f>SUM(L1510:P1510)</f>
        <v>6000</v>
      </c>
      <c r="R1510" s="39"/>
      <c r="S1510" s="115"/>
      <c r="T1510" s="51"/>
    </row>
    <row r="1511" spans="1:26" x14ac:dyDescent="0.2">
      <c r="A1511" s="95">
        <v>11</v>
      </c>
      <c r="B1511" s="108" t="str">
        <f>IF(A1511&lt;&gt;0,INDEX(Coûts,'PA-Détails'!A1511, 2),)</f>
        <v>Atelier technique</v>
      </c>
      <c r="C1511" s="51"/>
      <c r="D1511" s="94" t="str">
        <f>IF(A1511&lt;&gt;0,INDEX(Coûts, 'PA-Détails'!A1511, 5),)</f>
        <v>Pers / j</v>
      </c>
      <c r="E1511" s="96"/>
      <c r="F1511" s="100">
        <v>70</v>
      </c>
      <c r="G1511" s="100"/>
      <c r="H1511" s="100"/>
      <c r="I1511" s="100"/>
      <c r="J1511" s="101">
        <f t="shared" si="884"/>
        <v>70</v>
      </c>
      <c r="K1511" s="115">
        <f>IF(A1511&lt;&gt;0,INDEX(Coûts, 'PA-Détails'!A1511, 3),)</f>
        <v>70</v>
      </c>
      <c r="L1511" s="37">
        <f t="shared" si="893"/>
        <v>0</v>
      </c>
      <c r="M1511" s="36">
        <f t="shared" si="893"/>
        <v>4900</v>
      </c>
      <c r="N1511" s="36">
        <f t="shared" si="893"/>
        <v>0</v>
      </c>
      <c r="O1511" s="36">
        <f t="shared" si="893"/>
        <v>0</v>
      </c>
      <c r="P1511" s="268">
        <f t="shared" si="893"/>
        <v>0</v>
      </c>
      <c r="Q1511" s="281">
        <f>SUM(L1511:P1511)</f>
        <v>4900</v>
      </c>
      <c r="R1511" s="39"/>
      <c r="S1511" s="115"/>
      <c r="T1511" s="51"/>
    </row>
    <row r="1512" spans="1:26" x14ac:dyDescent="0.2">
      <c r="A1512" s="14" t="s">
        <v>1623</v>
      </c>
      <c r="B1512" s="44"/>
      <c r="C1512" s="112"/>
      <c r="D1512" s="15"/>
      <c r="E1512" s="102"/>
      <c r="F1512" s="103"/>
      <c r="G1512" s="103"/>
      <c r="H1512" s="103"/>
      <c r="I1512" s="103"/>
      <c r="J1512" s="104">
        <f t="shared" si="884"/>
        <v>0</v>
      </c>
      <c r="K1512" s="145"/>
      <c r="L1512" s="33">
        <f t="shared" si="893"/>
        <v>0</v>
      </c>
      <c r="M1512" s="32">
        <f t="shared" si="893"/>
        <v>0</v>
      </c>
      <c r="N1512" s="32">
        <f t="shared" si="893"/>
        <v>0</v>
      </c>
      <c r="O1512" s="32">
        <f t="shared" si="893"/>
        <v>0</v>
      </c>
      <c r="P1512" s="267">
        <f t="shared" si="893"/>
        <v>0</v>
      </c>
      <c r="Q1512" s="278">
        <f>SUM(L1512:P1512)</f>
        <v>0</v>
      </c>
      <c r="R1512" s="178"/>
      <c r="S1512" s="179"/>
      <c r="T1512" s="49">
        <v>3</v>
      </c>
    </row>
    <row r="1513" spans="1:26" s="162" customFormat="1" x14ac:dyDescent="0.2">
      <c r="A1513" s="122" t="s">
        <v>1319</v>
      </c>
      <c r="B1513" s="152"/>
      <c r="C1513" s="153" t="s">
        <v>946</v>
      </c>
      <c r="D1513" s="155"/>
      <c r="E1513" s="156"/>
      <c r="F1513" s="157"/>
      <c r="G1513" s="157"/>
      <c r="H1513" s="157"/>
      <c r="I1513" s="157"/>
      <c r="J1513" s="158">
        <f t="shared" si="884"/>
        <v>0</v>
      </c>
      <c r="K1513" s="208"/>
      <c r="L1513" s="161">
        <f t="shared" si="893"/>
        <v>0</v>
      </c>
      <c r="M1513" s="157">
        <f t="shared" si="893"/>
        <v>0</v>
      </c>
      <c r="N1513" s="157">
        <f t="shared" si="893"/>
        <v>0</v>
      </c>
      <c r="O1513" s="157">
        <f t="shared" si="893"/>
        <v>0</v>
      </c>
      <c r="P1513" s="270">
        <f t="shared" si="893"/>
        <v>0</v>
      </c>
      <c r="Q1513" s="284">
        <f>SUM(L1513:P1513)</f>
        <v>0</v>
      </c>
      <c r="R1513" s="200"/>
      <c r="S1513" s="201"/>
      <c r="T1513" s="154"/>
      <c r="U1513" s="653"/>
      <c r="V1513" s="572"/>
      <c r="W1513" s="572"/>
      <c r="X1513" s="572"/>
      <c r="Y1513" s="572"/>
      <c r="Z1513" s="572"/>
    </row>
    <row r="1514" spans="1:26" s="162" customFormat="1" x14ac:dyDescent="0.2">
      <c r="A1514" s="123" t="s">
        <v>1320</v>
      </c>
      <c r="B1514" s="202"/>
      <c r="C1514" s="153"/>
      <c r="D1514" s="203"/>
      <c r="E1514" s="164"/>
      <c r="F1514" s="168"/>
      <c r="G1514" s="168"/>
      <c r="H1514" s="168"/>
      <c r="I1514" s="168"/>
      <c r="J1514" s="165">
        <f t="shared" si="884"/>
        <v>0</v>
      </c>
      <c r="K1514" s="94"/>
      <c r="L1514" s="161">
        <f t="shared" ref="L1514:Q1514" si="894">SUM(L1515:L1516)</f>
        <v>243000</v>
      </c>
      <c r="M1514" s="157">
        <f t="shared" si="894"/>
        <v>220000</v>
      </c>
      <c r="N1514" s="157">
        <f t="shared" si="894"/>
        <v>220000</v>
      </c>
      <c r="O1514" s="157">
        <f t="shared" si="894"/>
        <v>220000</v>
      </c>
      <c r="P1514" s="270">
        <f t="shared" si="894"/>
        <v>220000</v>
      </c>
      <c r="Q1514" s="284">
        <f t="shared" si="894"/>
        <v>1123000</v>
      </c>
      <c r="R1514" s="223" t="s">
        <v>880</v>
      </c>
      <c r="S1514" s="224" t="s">
        <v>700</v>
      </c>
      <c r="T1514" s="153"/>
      <c r="U1514" s="653"/>
      <c r="V1514" s="572"/>
      <c r="W1514" s="572"/>
      <c r="X1514" s="572"/>
      <c r="Y1514" s="572"/>
      <c r="Z1514" s="572"/>
    </row>
    <row r="1515" spans="1:26" s="162" customFormat="1" x14ac:dyDescent="0.2">
      <c r="A1515" s="95">
        <v>1</v>
      </c>
      <c r="B1515" s="163" t="str">
        <f>IF(A1515&lt;&gt;0,INDEX(Coûts,'PA-Détails'!A1515, 2),)</f>
        <v>Assistance technique internationale (consultants)</v>
      </c>
      <c r="C1515" s="153"/>
      <c r="D1515" s="94" t="str">
        <f>IF(A1515&lt;&gt;0,INDEX(Coûts, 'PA-Détails'!A1515, 5),)</f>
        <v>Pers / j</v>
      </c>
      <c r="E1515" s="164">
        <v>20</v>
      </c>
      <c r="F1515" s="168"/>
      <c r="G1515" s="168"/>
      <c r="H1515" s="168"/>
      <c r="I1515" s="168"/>
      <c r="J1515" s="165">
        <f t="shared" si="884"/>
        <v>20</v>
      </c>
      <c r="K1515" s="94">
        <f>IF(A1515&lt;&gt;0,INDEX(Coûts, 'PA-Détails'!A1515, 3),)</f>
        <v>1150</v>
      </c>
      <c r="L1515" s="167">
        <f t="shared" ref="L1515:P1516" si="895">ROUND(+$K1515*E1515,0)</f>
        <v>23000</v>
      </c>
      <c r="M1515" s="168">
        <f t="shared" si="895"/>
        <v>0</v>
      </c>
      <c r="N1515" s="168">
        <f t="shared" si="895"/>
        <v>0</v>
      </c>
      <c r="O1515" s="168">
        <f t="shared" si="895"/>
        <v>0</v>
      </c>
      <c r="P1515" s="271">
        <f t="shared" si="895"/>
        <v>0</v>
      </c>
      <c r="Q1515" s="283">
        <f>SUM(L1515:P1515)</f>
        <v>23000</v>
      </c>
      <c r="R1515" s="169"/>
      <c r="S1515" s="94"/>
      <c r="T1515" s="153"/>
      <c r="U1515" s="653"/>
      <c r="V1515" s="572"/>
      <c r="W1515" s="572"/>
      <c r="X1515" s="572"/>
      <c r="Y1515" s="572"/>
      <c r="Z1515" s="572"/>
    </row>
    <row r="1516" spans="1:26" s="162" customFormat="1" x14ac:dyDescent="0.2">
      <c r="A1516" s="95">
        <v>72</v>
      </c>
      <c r="B1516" s="163" t="str">
        <f>IF(A1516&lt;&gt;0,INDEX(Coûts,'PA-Détails'!A1516, 2),)</f>
        <v>Lot d'équipement informatique pour GISE</v>
      </c>
      <c r="C1516" s="153"/>
      <c r="D1516" s="94" t="str">
        <f>IF(A1516&lt;&gt;0,INDEX(Coûts, 'PA-Détails'!A1516, 5),)</f>
        <v>Forfait</v>
      </c>
      <c r="E1516" s="164">
        <f>ROUND((360/7)+400/7,-1)</f>
        <v>110</v>
      </c>
      <c r="F1516" s="168">
        <f>E1516</f>
        <v>110</v>
      </c>
      <c r="G1516" s="168">
        <f>F1516</f>
        <v>110</v>
      </c>
      <c r="H1516" s="168">
        <f>G1516</f>
        <v>110</v>
      </c>
      <c r="I1516" s="168">
        <f>H1516</f>
        <v>110</v>
      </c>
      <c r="J1516" s="165">
        <f t="shared" si="884"/>
        <v>550</v>
      </c>
      <c r="K1516" s="94">
        <f>IF(A1516&lt;&gt;0,INDEX(Coûts, 'PA-Détails'!A1516, 3),)</f>
        <v>2000</v>
      </c>
      <c r="L1516" s="167">
        <f t="shared" si="895"/>
        <v>220000</v>
      </c>
      <c r="M1516" s="168">
        <f t="shared" si="895"/>
        <v>220000</v>
      </c>
      <c r="N1516" s="168">
        <f t="shared" si="895"/>
        <v>220000</v>
      </c>
      <c r="O1516" s="168">
        <f t="shared" si="895"/>
        <v>220000</v>
      </c>
      <c r="P1516" s="271">
        <f t="shared" si="895"/>
        <v>220000</v>
      </c>
      <c r="Q1516" s="283">
        <f>SUM(L1516:P1516)</f>
        <v>1100000</v>
      </c>
      <c r="R1516" s="169"/>
      <c r="S1516" s="94"/>
      <c r="T1516" s="153"/>
      <c r="U1516" s="653"/>
      <c r="V1516" s="572"/>
      <c r="W1516" s="572"/>
      <c r="X1516" s="572"/>
      <c r="Y1516" s="572"/>
      <c r="Z1516" s="572"/>
    </row>
    <row r="1517" spans="1:26" s="162" customFormat="1" x14ac:dyDescent="0.2">
      <c r="A1517" s="123" t="s">
        <v>1321</v>
      </c>
      <c r="B1517" s="202"/>
      <c r="C1517" s="51"/>
      <c r="D1517" s="203"/>
      <c r="E1517" s="164"/>
      <c r="F1517" s="168"/>
      <c r="G1517" s="168"/>
      <c r="H1517" s="168"/>
      <c r="I1517" s="168"/>
      <c r="J1517" s="165">
        <f t="shared" si="884"/>
        <v>0</v>
      </c>
      <c r="K1517" s="94"/>
      <c r="L1517" s="161">
        <f t="shared" ref="L1517:Q1517" si="896">SUM(L1518:L1519)</f>
        <v>64350</v>
      </c>
      <c r="M1517" s="157">
        <f t="shared" si="896"/>
        <v>64350</v>
      </c>
      <c r="N1517" s="157">
        <f t="shared" si="896"/>
        <v>19350</v>
      </c>
      <c r="O1517" s="157">
        <f t="shared" si="896"/>
        <v>19350</v>
      </c>
      <c r="P1517" s="270">
        <f t="shared" si="896"/>
        <v>19350</v>
      </c>
      <c r="Q1517" s="284">
        <f t="shared" si="896"/>
        <v>186750</v>
      </c>
      <c r="R1517" s="223" t="s">
        <v>880</v>
      </c>
      <c r="S1517" s="224" t="s">
        <v>700</v>
      </c>
      <c r="T1517" s="153"/>
      <c r="U1517" s="653"/>
      <c r="V1517" s="572"/>
      <c r="W1517" s="572"/>
      <c r="X1517" s="572"/>
      <c r="Y1517" s="572"/>
      <c r="Z1517" s="572"/>
    </row>
    <row r="1518" spans="1:26" s="162" customFormat="1" x14ac:dyDescent="0.2">
      <c r="A1518" s="95">
        <v>12</v>
      </c>
      <c r="B1518" s="163" t="str">
        <f>IF(A1518&lt;&gt;0,INDEX(Coûts,'PA-Détails'!A1518, 2),)</f>
        <v>Formation - Action et Formation de formateurs</v>
      </c>
      <c r="C1518" s="51"/>
      <c r="D1518" s="94" t="str">
        <f>IF(A1518&lt;&gt;0,INDEX(Coûts, 'PA-Détails'!A1518, 5),)</f>
        <v>Pers / j</v>
      </c>
      <c r="E1518" s="164">
        <f>2*30*5</f>
        <v>300</v>
      </c>
      <c r="F1518" s="168">
        <f>E1518</f>
        <v>300</v>
      </c>
      <c r="G1518" s="168"/>
      <c r="H1518" s="168"/>
      <c r="I1518" s="168"/>
      <c r="J1518" s="165">
        <f t="shared" si="884"/>
        <v>600</v>
      </c>
      <c r="K1518" s="94">
        <f>IF(A1518&lt;&gt;0,INDEX(Coûts, 'PA-Détails'!A1518, 3),)</f>
        <v>150</v>
      </c>
      <c r="L1518" s="167">
        <f t="shared" ref="L1518:P1519" si="897">ROUND(+$K1518*E1518,0)</f>
        <v>45000</v>
      </c>
      <c r="M1518" s="168">
        <f t="shared" si="897"/>
        <v>45000</v>
      </c>
      <c r="N1518" s="168">
        <f t="shared" si="897"/>
        <v>0</v>
      </c>
      <c r="O1518" s="168">
        <f t="shared" si="897"/>
        <v>0</v>
      </c>
      <c r="P1518" s="271">
        <f t="shared" si="897"/>
        <v>0</v>
      </c>
      <c r="Q1518" s="283">
        <f>SUM(L1518:P1518)</f>
        <v>90000</v>
      </c>
      <c r="R1518" s="169"/>
      <c r="S1518" s="94"/>
      <c r="T1518" s="153"/>
      <c r="U1518" s="653"/>
      <c r="V1518" s="572"/>
      <c r="W1518" s="572"/>
      <c r="X1518" s="572"/>
      <c r="Y1518" s="572"/>
      <c r="Z1518" s="572"/>
    </row>
    <row r="1519" spans="1:26" s="162" customFormat="1" x14ac:dyDescent="0.2">
      <c r="A1519" s="95">
        <v>13</v>
      </c>
      <c r="B1519" s="163" t="str">
        <f>IF(A1519&lt;&gt;0,INDEX(Coûts,'PA-Détails'!A1519, 2),)</f>
        <v>Formation au niveau local</v>
      </c>
      <c r="C1519" s="51"/>
      <c r="D1519" s="94" t="str">
        <f>IF(A1519&lt;&gt;0,INDEX(Coûts, 'PA-Détails'!A1519, 5),)</f>
        <v>Pers / j</v>
      </c>
      <c r="E1519" s="164">
        <f>ROUND((360/7)*5*5,-1)</f>
        <v>1290</v>
      </c>
      <c r="F1519" s="168">
        <f>E1519</f>
        <v>1290</v>
      </c>
      <c r="G1519" s="168">
        <f>F1519</f>
        <v>1290</v>
      </c>
      <c r="H1519" s="168">
        <f>G1519</f>
        <v>1290</v>
      </c>
      <c r="I1519" s="168">
        <f>H1519</f>
        <v>1290</v>
      </c>
      <c r="J1519" s="165">
        <f t="shared" si="884"/>
        <v>6450</v>
      </c>
      <c r="K1519" s="94">
        <f>IF(A1519&lt;&gt;0,INDEX(Coûts, 'PA-Détails'!A1519, 3),)</f>
        <v>15</v>
      </c>
      <c r="L1519" s="167">
        <f t="shared" si="897"/>
        <v>19350</v>
      </c>
      <c r="M1519" s="168">
        <f t="shared" si="897"/>
        <v>19350</v>
      </c>
      <c r="N1519" s="168">
        <f t="shared" si="897"/>
        <v>19350</v>
      </c>
      <c r="O1519" s="168">
        <f t="shared" si="897"/>
        <v>19350</v>
      </c>
      <c r="P1519" s="271">
        <f t="shared" si="897"/>
        <v>19350</v>
      </c>
      <c r="Q1519" s="283">
        <f>SUM(L1519:P1519)</f>
        <v>96750</v>
      </c>
      <c r="R1519" s="169"/>
      <c r="S1519" s="94"/>
      <c r="T1519" s="153"/>
      <c r="U1519" s="653"/>
      <c r="V1519" s="572"/>
      <c r="W1519" s="572"/>
      <c r="X1519" s="572"/>
      <c r="Y1519" s="572"/>
      <c r="Z1519" s="572"/>
    </row>
    <row r="1520" spans="1:26" s="162" customFormat="1" x14ac:dyDescent="0.2">
      <c r="A1520" s="123" t="s">
        <v>1322</v>
      </c>
      <c r="B1520" s="202"/>
      <c r="C1520" s="51"/>
      <c r="D1520" s="203"/>
      <c r="E1520" s="164"/>
      <c r="F1520" s="168"/>
      <c r="G1520" s="168"/>
      <c r="H1520" s="168"/>
      <c r="I1520" s="168"/>
      <c r="J1520" s="165">
        <f t="shared" si="884"/>
        <v>0</v>
      </c>
      <c r="K1520" s="94"/>
      <c r="L1520" s="161">
        <f t="shared" ref="L1520:Q1520" si="898">SUM(L1521:L1522)</f>
        <v>60000</v>
      </c>
      <c r="M1520" s="157">
        <f t="shared" si="898"/>
        <v>60000</v>
      </c>
      <c r="N1520" s="157">
        <f t="shared" si="898"/>
        <v>60000</v>
      </c>
      <c r="O1520" s="157">
        <f t="shared" si="898"/>
        <v>60000</v>
      </c>
      <c r="P1520" s="270">
        <f t="shared" si="898"/>
        <v>60000</v>
      </c>
      <c r="Q1520" s="284">
        <f t="shared" si="898"/>
        <v>300000</v>
      </c>
      <c r="R1520" s="223" t="s">
        <v>880</v>
      </c>
      <c r="S1520" s="224" t="s">
        <v>700</v>
      </c>
      <c r="T1520" s="153"/>
      <c r="U1520" s="653"/>
      <c r="V1520" s="572"/>
      <c r="W1520" s="572"/>
      <c r="X1520" s="572"/>
      <c r="Y1520" s="572"/>
      <c r="Z1520" s="572"/>
    </row>
    <row r="1521" spans="1:26" s="162" customFormat="1" x14ac:dyDescent="0.2">
      <c r="A1521" s="95">
        <v>221</v>
      </c>
      <c r="B1521" s="163" t="str">
        <f>IF(A1521&lt;&gt;0,INDEX(Coûts,'PA-Détails'!A1521, 2),)</f>
        <v>Mission en province des services centraux</v>
      </c>
      <c r="C1521" s="51"/>
      <c r="D1521" s="94" t="str">
        <f>IF(A1521&lt;&gt;0,INDEX(Coûts, 'PA-Détails'!A1521, 5),)</f>
        <v>P/j</v>
      </c>
      <c r="E1521" s="164">
        <f>30*5</f>
        <v>150</v>
      </c>
      <c r="F1521" s="168">
        <f>30*5</f>
        <v>150</v>
      </c>
      <c r="G1521" s="168">
        <f>30*5</f>
        <v>150</v>
      </c>
      <c r="H1521" s="168">
        <f>30*5</f>
        <v>150</v>
      </c>
      <c r="I1521" s="168">
        <f>30*5</f>
        <v>150</v>
      </c>
      <c r="J1521" s="165">
        <f t="shared" si="884"/>
        <v>750</v>
      </c>
      <c r="K1521" s="94">
        <f>IF(A1521&lt;&gt;0,INDEX(Coûts, 'PA-Détails'!A1521, 3),)</f>
        <v>240</v>
      </c>
      <c r="L1521" s="167">
        <f t="shared" ref="L1521:P1523" si="899">ROUND(+$K1521*E1521,0)</f>
        <v>36000</v>
      </c>
      <c r="M1521" s="168">
        <f t="shared" si="899"/>
        <v>36000</v>
      </c>
      <c r="N1521" s="168">
        <f t="shared" si="899"/>
        <v>36000</v>
      </c>
      <c r="O1521" s="168">
        <f t="shared" si="899"/>
        <v>36000</v>
      </c>
      <c r="P1521" s="271">
        <f t="shared" si="899"/>
        <v>36000</v>
      </c>
      <c r="Q1521" s="283">
        <f>SUM(L1521:P1521)</f>
        <v>180000</v>
      </c>
      <c r="R1521" s="169"/>
      <c r="S1521" s="94"/>
      <c r="T1521" s="153"/>
      <c r="U1521" s="653"/>
      <c r="V1521" s="572"/>
      <c r="W1521" s="572"/>
      <c r="X1521" s="572"/>
      <c r="Y1521" s="572"/>
      <c r="Z1521" s="572"/>
    </row>
    <row r="1522" spans="1:26" s="162" customFormat="1" x14ac:dyDescent="0.2">
      <c r="A1522" s="95">
        <v>222</v>
      </c>
      <c r="B1522" s="163" t="str">
        <f>IF(A1522&lt;&gt;0,INDEX(Coûts,'PA-Détails'!A1522, 2),)</f>
        <v>Mission en province des services déconcentrés</v>
      </c>
      <c r="C1522" s="51"/>
      <c r="D1522" s="94" t="str">
        <f>IF(A1522&lt;&gt;0,INDEX(Coûts, 'PA-Détails'!A1522, 5),)</f>
        <v>P/j</v>
      </c>
      <c r="E1522" s="164">
        <f>160*3</f>
        <v>480</v>
      </c>
      <c r="F1522" s="168">
        <f>160*3</f>
        <v>480</v>
      </c>
      <c r="G1522" s="168">
        <f>160*3</f>
        <v>480</v>
      </c>
      <c r="H1522" s="168">
        <f>160*3</f>
        <v>480</v>
      </c>
      <c r="I1522" s="168">
        <f>160*3</f>
        <v>480</v>
      </c>
      <c r="J1522" s="165">
        <f t="shared" si="884"/>
        <v>2400</v>
      </c>
      <c r="K1522" s="94">
        <f>IF(A1522&lt;&gt;0,INDEX(Coûts, 'PA-Détails'!A1522, 3),)</f>
        <v>50</v>
      </c>
      <c r="L1522" s="167">
        <f t="shared" si="899"/>
        <v>24000</v>
      </c>
      <c r="M1522" s="168">
        <f t="shared" si="899"/>
        <v>24000</v>
      </c>
      <c r="N1522" s="168">
        <f t="shared" si="899"/>
        <v>24000</v>
      </c>
      <c r="O1522" s="168">
        <f t="shared" si="899"/>
        <v>24000</v>
      </c>
      <c r="P1522" s="271">
        <f t="shared" si="899"/>
        <v>24000</v>
      </c>
      <c r="Q1522" s="283">
        <f>SUM(L1522:P1522)</f>
        <v>120000</v>
      </c>
      <c r="R1522" s="169"/>
      <c r="S1522" s="94"/>
      <c r="T1522" s="153"/>
      <c r="U1522" s="653"/>
      <c r="V1522" s="572"/>
      <c r="W1522" s="572"/>
      <c r="X1522" s="572"/>
      <c r="Y1522" s="572"/>
      <c r="Z1522" s="572"/>
    </row>
    <row r="1523" spans="1:26" s="162" customFormat="1" x14ac:dyDescent="0.2">
      <c r="A1523" s="122" t="s">
        <v>1323</v>
      </c>
      <c r="B1523" s="163"/>
      <c r="C1523" s="51" t="s">
        <v>945</v>
      </c>
      <c r="D1523" s="94"/>
      <c r="E1523" s="164"/>
      <c r="F1523" s="168"/>
      <c r="G1523" s="168"/>
      <c r="H1523" s="168"/>
      <c r="I1523" s="168"/>
      <c r="J1523" s="165"/>
      <c r="K1523" s="94"/>
      <c r="L1523" s="167">
        <f t="shared" si="899"/>
        <v>0</v>
      </c>
      <c r="M1523" s="168">
        <f t="shared" si="899"/>
        <v>0</v>
      </c>
      <c r="N1523" s="168">
        <f t="shared" si="899"/>
        <v>0</v>
      </c>
      <c r="O1523" s="168">
        <f t="shared" si="899"/>
        <v>0</v>
      </c>
      <c r="P1523" s="271">
        <f t="shared" si="899"/>
        <v>0</v>
      </c>
      <c r="Q1523" s="283"/>
      <c r="R1523" s="169"/>
      <c r="S1523" s="94"/>
      <c r="T1523" s="153"/>
      <c r="U1523" s="653"/>
      <c r="V1523" s="572"/>
      <c r="W1523" s="572"/>
      <c r="X1523" s="572"/>
      <c r="Y1523" s="572"/>
      <c r="Z1523" s="572"/>
    </row>
    <row r="1524" spans="1:26" s="162" customFormat="1" x14ac:dyDescent="0.2">
      <c r="A1524" s="123" t="s">
        <v>1324</v>
      </c>
      <c r="B1524" s="163"/>
      <c r="C1524" s="51"/>
      <c r="D1524" s="94"/>
      <c r="E1524" s="164"/>
      <c r="F1524" s="168"/>
      <c r="G1524" s="168"/>
      <c r="H1524" s="168"/>
      <c r="I1524" s="168"/>
      <c r="J1524" s="165"/>
      <c r="K1524" s="94"/>
      <c r="L1524" s="161">
        <f t="shared" ref="L1524:Q1524" si="900">SUM(L1525:L1526)</f>
        <v>144000</v>
      </c>
      <c r="M1524" s="157">
        <f t="shared" si="900"/>
        <v>144000</v>
      </c>
      <c r="N1524" s="157">
        <f t="shared" si="900"/>
        <v>144000</v>
      </c>
      <c r="O1524" s="157">
        <f t="shared" si="900"/>
        <v>144000</v>
      </c>
      <c r="P1524" s="270">
        <f t="shared" si="900"/>
        <v>144000</v>
      </c>
      <c r="Q1524" s="284">
        <f t="shared" si="900"/>
        <v>720000</v>
      </c>
      <c r="R1524" s="223" t="s">
        <v>880</v>
      </c>
      <c r="S1524" s="94"/>
      <c r="T1524" s="153"/>
      <c r="U1524" s="653"/>
      <c r="V1524" s="572"/>
      <c r="W1524" s="572"/>
      <c r="X1524" s="572"/>
      <c r="Y1524" s="572"/>
      <c r="Z1524" s="572"/>
    </row>
    <row r="1525" spans="1:26" s="162" customFormat="1" x14ac:dyDescent="0.2">
      <c r="A1525" s="95">
        <v>12</v>
      </c>
      <c r="B1525" s="163" t="str">
        <f>IF(A1525&lt;&gt;0,INDEX(Coûts,'PA-Détails'!A1525, 2),)</f>
        <v>Formation - Action et Formation de formateurs</v>
      </c>
      <c r="C1525" s="153"/>
      <c r="D1525" s="94" t="str">
        <f>IF(A1525&lt;&gt;0,INDEX(Coûts, 'PA-Détails'!A1525, 5),)</f>
        <v>Pers / j</v>
      </c>
      <c r="E1525" s="168">
        <f>30*4*5</f>
        <v>600</v>
      </c>
      <c r="F1525" s="168">
        <f>30*4*5</f>
        <v>600</v>
      </c>
      <c r="G1525" s="168">
        <f>30*4*5</f>
        <v>600</v>
      </c>
      <c r="H1525" s="168">
        <f>30*4*5</f>
        <v>600</v>
      </c>
      <c r="I1525" s="168">
        <f>30*4*5</f>
        <v>600</v>
      </c>
      <c r="J1525" s="165">
        <f>SUM(E1525:I1525)</f>
        <v>3000</v>
      </c>
      <c r="K1525" s="94">
        <f>IF(A1525&lt;&gt;0,INDEX(Coûts, 'PA-Détails'!A1525, 3),)</f>
        <v>150</v>
      </c>
      <c r="L1525" s="167">
        <f t="shared" ref="L1525:P1526" si="901">ROUND(+$K1525*E1525,0)</f>
        <v>90000</v>
      </c>
      <c r="M1525" s="168">
        <f t="shared" si="901"/>
        <v>90000</v>
      </c>
      <c r="N1525" s="168">
        <f t="shared" si="901"/>
        <v>90000</v>
      </c>
      <c r="O1525" s="168">
        <f t="shared" si="901"/>
        <v>90000</v>
      </c>
      <c r="P1525" s="271">
        <f t="shared" si="901"/>
        <v>90000</v>
      </c>
      <c r="Q1525" s="283">
        <f>SUM(L1525:P1525)</f>
        <v>450000</v>
      </c>
      <c r="R1525" s="169"/>
      <c r="S1525" s="94"/>
      <c r="T1525" s="153"/>
      <c r="U1525" s="653"/>
      <c r="V1525" s="572"/>
      <c r="W1525" s="572"/>
      <c r="X1525" s="572"/>
      <c r="Y1525" s="572"/>
      <c r="Z1525" s="572"/>
    </row>
    <row r="1526" spans="1:26" s="162" customFormat="1" x14ac:dyDescent="0.2">
      <c r="A1526" s="95">
        <v>13</v>
      </c>
      <c r="B1526" s="163" t="str">
        <f>IF(A1526&lt;&gt;0,INDEX(Coûts,'PA-Détails'!A1526, 2),)</f>
        <v>Formation au niveau local</v>
      </c>
      <c r="C1526" s="153"/>
      <c r="D1526" s="94" t="str">
        <f>IF(A1526&lt;&gt;0,INDEX(Coûts, 'PA-Détails'!A1526, 5),)</f>
        <v>Pers / j</v>
      </c>
      <c r="E1526" s="168">
        <f>360*2*5</f>
        <v>3600</v>
      </c>
      <c r="F1526" s="168">
        <f>360*2*5</f>
        <v>3600</v>
      </c>
      <c r="G1526" s="168">
        <f>360*2*5</f>
        <v>3600</v>
      </c>
      <c r="H1526" s="168">
        <f>360*2*5</f>
        <v>3600</v>
      </c>
      <c r="I1526" s="168">
        <f>360*2*5</f>
        <v>3600</v>
      </c>
      <c r="J1526" s="165">
        <f>SUM(E1526:I1526)</f>
        <v>18000</v>
      </c>
      <c r="K1526" s="94">
        <f>IF(A1526&lt;&gt;0,INDEX(Coûts, 'PA-Détails'!A1526, 3),)</f>
        <v>15</v>
      </c>
      <c r="L1526" s="167">
        <f t="shared" si="901"/>
        <v>54000</v>
      </c>
      <c r="M1526" s="168">
        <f t="shared" si="901"/>
        <v>54000</v>
      </c>
      <c r="N1526" s="168">
        <f t="shared" si="901"/>
        <v>54000</v>
      </c>
      <c r="O1526" s="168">
        <f t="shared" si="901"/>
        <v>54000</v>
      </c>
      <c r="P1526" s="271">
        <f t="shared" si="901"/>
        <v>54000</v>
      </c>
      <c r="Q1526" s="283">
        <f>SUM(L1526:P1526)</f>
        <v>270000</v>
      </c>
      <c r="R1526" s="169"/>
      <c r="S1526" s="94"/>
      <c r="T1526" s="153"/>
      <c r="U1526" s="653"/>
      <c r="V1526" s="572"/>
      <c r="W1526" s="572"/>
      <c r="X1526" s="572"/>
      <c r="Y1526" s="572"/>
      <c r="Z1526" s="572"/>
    </row>
    <row r="1527" spans="1:26" s="162" customFormat="1" x14ac:dyDescent="0.2">
      <c r="A1527" s="123" t="s">
        <v>1325</v>
      </c>
      <c r="B1527" s="163"/>
      <c r="C1527" s="51"/>
      <c r="D1527" s="94"/>
      <c r="E1527" s="164"/>
      <c r="F1527" s="168"/>
      <c r="G1527" s="168"/>
      <c r="H1527" s="168"/>
      <c r="I1527" s="168"/>
      <c r="J1527" s="165"/>
      <c r="K1527" s="94"/>
      <c r="L1527" s="161">
        <f t="shared" ref="L1527:Q1527" si="902">SUM(L1528:L1530)</f>
        <v>134200</v>
      </c>
      <c r="M1527" s="157">
        <f t="shared" si="902"/>
        <v>150200</v>
      </c>
      <c r="N1527" s="157">
        <f t="shared" si="902"/>
        <v>190200</v>
      </c>
      <c r="O1527" s="157">
        <f t="shared" si="902"/>
        <v>230200</v>
      </c>
      <c r="P1527" s="270">
        <f t="shared" si="902"/>
        <v>270200</v>
      </c>
      <c r="Q1527" s="284">
        <f t="shared" si="902"/>
        <v>975000</v>
      </c>
      <c r="R1527" s="223" t="s">
        <v>880</v>
      </c>
      <c r="S1527" s="94"/>
      <c r="T1527" s="153"/>
      <c r="U1527" s="653"/>
      <c r="V1527" s="572"/>
      <c r="W1527" s="572"/>
      <c r="X1527" s="572"/>
      <c r="Y1527" s="572"/>
      <c r="Z1527" s="572"/>
    </row>
    <row r="1528" spans="1:26" s="162" customFormat="1" x14ac:dyDescent="0.2">
      <c r="A1528" s="95">
        <v>12</v>
      </c>
      <c r="B1528" s="163" t="str">
        <f>IF(A1528&lt;&gt;0,INDEX(Coûts,'PA-Détails'!A1528, 2),)</f>
        <v>Formation - Action et Formation de formateurs</v>
      </c>
      <c r="C1528" s="153"/>
      <c r="D1528" s="94" t="str">
        <f>IF(A1528&lt;&gt;0,INDEX(Coûts, 'PA-Détails'!A1528, 5),)</f>
        <v>Pers / j</v>
      </c>
      <c r="E1528" s="164">
        <f>200+100+200</f>
        <v>500</v>
      </c>
      <c r="F1528" s="168">
        <f>+E1528</f>
        <v>500</v>
      </c>
      <c r="G1528" s="168">
        <f>+F1528</f>
        <v>500</v>
      </c>
      <c r="H1528" s="168">
        <f>+G1528</f>
        <v>500</v>
      </c>
      <c r="I1528" s="168">
        <f>+H1528</f>
        <v>500</v>
      </c>
      <c r="J1528" s="165">
        <f>SUM(E1528:I1528)</f>
        <v>2500</v>
      </c>
      <c r="K1528" s="94">
        <f>IF(A1528&lt;&gt;0,INDEX(Coûts, 'PA-Détails'!A1528, 3),)</f>
        <v>150</v>
      </c>
      <c r="L1528" s="167">
        <f t="shared" ref="L1528:P1531" si="903">ROUND(+$K1528*E1528,0)</f>
        <v>75000</v>
      </c>
      <c r="M1528" s="168">
        <f t="shared" si="903"/>
        <v>75000</v>
      </c>
      <c r="N1528" s="168">
        <f t="shared" si="903"/>
        <v>75000</v>
      </c>
      <c r="O1528" s="168">
        <f t="shared" si="903"/>
        <v>75000</v>
      </c>
      <c r="P1528" s="271">
        <f t="shared" si="903"/>
        <v>75000</v>
      </c>
      <c r="Q1528" s="283">
        <f>SUM(L1528:P1528)</f>
        <v>375000</v>
      </c>
      <c r="R1528" s="169"/>
      <c r="S1528" s="94"/>
      <c r="T1528" s="153"/>
      <c r="U1528" s="653"/>
      <c r="V1528" s="572"/>
      <c r="W1528" s="572"/>
      <c r="X1528" s="572"/>
      <c r="Y1528" s="572"/>
      <c r="Z1528" s="572"/>
    </row>
    <row r="1529" spans="1:26" s="162" customFormat="1" x14ac:dyDescent="0.2">
      <c r="A1529" s="95">
        <v>6</v>
      </c>
      <c r="B1529" s="163" t="str">
        <f>IF(A1529&lt;&gt;0,INDEX(Coûts,'PA-Détails'!A1529, 2),)</f>
        <v>Édition Rapports</v>
      </c>
      <c r="C1529" s="153"/>
      <c r="D1529" s="94" t="str">
        <f>IF(A1529&lt;&gt;0,INDEX(Coûts, 'PA-Détails'!A1529, 5),)</f>
        <v>Forfait</v>
      </c>
      <c r="E1529" s="164">
        <f>3*500+1000+200+1000</f>
        <v>3700</v>
      </c>
      <c r="F1529" s="168">
        <f>5*500+1000+200+1000</f>
        <v>4700</v>
      </c>
      <c r="G1529" s="168">
        <f>10*500+1000+200+1000</f>
        <v>7200</v>
      </c>
      <c r="H1529" s="168">
        <f>15*500+1000+200+1000</f>
        <v>9700</v>
      </c>
      <c r="I1529" s="168">
        <f>20*500+1000+200+1000</f>
        <v>12200</v>
      </c>
      <c r="J1529" s="165">
        <f>SUM(E1529:I1529)</f>
        <v>37500</v>
      </c>
      <c r="K1529" s="94">
        <f>IF(A1529&lt;&gt;0,INDEX(Coûts, 'PA-Détails'!A1529, 3),)</f>
        <v>10</v>
      </c>
      <c r="L1529" s="167">
        <f t="shared" si="903"/>
        <v>37000</v>
      </c>
      <c r="M1529" s="168">
        <f t="shared" si="903"/>
        <v>47000</v>
      </c>
      <c r="N1529" s="168">
        <f t="shared" si="903"/>
        <v>72000</v>
      </c>
      <c r="O1529" s="168">
        <f t="shared" si="903"/>
        <v>97000</v>
      </c>
      <c r="P1529" s="271">
        <f t="shared" si="903"/>
        <v>122000</v>
      </c>
      <c r="Q1529" s="283">
        <f>SUM(L1529:P1529)</f>
        <v>375000</v>
      </c>
      <c r="R1529" s="169"/>
      <c r="S1529" s="94"/>
      <c r="T1529" s="153"/>
      <c r="U1529" s="653"/>
      <c r="V1529" s="572"/>
      <c r="W1529" s="572"/>
      <c r="X1529" s="572"/>
      <c r="Y1529" s="572"/>
      <c r="Z1529" s="572"/>
    </row>
    <row r="1530" spans="1:26" s="162" customFormat="1" x14ac:dyDescent="0.2">
      <c r="A1530" s="95">
        <v>14</v>
      </c>
      <c r="B1530" s="163" t="str">
        <f>IF(A1530&lt;&gt;0,INDEX(Coûts,'PA-Détails'!A1530, 2),)</f>
        <v>Diffusion des publications sur support numérique (CD/F USB)</v>
      </c>
      <c r="C1530" s="153"/>
      <c r="D1530" s="94" t="str">
        <f>IF(A1530&lt;&gt;0,INDEX(Coûts, 'PA-Détails'!A1530, 5),)</f>
        <v>Forfait</v>
      </c>
      <c r="E1530" s="164">
        <f>E1529*2</f>
        <v>7400</v>
      </c>
      <c r="F1530" s="168">
        <f>F1529*2</f>
        <v>9400</v>
      </c>
      <c r="G1530" s="168">
        <f>G1529*2</f>
        <v>14400</v>
      </c>
      <c r="H1530" s="168">
        <f>H1529*2</f>
        <v>19400</v>
      </c>
      <c r="I1530" s="168">
        <f>I1529*2</f>
        <v>24400</v>
      </c>
      <c r="J1530" s="165">
        <f>SUM(E1530:I1530)</f>
        <v>75000</v>
      </c>
      <c r="K1530" s="94">
        <f>IF(A1530&lt;&gt;0,INDEX(Coûts, 'PA-Détails'!A1530, 3),)</f>
        <v>3</v>
      </c>
      <c r="L1530" s="167">
        <f t="shared" si="903"/>
        <v>22200</v>
      </c>
      <c r="M1530" s="168">
        <f t="shared" si="903"/>
        <v>28200</v>
      </c>
      <c r="N1530" s="168">
        <f t="shared" si="903"/>
        <v>43200</v>
      </c>
      <c r="O1530" s="168">
        <f t="shared" si="903"/>
        <v>58200</v>
      </c>
      <c r="P1530" s="271">
        <f t="shared" si="903"/>
        <v>73200</v>
      </c>
      <c r="Q1530" s="283">
        <f>SUM(L1530:P1530)</f>
        <v>225000</v>
      </c>
      <c r="R1530" s="169"/>
      <c r="S1530" s="94"/>
      <c r="T1530" s="153"/>
      <c r="U1530" s="653"/>
      <c r="V1530" s="572"/>
      <c r="W1530" s="572"/>
      <c r="X1530" s="572"/>
      <c r="Y1530" s="572"/>
      <c r="Z1530" s="572"/>
    </row>
    <row r="1531" spans="1:26" s="162" customFormat="1" x14ac:dyDescent="0.2">
      <c r="A1531" s="122" t="s">
        <v>1326</v>
      </c>
      <c r="B1531" s="163"/>
      <c r="C1531" s="153"/>
      <c r="D1531" s="94"/>
      <c r="E1531" s="164"/>
      <c r="F1531" s="168"/>
      <c r="G1531" s="168"/>
      <c r="H1531" s="168"/>
      <c r="I1531" s="168"/>
      <c r="J1531" s="165"/>
      <c r="K1531" s="94"/>
      <c r="L1531" s="167">
        <f t="shared" si="903"/>
        <v>0</v>
      </c>
      <c r="M1531" s="168">
        <f t="shared" si="903"/>
        <v>0</v>
      </c>
      <c r="N1531" s="168">
        <f t="shared" si="903"/>
        <v>0</v>
      </c>
      <c r="O1531" s="168">
        <f t="shared" si="903"/>
        <v>0</v>
      </c>
      <c r="P1531" s="271">
        <f t="shared" si="903"/>
        <v>0</v>
      </c>
      <c r="Q1531" s="283">
        <f>SUM(L1531:P1531)</f>
        <v>0</v>
      </c>
      <c r="R1531" s="169"/>
      <c r="S1531" s="94"/>
      <c r="T1531" s="153"/>
      <c r="U1531" s="653"/>
      <c r="V1531" s="572"/>
      <c r="W1531" s="572"/>
      <c r="X1531" s="572"/>
      <c r="Y1531" s="572"/>
      <c r="Z1531" s="572"/>
    </row>
    <row r="1532" spans="1:26" s="162" customFormat="1" x14ac:dyDescent="0.2">
      <c r="A1532" s="123" t="s">
        <v>1327</v>
      </c>
      <c r="B1532" s="163"/>
      <c r="C1532" s="153" t="s">
        <v>950</v>
      </c>
      <c r="D1532" s="94"/>
      <c r="E1532" s="164"/>
      <c r="F1532" s="168"/>
      <c r="G1532" s="168"/>
      <c r="H1532" s="168"/>
      <c r="I1532" s="168"/>
      <c r="J1532" s="165"/>
      <c r="K1532" s="94"/>
      <c r="L1532" s="161">
        <f t="shared" ref="L1532:Q1532" si="904">SUM(L1533:L1534)</f>
        <v>35600</v>
      </c>
      <c r="M1532" s="157">
        <f t="shared" si="904"/>
        <v>35600</v>
      </c>
      <c r="N1532" s="157">
        <f t="shared" si="904"/>
        <v>35600</v>
      </c>
      <c r="O1532" s="157">
        <f t="shared" si="904"/>
        <v>35600</v>
      </c>
      <c r="P1532" s="270">
        <f t="shared" si="904"/>
        <v>35600</v>
      </c>
      <c r="Q1532" s="284">
        <f t="shared" si="904"/>
        <v>178000</v>
      </c>
      <c r="R1532" s="223" t="s">
        <v>880</v>
      </c>
      <c r="S1532" s="224" t="s">
        <v>700</v>
      </c>
      <c r="T1532" s="153"/>
      <c r="U1532" s="653"/>
      <c r="V1532" s="572"/>
      <c r="W1532" s="572"/>
      <c r="X1532" s="572"/>
      <c r="Y1532" s="572"/>
      <c r="Z1532" s="572"/>
    </row>
    <row r="1533" spans="1:26" s="162" customFormat="1" x14ac:dyDescent="0.2">
      <c r="A1533" s="95">
        <v>1</v>
      </c>
      <c r="B1533" s="163" t="str">
        <f>IF(A1533&lt;&gt;0,INDEX(Coûts,'PA-Détails'!A1533, 2),)</f>
        <v>Assistance technique internationale (consultants)</v>
      </c>
      <c r="C1533" s="153"/>
      <c r="D1533" s="94" t="str">
        <f>IF(A1533&lt;&gt;0,INDEX(Coûts, 'PA-Détails'!A1533, 5),)</f>
        <v>Pers / j</v>
      </c>
      <c r="E1533" s="164">
        <v>20</v>
      </c>
      <c r="F1533" s="168">
        <v>20</v>
      </c>
      <c r="G1533" s="168">
        <v>20</v>
      </c>
      <c r="H1533" s="168">
        <v>20</v>
      </c>
      <c r="I1533" s="168">
        <v>20</v>
      </c>
      <c r="J1533" s="165">
        <f>SUM(E1533:I1533)</f>
        <v>100</v>
      </c>
      <c r="K1533" s="94">
        <f>IF(A1533&lt;&gt;0,INDEX(Coûts, 'PA-Détails'!A1533, 3),)</f>
        <v>1150</v>
      </c>
      <c r="L1533" s="167">
        <f t="shared" ref="L1533:P1534" si="905">ROUND(+$K1533*E1533,0)</f>
        <v>23000</v>
      </c>
      <c r="M1533" s="168">
        <f t="shared" si="905"/>
        <v>23000</v>
      </c>
      <c r="N1533" s="168">
        <f t="shared" si="905"/>
        <v>23000</v>
      </c>
      <c r="O1533" s="168">
        <f t="shared" si="905"/>
        <v>23000</v>
      </c>
      <c r="P1533" s="271">
        <f t="shared" si="905"/>
        <v>23000</v>
      </c>
      <c r="Q1533" s="283">
        <f>SUM(L1533:P1533)</f>
        <v>115000</v>
      </c>
      <c r="R1533" s="169"/>
      <c r="S1533" s="94"/>
      <c r="T1533" s="153"/>
      <c r="U1533" s="653"/>
      <c r="V1533" s="572"/>
      <c r="W1533" s="572"/>
      <c r="X1533" s="572"/>
      <c r="Y1533" s="572"/>
      <c r="Z1533" s="572"/>
    </row>
    <row r="1534" spans="1:26" s="162" customFormat="1" x14ac:dyDescent="0.2">
      <c r="A1534" s="95">
        <v>11</v>
      </c>
      <c r="B1534" s="163" t="str">
        <f>IF(A1534&lt;&gt;0,INDEX(Coûts,'PA-Détails'!A1534, 2),)</f>
        <v>Atelier technique</v>
      </c>
      <c r="C1534" s="153"/>
      <c r="D1534" s="94" t="str">
        <f>IF(A1534&lt;&gt;0,INDEX(Coûts, 'PA-Détails'!A1534, 5),)</f>
        <v>Pers / j</v>
      </c>
      <c r="E1534" s="164">
        <f>20*3*3</f>
        <v>180</v>
      </c>
      <c r="F1534" s="168">
        <f>20*3*3</f>
        <v>180</v>
      </c>
      <c r="G1534" s="168">
        <f>20*3*3</f>
        <v>180</v>
      </c>
      <c r="H1534" s="168">
        <f>20*3*3</f>
        <v>180</v>
      </c>
      <c r="I1534" s="168">
        <f>20*3*3</f>
        <v>180</v>
      </c>
      <c r="J1534" s="165">
        <f>SUM(E1534:I1534)</f>
        <v>900</v>
      </c>
      <c r="K1534" s="94">
        <f>IF(A1534&lt;&gt;0,INDEX(Coûts, 'PA-Détails'!A1534, 3),)</f>
        <v>70</v>
      </c>
      <c r="L1534" s="167">
        <f t="shared" si="905"/>
        <v>12600</v>
      </c>
      <c r="M1534" s="168">
        <f t="shared" si="905"/>
        <v>12600</v>
      </c>
      <c r="N1534" s="168">
        <f t="shared" si="905"/>
        <v>12600</v>
      </c>
      <c r="O1534" s="168">
        <f t="shared" si="905"/>
        <v>12600</v>
      </c>
      <c r="P1534" s="271">
        <f t="shared" si="905"/>
        <v>12600</v>
      </c>
      <c r="Q1534" s="283">
        <f>SUM(L1534:P1534)</f>
        <v>63000</v>
      </c>
      <c r="R1534" s="169"/>
      <c r="S1534" s="94"/>
      <c r="T1534" s="153"/>
      <c r="U1534" s="653"/>
      <c r="V1534" s="572"/>
      <c r="W1534" s="572"/>
      <c r="X1534" s="572"/>
      <c r="Y1534" s="572"/>
      <c r="Z1534" s="572"/>
    </row>
    <row r="1535" spans="1:26" s="162" customFormat="1" x14ac:dyDescent="0.2">
      <c r="A1535" s="123" t="s">
        <v>1328</v>
      </c>
      <c r="B1535" s="163"/>
      <c r="C1535" s="153" t="s">
        <v>951</v>
      </c>
      <c r="D1535" s="94"/>
      <c r="E1535" s="164"/>
      <c r="F1535" s="168"/>
      <c r="G1535" s="168"/>
      <c r="H1535" s="168"/>
      <c r="I1535" s="168"/>
      <c r="J1535" s="165"/>
      <c r="K1535" s="94"/>
      <c r="L1535" s="161">
        <f t="shared" ref="L1535:Q1535" si="906">SUM(L1536:L1537)</f>
        <v>23680</v>
      </c>
      <c r="M1535" s="157">
        <f t="shared" si="906"/>
        <v>30080</v>
      </c>
      <c r="N1535" s="157">
        <f t="shared" si="906"/>
        <v>46080</v>
      </c>
      <c r="O1535" s="157">
        <f t="shared" si="906"/>
        <v>62080</v>
      </c>
      <c r="P1535" s="270">
        <f t="shared" si="906"/>
        <v>78080</v>
      </c>
      <c r="Q1535" s="284">
        <f t="shared" si="906"/>
        <v>240000</v>
      </c>
      <c r="R1535" s="223" t="s">
        <v>880</v>
      </c>
      <c r="S1535" s="224" t="s">
        <v>700</v>
      </c>
      <c r="T1535" s="153"/>
      <c r="U1535" s="653"/>
      <c r="V1535" s="572"/>
      <c r="W1535" s="572"/>
      <c r="X1535" s="572"/>
      <c r="Y1535" s="572"/>
      <c r="Z1535" s="572"/>
    </row>
    <row r="1536" spans="1:26" s="162" customFormat="1" x14ac:dyDescent="0.2">
      <c r="A1536" s="95">
        <v>6</v>
      </c>
      <c r="B1536" s="163" t="str">
        <f>IF(A1536&lt;&gt;0,INDEX(Coûts,'PA-Détails'!A1536, 2),)</f>
        <v>Édition Rapports</v>
      </c>
      <c r="C1536" s="153"/>
      <c r="D1536" s="94" t="str">
        <f>IF(A1536&lt;&gt;0,INDEX(Coûts, 'PA-Détails'!A1536, 5),)</f>
        <v>Forfait</v>
      </c>
      <c r="E1536" s="164">
        <f>E1530/5</f>
        <v>1480</v>
      </c>
      <c r="F1536" s="168">
        <f>F1530/5</f>
        <v>1880</v>
      </c>
      <c r="G1536" s="168">
        <f>G1530/5</f>
        <v>2880</v>
      </c>
      <c r="H1536" s="168">
        <f>H1530/5</f>
        <v>3880</v>
      </c>
      <c r="I1536" s="168">
        <f>I1530/5</f>
        <v>4880</v>
      </c>
      <c r="J1536" s="165">
        <f>SUM(E1536:I1536)</f>
        <v>15000</v>
      </c>
      <c r="K1536" s="94">
        <f>IF(A1536&lt;&gt;0,INDEX(Coûts, 'PA-Détails'!A1536, 3),)</f>
        <v>10</v>
      </c>
      <c r="L1536" s="167">
        <f t="shared" ref="L1536:P1538" si="907">ROUND(+$K1536*E1536,0)</f>
        <v>14800</v>
      </c>
      <c r="M1536" s="168">
        <f t="shared" si="907"/>
        <v>18800</v>
      </c>
      <c r="N1536" s="168">
        <f t="shared" si="907"/>
        <v>28800</v>
      </c>
      <c r="O1536" s="168">
        <f t="shared" si="907"/>
        <v>38800</v>
      </c>
      <c r="P1536" s="271">
        <f t="shared" si="907"/>
        <v>48800</v>
      </c>
      <c r="Q1536" s="283">
        <f>SUM(L1536:P1536)</f>
        <v>150000</v>
      </c>
      <c r="R1536" s="169"/>
      <c r="S1536" s="94"/>
      <c r="T1536" s="153"/>
      <c r="U1536" s="653"/>
      <c r="V1536" s="572"/>
      <c r="W1536" s="572"/>
      <c r="X1536" s="572"/>
      <c r="Y1536" s="572"/>
      <c r="Z1536" s="572"/>
    </row>
    <row r="1537" spans="1:26" s="162" customFormat="1" x14ac:dyDescent="0.2">
      <c r="A1537" s="95">
        <v>14</v>
      </c>
      <c r="B1537" s="163" t="str">
        <f>IF(A1537&lt;&gt;0,INDEX(Coûts,'PA-Détails'!A1537, 2),)</f>
        <v>Diffusion des publications sur support numérique (CD/F USB)</v>
      </c>
      <c r="C1537" s="153"/>
      <c r="D1537" s="94" t="str">
        <f>IF(A1537&lt;&gt;0,INDEX(Coûts, 'PA-Détails'!A1537, 5),)</f>
        <v>Forfait</v>
      </c>
      <c r="E1537" s="164">
        <f>E1536*2</f>
        <v>2960</v>
      </c>
      <c r="F1537" s="168">
        <f>F1536*2</f>
        <v>3760</v>
      </c>
      <c r="G1537" s="168">
        <f>G1536*2</f>
        <v>5760</v>
      </c>
      <c r="H1537" s="168">
        <f>H1536*2</f>
        <v>7760</v>
      </c>
      <c r="I1537" s="168">
        <f>I1536*2</f>
        <v>9760</v>
      </c>
      <c r="J1537" s="165">
        <f>SUM(E1537:I1537)</f>
        <v>30000</v>
      </c>
      <c r="K1537" s="94">
        <f>IF(A1537&lt;&gt;0,INDEX(Coûts, 'PA-Détails'!A1537, 3),)</f>
        <v>3</v>
      </c>
      <c r="L1537" s="167">
        <f t="shared" si="907"/>
        <v>8880</v>
      </c>
      <c r="M1537" s="168">
        <f t="shared" si="907"/>
        <v>11280</v>
      </c>
      <c r="N1537" s="168">
        <f t="shared" si="907"/>
        <v>17280</v>
      </c>
      <c r="O1537" s="168">
        <f t="shared" si="907"/>
        <v>23280</v>
      </c>
      <c r="P1537" s="271">
        <f t="shared" si="907"/>
        <v>29280</v>
      </c>
      <c r="Q1537" s="283">
        <f>SUM(L1537:P1537)</f>
        <v>90000</v>
      </c>
      <c r="R1537" s="169"/>
      <c r="S1537" s="94"/>
      <c r="T1537" s="153"/>
      <c r="U1537" s="653"/>
      <c r="V1537" s="572"/>
      <c r="W1537" s="572"/>
      <c r="X1537" s="572"/>
      <c r="Y1537" s="572"/>
      <c r="Z1537" s="572"/>
    </row>
    <row r="1538" spans="1:26" s="162" customFormat="1" x14ac:dyDescent="0.2">
      <c r="A1538" s="122" t="s">
        <v>1329</v>
      </c>
      <c r="B1538" s="152"/>
      <c r="C1538" s="153" t="s">
        <v>832</v>
      </c>
      <c r="D1538" s="155"/>
      <c r="E1538" s="156"/>
      <c r="F1538" s="157"/>
      <c r="G1538" s="157"/>
      <c r="H1538" s="157"/>
      <c r="I1538" s="157"/>
      <c r="J1538" s="158">
        <f>SUM(E1538:I1538)</f>
        <v>0</v>
      </c>
      <c r="K1538" s="208"/>
      <c r="L1538" s="161">
        <f t="shared" si="907"/>
        <v>0</v>
      </c>
      <c r="M1538" s="157">
        <f t="shared" si="907"/>
        <v>0</v>
      </c>
      <c r="N1538" s="157">
        <f t="shared" si="907"/>
        <v>0</v>
      </c>
      <c r="O1538" s="157">
        <f t="shared" si="907"/>
        <v>0</v>
      </c>
      <c r="P1538" s="270">
        <f t="shared" si="907"/>
        <v>0</v>
      </c>
      <c r="Q1538" s="284">
        <f>SUM(L1538:P1538)</f>
        <v>0</v>
      </c>
      <c r="R1538" s="200"/>
      <c r="S1538" s="201"/>
      <c r="T1538" s="154"/>
      <c r="U1538" s="653"/>
      <c r="V1538" s="572"/>
      <c r="W1538" s="572"/>
      <c r="X1538" s="572"/>
      <c r="Y1538" s="572"/>
      <c r="Z1538" s="572"/>
    </row>
    <row r="1539" spans="1:26" s="162" customFormat="1" x14ac:dyDescent="0.2">
      <c r="A1539" s="123" t="s">
        <v>1330</v>
      </c>
      <c r="B1539" s="152"/>
      <c r="C1539" s="153"/>
      <c r="D1539" s="155"/>
      <c r="E1539" s="156"/>
      <c r="F1539" s="157"/>
      <c r="G1539" s="157"/>
      <c r="H1539" s="157"/>
      <c r="I1539" s="157"/>
      <c r="J1539" s="158"/>
      <c r="K1539" s="208"/>
      <c r="L1539" s="161">
        <f t="shared" ref="L1539:Q1539" si="908">SUM(L1540:L1541)</f>
        <v>27750</v>
      </c>
      <c r="M1539" s="157">
        <f t="shared" si="908"/>
        <v>0</v>
      </c>
      <c r="N1539" s="157">
        <f t="shared" si="908"/>
        <v>0</v>
      </c>
      <c r="O1539" s="157">
        <f t="shared" si="908"/>
        <v>0</v>
      </c>
      <c r="P1539" s="270">
        <f t="shared" si="908"/>
        <v>0</v>
      </c>
      <c r="Q1539" s="284">
        <f t="shared" si="908"/>
        <v>27750</v>
      </c>
      <c r="R1539" s="223" t="s">
        <v>881</v>
      </c>
      <c r="S1539" s="224" t="s">
        <v>700</v>
      </c>
      <c r="T1539" s="154"/>
      <c r="U1539" s="653"/>
      <c r="V1539" s="572"/>
      <c r="W1539" s="572"/>
      <c r="X1539" s="572"/>
      <c r="Y1539" s="572"/>
      <c r="Z1539" s="572"/>
    </row>
    <row r="1540" spans="1:26" s="162" customFormat="1" x14ac:dyDescent="0.2">
      <c r="A1540" s="95">
        <v>1</v>
      </c>
      <c r="B1540" s="163" t="str">
        <f>IF(A1540&lt;&gt;0,INDEX(Coûts,'PA-Détails'!A1540, 2),)</f>
        <v>Assistance technique internationale (consultants)</v>
      </c>
      <c r="C1540" s="153"/>
      <c r="D1540" s="94" t="str">
        <f>IF(A1540&lt;&gt;0,INDEX(Coûts, 'PA-Détails'!A1540, 5),)</f>
        <v>Pers / j</v>
      </c>
      <c r="E1540" s="164">
        <v>15</v>
      </c>
      <c r="F1540" s="168"/>
      <c r="G1540" s="168"/>
      <c r="H1540" s="168"/>
      <c r="I1540" s="168"/>
      <c r="J1540" s="165">
        <f t="shared" ref="J1540:J1569" si="909">SUM(E1540:I1540)</f>
        <v>15</v>
      </c>
      <c r="K1540" s="94">
        <f>IF(A1540&lt;&gt;0,INDEX(Coûts, 'PA-Détails'!A1540, 3),)</f>
        <v>1150</v>
      </c>
      <c r="L1540" s="167">
        <f t="shared" ref="L1540:P1541" si="910">ROUND(+$K1540*E1540,0)</f>
        <v>17250</v>
      </c>
      <c r="M1540" s="168">
        <f t="shared" si="910"/>
        <v>0</v>
      </c>
      <c r="N1540" s="168">
        <f t="shared" si="910"/>
        <v>0</v>
      </c>
      <c r="O1540" s="168">
        <f t="shared" si="910"/>
        <v>0</v>
      </c>
      <c r="P1540" s="271">
        <f t="shared" si="910"/>
        <v>0</v>
      </c>
      <c r="Q1540" s="283">
        <f>SUM(L1540:P1540)</f>
        <v>17250</v>
      </c>
      <c r="R1540" s="169"/>
      <c r="S1540" s="94"/>
      <c r="T1540" s="153"/>
      <c r="U1540" s="653"/>
      <c r="V1540" s="572"/>
      <c r="W1540" s="572"/>
      <c r="X1540" s="572"/>
      <c r="Y1540" s="572"/>
      <c r="Z1540" s="572"/>
    </row>
    <row r="1541" spans="1:26" s="162" customFormat="1" x14ac:dyDescent="0.2">
      <c r="A1541" s="95">
        <v>11</v>
      </c>
      <c r="B1541" s="163" t="str">
        <f>IF(A1541&lt;&gt;0,INDEX(Coûts,'PA-Détails'!A1541, 2),)</f>
        <v>Atelier technique</v>
      </c>
      <c r="C1541" s="153"/>
      <c r="D1541" s="94" t="str">
        <f>IF(A1541&lt;&gt;0,INDEX(Coûts, 'PA-Détails'!A1541, 5),)</f>
        <v>Pers / j</v>
      </c>
      <c r="E1541" s="164">
        <f>50*3</f>
        <v>150</v>
      </c>
      <c r="F1541" s="168"/>
      <c r="G1541" s="168"/>
      <c r="H1541" s="168"/>
      <c r="I1541" s="168"/>
      <c r="J1541" s="165">
        <f t="shared" si="909"/>
        <v>150</v>
      </c>
      <c r="K1541" s="94">
        <f>IF(A1541&lt;&gt;0,INDEX(Coûts, 'PA-Détails'!A1541, 3),)</f>
        <v>70</v>
      </c>
      <c r="L1541" s="167">
        <f t="shared" si="910"/>
        <v>10500</v>
      </c>
      <c r="M1541" s="168">
        <f t="shared" si="910"/>
        <v>0</v>
      </c>
      <c r="N1541" s="168">
        <f t="shared" si="910"/>
        <v>0</v>
      </c>
      <c r="O1541" s="168">
        <f t="shared" si="910"/>
        <v>0</v>
      </c>
      <c r="P1541" s="271">
        <f t="shared" si="910"/>
        <v>0</v>
      </c>
      <c r="Q1541" s="283">
        <f>SUM(L1541:P1541)</f>
        <v>10500</v>
      </c>
      <c r="R1541" s="169"/>
      <c r="S1541" s="94"/>
      <c r="T1541" s="153"/>
      <c r="U1541" s="653"/>
      <c r="V1541" s="572"/>
      <c r="W1541" s="572"/>
      <c r="X1541" s="572"/>
      <c r="Y1541" s="572"/>
      <c r="Z1541" s="572"/>
    </row>
    <row r="1542" spans="1:26" s="162" customFormat="1" x14ac:dyDescent="0.2">
      <c r="A1542" s="123" t="s">
        <v>1331</v>
      </c>
      <c r="B1542" s="202"/>
      <c r="C1542" s="153"/>
      <c r="D1542" s="203"/>
      <c r="E1542" s="164"/>
      <c r="F1542" s="168"/>
      <c r="G1542" s="168"/>
      <c r="H1542" s="168"/>
      <c r="I1542" s="168"/>
      <c r="J1542" s="165">
        <f t="shared" si="909"/>
        <v>0</v>
      </c>
      <c r="K1542" s="94"/>
      <c r="L1542" s="161">
        <f t="shared" ref="L1542:Q1542" si="911">SUM(L1543:L1544)</f>
        <v>22250</v>
      </c>
      <c r="M1542" s="157">
        <f t="shared" si="911"/>
        <v>0</v>
      </c>
      <c r="N1542" s="157">
        <f t="shared" si="911"/>
        <v>0</v>
      </c>
      <c r="O1542" s="157">
        <f t="shared" si="911"/>
        <v>0</v>
      </c>
      <c r="P1542" s="270">
        <f t="shared" si="911"/>
        <v>0</v>
      </c>
      <c r="Q1542" s="284">
        <f t="shared" si="911"/>
        <v>22250</v>
      </c>
      <c r="R1542" s="223" t="s">
        <v>881</v>
      </c>
      <c r="S1542" s="224" t="s">
        <v>700</v>
      </c>
      <c r="T1542" s="153"/>
      <c r="U1542" s="653"/>
      <c r="V1542" s="572"/>
      <c r="W1542" s="572"/>
      <c r="X1542" s="572"/>
      <c r="Y1542" s="572"/>
      <c r="Z1542" s="572"/>
    </row>
    <row r="1543" spans="1:26" s="162" customFormat="1" x14ac:dyDescent="0.2">
      <c r="A1543" s="95">
        <v>1</v>
      </c>
      <c r="B1543" s="163" t="str">
        <f>IF(A1543&lt;&gt;0,INDEX(Coûts,'PA-Détails'!A1543, 2),)</f>
        <v>Assistance technique internationale (consultants)</v>
      </c>
      <c r="C1543" s="153"/>
      <c r="D1543" s="94" t="str">
        <f>IF(A1543&lt;&gt;0,INDEX(Coûts, 'PA-Détails'!A1543, 5),)</f>
        <v>Pers / j</v>
      </c>
      <c r="E1543" s="164">
        <v>15</v>
      </c>
      <c r="F1543" s="168"/>
      <c r="G1543" s="168"/>
      <c r="H1543" s="168"/>
      <c r="I1543" s="168"/>
      <c r="J1543" s="165">
        <f t="shared" si="909"/>
        <v>15</v>
      </c>
      <c r="K1543" s="94">
        <f>IF(A1543&lt;&gt;0,INDEX(Coûts, 'PA-Détails'!A1543, 3),)</f>
        <v>1150</v>
      </c>
      <c r="L1543" s="167">
        <f t="shared" ref="L1543:P1545" si="912">ROUND(+$K1543*E1543,0)</f>
        <v>17250</v>
      </c>
      <c r="M1543" s="168">
        <f t="shared" si="912"/>
        <v>0</v>
      </c>
      <c r="N1543" s="168">
        <f t="shared" si="912"/>
        <v>0</v>
      </c>
      <c r="O1543" s="168">
        <f t="shared" si="912"/>
        <v>0</v>
      </c>
      <c r="P1543" s="271">
        <f t="shared" si="912"/>
        <v>0</v>
      </c>
      <c r="Q1543" s="283">
        <f>SUM(L1543:P1543)</f>
        <v>17250</v>
      </c>
      <c r="R1543" s="169"/>
      <c r="S1543" s="94"/>
      <c r="T1543" s="153"/>
      <c r="U1543" s="653"/>
      <c r="V1543" s="572"/>
      <c r="W1543" s="572"/>
      <c r="X1543" s="572"/>
      <c r="Y1543" s="572"/>
      <c r="Z1543" s="572"/>
    </row>
    <row r="1544" spans="1:26" s="162" customFormat="1" x14ac:dyDescent="0.2">
      <c r="A1544" s="95">
        <v>6</v>
      </c>
      <c r="B1544" s="163" t="str">
        <f>IF(A1544&lt;&gt;0,INDEX(Coûts,'PA-Détails'!A1544, 2),)</f>
        <v>Édition Rapports</v>
      </c>
      <c r="C1544" s="153"/>
      <c r="D1544" s="94" t="str">
        <f>IF(A1544&lt;&gt;0,INDEX(Coûts, 'PA-Détails'!A1544, 5),)</f>
        <v>Forfait</v>
      </c>
      <c r="E1544" s="164">
        <v>500</v>
      </c>
      <c r="F1544" s="168"/>
      <c r="G1544" s="168"/>
      <c r="H1544" s="168"/>
      <c r="I1544" s="168"/>
      <c r="J1544" s="165">
        <f t="shared" si="909"/>
        <v>500</v>
      </c>
      <c r="K1544" s="94">
        <f>IF(A1544&lt;&gt;0,INDEX(Coûts, 'PA-Détails'!A1544, 3),)</f>
        <v>10</v>
      </c>
      <c r="L1544" s="167">
        <f t="shared" si="912"/>
        <v>5000</v>
      </c>
      <c r="M1544" s="168">
        <f t="shared" si="912"/>
        <v>0</v>
      </c>
      <c r="N1544" s="168">
        <f t="shared" si="912"/>
        <v>0</v>
      </c>
      <c r="O1544" s="168">
        <f t="shared" si="912"/>
        <v>0</v>
      </c>
      <c r="P1544" s="271">
        <f t="shared" si="912"/>
        <v>0</v>
      </c>
      <c r="Q1544" s="283">
        <f>SUM(L1544:P1544)</f>
        <v>5000</v>
      </c>
      <c r="R1544" s="169"/>
      <c r="S1544" s="94"/>
      <c r="T1544" s="153"/>
      <c r="U1544" s="653"/>
      <c r="V1544" s="572"/>
      <c r="W1544" s="572"/>
      <c r="X1544" s="572"/>
      <c r="Y1544" s="572"/>
      <c r="Z1544" s="572"/>
    </row>
    <row r="1545" spans="1:26" s="162" customFormat="1" x14ac:dyDescent="0.2">
      <c r="A1545" s="122" t="s">
        <v>1332</v>
      </c>
      <c r="B1545" s="152"/>
      <c r="C1545" s="51" t="s">
        <v>879</v>
      </c>
      <c r="D1545" s="155"/>
      <c r="E1545" s="156"/>
      <c r="F1545" s="157"/>
      <c r="G1545" s="157"/>
      <c r="H1545" s="157"/>
      <c r="I1545" s="157"/>
      <c r="J1545" s="158">
        <f t="shared" si="909"/>
        <v>0</v>
      </c>
      <c r="K1545" s="208"/>
      <c r="L1545" s="161">
        <f t="shared" si="912"/>
        <v>0</v>
      </c>
      <c r="M1545" s="157">
        <f t="shared" si="912"/>
        <v>0</v>
      </c>
      <c r="N1545" s="157">
        <f t="shared" si="912"/>
        <v>0</v>
      </c>
      <c r="O1545" s="157">
        <f t="shared" si="912"/>
        <v>0</v>
      </c>
      <c r="P1545" s="270">
        <f t="shared" si="912"/>
        <v>0</v>
      </c>
      <c r="Q1545" s="284">
        <f>SUM(L1545:P1545)</f>
        <v>0</v>
      </c>
      <c r="R1545" s="200"/>
      <c r="S1545" s="201"/>
      <c r="T1545" s="154"/>
      <c r="U1545" s="653"/>
      <c r="V1545" s="572"/>
      <c r="W1545" s="572"/>
      <c r="X1545" s="572"/>
      <c r="Y1545" s="572"/>
      <c r="Z1545" s="572"/>
    </row>
    <row r="1546" spans="1:26" s="162" customFormat="1" x14ac:dyDescent="0.2">
      <c r="A1546" s="123" t="s">
        <v>1333</v>
      </c>
      <c r="B1546" s="202"/>
      <c r="C1546" s="153"/>
      <c r="D1546" s="203"/>
      <c r="E1546" s="164"/>
      <c r="F1546" s="168"/>
      <c r="G1546" s="168"/>
      <c r="H1546" s="168"/>
      <c r="I1546" s="168"/>
      <c r="J1546" s="165">
        <f t="shared" si="909"/>
        <v>0</v>
      </c>
      <c r="K1546" s="94"/>
      <c r="L1546" s="161">
        <f t="shared" ref="L1546:Q1546" si="913">SUM(L1547:L1548)</f>
        <v>0</v>
      </c>
      <c r="M1546" s="157">
        <f t="shared" si="913"/>
        <v>27000</v>
      </c>
      <c r="N1546" s="157">
        <f t="shared" si="913"/>
        <v>0</v>
      </c>
      <c r="O1546" s="157">
        <f t="shared" si="913"/>
        <v>0</v>
      </c>
      <c r="P1546" s="270">
        <f t="shared" si="913"/>
        <v>0</v>
      </c>
      <c r="Q1546" s="284">
        <f t="shared" si="913"/>
        <v>27000</v>
      </c>
      <c r="R1546" s="223" t="s">
        <v>881</v>
      </c>
      <c r="S1546" s="224" t="s">
        <v>700</v>
      </c>
      <c r="T1546" s="153"/>
      <c r="U1546" s="653"/>
      <c r="V1546" s="572"/>
      <c r="W1546" s="572"/>
      <c r="X1546" s="572"/>
      <c r="Y1546" s="572"/>
      <c r="Z1546" s="572"/>
    </row>
    <row r="1547" spans="1:26" s="162" customFormat="1" x14ac:dyDescent="0.2">
      <c r="A1547" s="95">
        <v>12</v>
      </c>
      <c r="B1547" s="163" t="str">
        <f>IF(A1547&lt;&gt;0,INDEX(Coûts,'PA-Détails'!A1547, 2),)</f>
        <v>Formation - Action et Formation de formateurs</v>
      </c>
      <c r="C1547" s="153"/>
      <c r="D1547" s="94" t="str">
        <f>IF(A1547&lt;&gt;0,INDEX(Coûts, 'PA-Détails'!A1547, 5),)</f>
        <v>Pers / j</v>
      </c>
      <c r="E1547" s="164"/>
      <c r="F1547" s="168">
        <f>30*1*5</f>
        <v>150</v>
      </c>
      <c r="G1547" s="168"/>
      <c r="H1547" s="168"/>
      <c r="I1547" s="168"/>
      <c r="J1547" s="165">
        <f t="shared" si="909"/>
        <v>150</v>
      </c>
      <c r="K1547" s="94">
        <f>IF(A1547&lt;&gt;0,INDEX(Coûts, 'PA-Détails'!A1547, 3),)</f>
        <v>150</v>
      </c>
      <c r="L1547" s="167">
        <f t="shared" ref="L1547:P1548" si="914">ROUND(+$K1547*E1547,0)</f>
        <v>0</v>
      </c>
      <c r="M1547" s="168">
        <f t="shared" si="914"/>
        <v>22500</v>
      </c>
      <c r="N1547" s="168">
        <f t="shared" si="914"/>
        <v>0</v>
      </c>
      <c r="O1547" s="168">
        <f t="shared" si="914"/>
        <v>0</v>
      </c>
      <c r="P1547" s="271">
        <f t="shared" si="914"/>
        <v>0</v>
      </c>
      <c r="Q1547" s="283">
        <f>SUM(L1547:P1547)</f>
        <v>22500</v>
      </c>
      <c r="R1547" s="169"/>
      <c r="S1547" s="94"/>
      <c r="T1547" s="153"/>
      <c r="U1547" s="653"/>
      <c r="V1547" s="572"/>
      <c r="W1547" s="572"/>
      <c r="X1547" s="572"/>
      <c r="Y1547" s="572"/>
      <c r="Z1547" s="572"/>
    </row>
    <row r="1548" spans="1:26" s="162" customFormat="1" x14ac:dyDescent="0.2">
      <c r="A1548" s="95">
        <v>13</v>
      </c>
      <c r="B1548" s="163" t="str">
        <f>IF(A1548&lt;&gt;0,INDEX(Coûts,'PA-Détails'!A1548, 2),)</f>
        <v>Formation au niveau local</v>
      </c>
      <c r="C1548" s="153"/>
      <c r="D1548" s="94" t="str">
        <f>IF(A1548&lt;&gt;0,INDEX(Coûts, 'PA-Détails'!A1548, 5),)</f>
        <v>Pers / j</v>
      </c>
      <c r="E1548" s="164"/>
      <c r="F1548" s="168">
        <f>30*2*5</f>
        <v>300</v>
      </c>
      <c r="G1548" s="168"/>
      <c r="H1548" s="168"/>
      <c r="I1548" s="168"/>
      <c r="J1548" s="165">
        <f t="shared" si="909"/>
        <v>300</v>
      </c>
      <c r="K1548" s="94">
        <f>IF(A1548&lt;&gt;0,INDEX(Coûts, 'PA-Détails'!A1548, 3),)</f>
        <v>15</v>
      </c>
      <c r="L1548" s="167">
        <f t="shared" si="914"/>
        <v>0</v>
      </c>
      <c r="M1548" s="168">
        <f t="shared" si="914"/>
        <v>4500</v>
      </c>
      <c r="N1548" s="168">
        <f t="shared" si="914"/>
        <v>0</v>
      </c>
      <c r="O1548" s="168">
        <f t="shared" si="914"/>
        <v>0</v>
      </c>
      <c r="P1548" s="271">
        <f t="shared" si="914"/>
        <v>0</v>
      </c>
      <c r="Q1548" s="283">
        <f>SUM(L1548:P1548)</f>
        <v>4500</v>
      </c>
      <c r="R1548" s="169"/>
      <c r="S1548" s="94"/>
      <c r="T1548" s="153"/>
      <c r="U1548" s="653"/>
      <c r="V1548" s="572"/>
      <c r="W1548" s="572"/>
      <c r="X1548" s="572"/>
      <c r="Y1548" s="572"/>
      <c r="Z1548" s="572"/>
    </row>
    <row r="1549" spans="1:26" s="162" customFormat="1" x14ac:dyDescent="0.2">
      <c r="A1549" s="123" t="s">
        <v>1334</v>
      </c>
      <c r="B1549" s="202"/>
      <c r="C1549" s="153"/>
      <c r="D1549" s="203"/>
      <c r="E1549" s="164"/>
      <c r="F1549" s="168"/>
      <c r="G1549" s="168"/>
      <c r="H1549" s="168"/>
      <c r="I1549" s="168"/>
      <c r="J1549" s="165">
        <f t="shared" si="909"/>
        <v>0</v>
      </c>
      <c r="K1549" s="94"/>
      <c r="L1549" s="161">
        <f t="shared" ref="L1549:Q1549" si="915">SUM(L1550:L1551)</f>
        <v>0</v>
      </c>
      <c r="M1549" s="157">
        <f t="shared" si="915"/>
        <v>0</v>
      </c>
      <c r="N1549" s="157">
        <f t="shared" si="915"/>
        <v>48000</v>
      </c>
      <c r="O1549" s="157">
        <f t="shared" si="915"/>
        <v>48000</v>
      </c>
      <c r="P1549" s="270">
        <f t="shared" si="915"/>
        <v>48000</v>
      </c>
      <c r="Q1549" s="284">
        <f t="shared" si="915"/>
        <v>144000</v>
      </c>
      <c r="R1549" s="223" t="s">
        <v>881</v>
      </c>
      <c r="S1549" s="224" t="s">
        <v>700</v>
      </c>
      <c r="T1549" s="153"/>
      <c r="U1549" s="653"/>
      <c r="V1549" s="572"/>
      <c r="W1549" s="572"/>
      <c r="X1549" s="572"/>
      <c r="Y1549" s="572"/>
      <c r="Z1549" s="572"/>
    </row>
    <row r="1550" spans="1:26" s="162" customFormat="1" x14ac:dyDescent="0.2">
      <c r="A1550" s="95">
        <v>6</v>
      </c>
      <c r="B1550" s="163" t="str">
        <f>IF(A1550&lt;&gt;0,INDEX(Coûts,'PA-Détails'!A1550, 2),)</f>
        <v>Édition Rapports</v>
      </c>
      <c r="C1550" s="153"/>
      <c r="D1550" s="94" t="str">
        <f>IF(A1550&lt;&gt;0,INDEX(Coûts, 'PA-Détails'!A1550, 5),)</f>
        <v>Forfait</v>
      </c>
      <c r="E1550" s="164"/>
      <c r="F1550" s="168"/>
      <c r="G1550" s="168">
        <f>30*100</f>
        <v>3000</v>
      </c>
      <c r="H1550" s="168">
        <f>G1550</f>
        <v>3000</v>
      </c>
      <c r="I1550" s="168">
        <f>H1550</f>
        <v>3000</v>
      </c>
      <c r="J1550" s="165">
        <f t="shared" si="909"/>
        <v>9000</v>
      </c>
      <c r="K1550" s="94">
        <f>IF(A1550&lt;&gt;0,INDEX(Coûts, 'PA-Détails'!A1550, 3),)</f>
        <v>10</v>
      </c>
      <c r="L1550" s="167">
        <f t="shared" ref="L1550:P1551" si="916">ROUND(+$K1550*E1550,0)</f>
        <v>0</v>
      </c>
      <c r="M1550" s="168">
        <f t="shared" si="916"/>
        <v>0</v>
      </c>
      <c r="N1550" s="168">
        <f t="shared" si="916"/>
        <v>30000</v>
      </c>
      <c r="O1550" s="168">
        <f t="shared" si="916"/>
        <v>30000</v>
      </c>
      <c r="P1550" s="271">
        <f t="shared" si="916"/>
        <v>30000</v>
      </c>
      <c r="Q1550" s="283">
        <f>SUM(L1550:P1550)</f>
        <v>90000</v>
      </c>
      <c r="R1550" s="169"/>
      <c r="S1550" s="94"/>
      <c r="T1550" s="153"/>
      <c r="U1550" s="653"/>
      <c r="V1550" s="572"/>
      <c r="W1550" s="572"/>
      <c r="X1550" s="572"/>
      <c r="Y1550" s="572"/>
      <c r="Z1550" s="572"/>
    </row>
    <row r="1551" spans="1:26" s="162" customFormat="1" x14ac:dyDescent="0.2">
      <c r="A1551" s="95">
        <v>14</v>
      </c>
      <c r="B1551" s="163" t="str">
        <f>IF(A1551&lt;&gt;0,INDEX(Coûts,'PA-Détails'!A1551, 2),)</f>
        <v>Diffusion des publications sur support numérique (CD/F USB)</v>
      </c>
      <c r="C1551" s="153"/>
      <c r="D1551" s="94" t="str">
        <f>IF(A1551&lt;&gt;0,INDEX(Coûts, 'PA-Détails'!A1551, 5),)</f>
        <v>Forfait</v>
      </c>
      <c r="E1551" s="164"/>
      <c r="F1551" s="168"/>
      <c r="G1551" s="168">
        <f>G1550*2</f>
        <v>6000</v>
      </c>
      <c r="H1551" s="168">
        <f>G1551</f>
        <v>6000</v>
      </c>
      <c r="I1551" s="168">
        <f>H1551</f>
        <v>6000</v>
      </c>
      <c r="J1551" s="165">
        <f t="shared" si="909"/>
        <v>18000</v>
      </c>
      <c r="K1551" s="94">
        <f>IF(A1551&lt;&gt;0,INDEX(Coûts, 'PA-Détails'!A1551, 3),)</f>
        <v>3</v>
      </c>
      <c r="L1551" s="167">
        <f t="shared" si="916"/>
        <v>0</v>
      </c>
      <c r="M1551" s="168">
        <f t="shared" si="916"/>
        <v>0</v>
      </c>
      <c r="N1551" s="168">
        <f t="shared" si="916"/>
        <v>18000</v>
      </c>
      <c r="O1551" s="168">
        <f t="shared" si="916"/>
        <v>18000</v>
      </c>
      <c r="P1551" s="271">
        <f t="shared" si="916"/>
        <v>18000</v>
      </c>
      <c r="Q1551" s="283">
        <f>SUM(L1551:P1551)</f>
        <v>54000</v>
      </c>
      <c r="R1551" s="169"/>
      <c r="S1551" s="94"/>
      <c r="T1551" s="153"/>
      <c r="U1551" s="653"/>
      <c r="V1551" s="572"/>
      <c r="W1551" s="572"/>
      <c r="X1551" s="572"/>
      <c r="Y1551" s="572"/>
      <c r="Z1551" s="572"/>
    </row>
    <row r="1552" spans="1:26" x14ac:dyDescent="0.2">
      <c r="A1552" s="14" t="s">
        <v>1335</v>
      </c>
      <c r="B1552" s="44"/>
      <c r="C1552" s="112"/>
      <c r="D1552" s="15"/>
      <c r="E1552" s="102"/>
      <c r="F1552" s="103"/>
      <c r="G1552" s="103"/>
      <c r="H1552" s="103"/>
      <c r="I1552" s="103"/>
      <c r="J1552" s="104">
        <f t="shared" si="909"/>
        <v>0</v>
      </c>
      <c r="K1552" s="145"/>
      <c r="L1552" s="33">
        <f t="shared" ref="L1552:P1557" si="917">ROUND(+$K1552*E1552,0)</f>
        <v>0</v>
      </c>
      <c r="M1552" s="32">
        <f t="shared" si="917"/>
        <v>0</v>
      </c>
      <c r="N1552" s="32">
        <f t="shared" si="917"/>
        <v>0</v>
      </c>
      <c r="O1552" s="32">
        <f t="shared" si="917"/>
        <v>0</v>
      </c>
      <c r="P1552" s="267">
        <f t="shared" si="917"/>
        <v>0</v>
      </c>
      <c r="Q1552" s="278">
        <f>SUM(L1552:P1552)</f>
        <v>0</v>
      </c>
      <c r="R1552" s="40"/>
      <c r="S1552" s="145"/>
      <c r="T1552" s="49">
        <v>3</v>
      </c>
    </row>
    <row r="1553" spans="1:20" x14ac:dyDescent="0.2">
      <c r="A1553" s="17" t="s">
        <v>1336</v>
      </c>
      <c r="B1553" s="45"/>
      <c r="C1553" s="51" t="s">
        <v>833</v>
      </c>
      <c r="D1553" s="18"/>
      <c r="E1553" s="97"/>
      <c r="F1553" s="98"/>
      <c r="G1553" s="98"/>
      <c r="H1553" s="98"/>
      <c r="I1553" s="98"/>
      <c r="J1553" s="99">
        <f>SUM(E1553:I1553)</f>
        <v>0</v>
      </c>
      <c r="K1553" s="116"/>
      <c r="L1553" s="35">
        <f>ROUND(+$K1553*E1553,0)</f>
        <v>0</v>
      </c>
      <c r="M1553" s="34">
        <f>ROUND(+$K1553*F1553,0)</f>
        <v>0</v>
      </c>
      <c r="N1553" s="34">
        <f>ROUND(+$K1553*G1553,0)</f>
        <v>0</v>
      </c>
      <c r="O1553" s="34">
        <f>ROUND(+$K1553*H1553,0)</f>
        <v>0</v>
      </c>
      <c r="P1553" s="269">
        <f>ROUND(+$K1553*I1553,0)</f>
        <v>0</v>
      </c>
      <c r="Q1553" s="279">
        <f>SUM(L1553:P1553)</f>
        <v>0</v>
      </c>
      <c r="R1553" s="180"/>
      <c r="S1553" s="181"/>
      <c r="T1553" s="50"/>
    </row>
    <row r="1554" spans="1:20" x14ac:dyDescent="0.2">
      <c r="A1554" s="20" t="s">
        <v>1337</v>
      </c>
      <c r="B1554" s="46"/>
      <c r="C1554" s="51"/>
      <c r="D1554" s="21"/>
      <c r="E1554" s="96"/>
      <c r="F1554" s="100"/>
      <c r="G1554" s="100"/>
      <c r="H1554" s="100"/>
      <c r="I1554" s="100"/>
      <c r="J1554" s="101">
        <f>SUM(E1554:I1554)</f>
        <v>0</v>
      </c>
      <c r="K1554" s="115"/>
      <c r="L1554" s="161">
        <f t="shared" ref="L1554:Q1554" si="918">SUM(L1555:L1556)</f>
        <v>13000</v>
      </c>
      <c r="M1554" s="157">
        <f t="shared" si="918"/>
        <v>0</v>
      </c>
      <c r="N1554" s="157">
        <f t="shared" si="918"/>
        <v>0</v>
      </c>
      <c r="O1554" s="157">
        <f t="shared" si="918"/>
        <v>0</v>
      </c>
      <c r="P1554" s="270">
        <f t="shared" si="918"/>
        <v>0</v>
      </c>
      <c r="Q1554" s="284">
        <f t="shared" si="918"/>
        <v>13000</v>
      </c>
      <c r="R1554" s="39" t="s">
        <v>1137</v>
      </c>
      <c r="S1554" s="183" t="s">
        <v>665</v>
      </c>
      <c r="T1554" s="51"/>
    </row>
    <row r="1555" spans="1:20" x14ac:dyDescent="0.2">
      <c r="A1555" s="95">
        <v>2</v>
      </c>
      <c r="B1555" s="108" t="str">
        <f>IF(A1555&lt;&gt;0,INDEX(Coûts,'PA-Détails'!A1555, 2),)</f>
        <v>Assistance technique nationale (consultants)</v>
      </c>
      <c r="C1555" s="51"/>
      <c r="D1555" s="94" t="str">
        <f>IF(A1555&lt;&gt;0,INDEX(Coûts, 'PA-Détails'!A1555, 5),)</f>
        <v>Pers / j</v>
      </c>
      <c r="E1555" s="100">
        <v>20</v>
      </c>
      <c r="G1555" s="100"/>
      <c r="H1555" s="100"/>
      <c r="I1555" s="100"/>
      <c r="J1555" s="101">
        <f>SUM(E1555:I1555)</f>
        <v>20</v>
      </c>
      <c r="K1555" s="115">
        <f>IF(A1555&lt;&gt;0,INDEX(Coûts, 'PA-Détails'!A1555, 3),)</f>
        <v>300</v>
      </c>
      <c r="L1555" s="37">
        <f t="shared" ref="L1555:P1556" si="919">ROUND(+$K1555*E1555,0)</f>
        <v>6000</v>
      </c>
      <c r="M1555" s="36">
        <f t="shared" si="919"/>
        <v>0</v>
      </c>
      <c r="N1555" s="36">
        <f t="shared" si="919"/>
        <v>0</v>
      </c>
      <c r="O1555" s="36">
        <f t="shared" si="919"/>
        <v>0</v>
      </c>
      <c r="P1555" s="268">
        <f t="shared" si="919"/>
        <v>0</v>
      </c>
      <c r="Q1555" s="281">
        <f>SUM(L1555:P1555)</f>
        <v>6000</v>
      </c>
      <c r="R1555" s="39"/>
      <c r="S1555" s="115"/>
      <c r="T1555" s="51"/>
    </row>
    <row r="1556" spans="1:20" x14ac:dyDescent="0.2">
      <c r="A1556" s="95">
        <v>11</v>
      </c>
      <c r="B1556" s="108" t="str">
        <f>IF(A1556&lt;&gt;0,INDEX(Coûts,'PA-Détails'!A1556, 2),)</f>
        <v>Atelier technique</v>
      </c>
      <c r="C1556" s="51"/>
      <c r="D1556" s="94" t="str">
        <f>IF(A1556&lt;&gt;0,INDEX(Coûts, 'PA-Détails'!A1556, 5),)</f>
        <v>Pers / j</v>
      </c>
      <c r="E1556" s="100">
        <v>100</v>
      </c>
      <c r="G1556" s="100"/>
      <c r="H1556" s="100"/>
      <c r="I1556" s="100"/>
      <c r="J1556" s="101">
        <f>SUM(E1556:I1556)</f>
        <v>100</v>
      </c>
      <c r="K1556" s="115">
        <f>IF(A1556&lt;&gt;0,INDEX(Coûts, 'PA-Détails'!A1556, 3),)</f>
        <v>70</v>
      </c>
      <c r="L1556" s="37">
        <f t="shared" si="919"/>
        <v>7000</v>
      </c>
      <c r="M1556" s="36">
        <f t="shared" si="919"/>
        <v>0</v>
      </c>
      <c r="N1556" s="36">
        <f t="shared" si="919"/>
        <v>0</v>
      </c>
      <c r="O1556" s="36">
        <f t="shared" si="919"/>
        <v>0</v>
      </c>
      <c r="P1556" s="268">
        <f t="shared" si="919"/>
        <v>0</v>
      </c>
      <c r="Q1556" s="281">
        <f>SUM(L1556:P1556)</f>
        <v>7000</v>
      </c>
      <c r="R1556" s="39"/>
      <c r="S1556" s="115"/>
      <c r="T1556" s="51"/>
    </row>
    <row r="1557" spans="1:20" x14ac:dyDescent="0.2">
      <c r="A1557" s="17" t="s">
        <v>1363</v>
      </c>
      <c r="B1557" s="45"/>
      <c r="C1557" s="51"/>
      <c r="D1557" s="18"/>
      <c r="E1557" s="97"/>
      <c r="F1557" s="98"/>
      <c r="G1557" s="98"/>
      <c r="H1557" s="98"/>
      <c r="I1557" s="98"/>
      <c r="J1557" s="99">
        <f t="shared" si="909"/>
        <v>0</v>
      </c>
      <c r="K1557" s="116"/>
      <c r="L1557" s="35">
        <f t="shared" si="917"/>
        <v>0</v>
      </c>
      <c r="M1557" s="34">
        <f t="shared" si="917"/>
        <v>0</v>
      </c>
      <c r="N1557" s="34">
        <f t="shared" si="917"/>
        <v>0</v>
      </c>
      <c r="O1557" s="34">
        <f t="shared" si="917"/>
        <v>0</v>
      </c>
      <c r="P1557" s="269">
        <f t="shared" si="917"/>
        <v>0</v>
      </c>
      <c r="Q1557" s="279">
        <f>SUM(L1557:P1557)</f>
        <v>0</v>
      </c>
      <c r="R1557" s="38"/>
      <c r="S1557" s="116"/>
      <c r="T1557" s="50"/>
    </row>
    <row r="1558" spans="1:20" x14ac:dyDescent="0.2">
      <c r="A1558" s="20" t="s">
        <v>1364</v>
      </c>
      <c r="B1558" s="46"/>
      <c r="C1558" s="51"/>
      <c r="D1558" s="21"/>
      <c r="E1558" s="96"/>
      <c r="F1558" s="100"/>
      <c r="G1558" s="100"/>
      <c r="H1558" s="100"/>
      <c r="I1558" s="100"/>
      <c r="J1558" s="101">
        <f t="shared" si="909"/>
        <v>0</v>
      </c>
      <c r="K1558" s="115"/>
      <c r="L1558" s="161">
        <f t="shared" ref="L1558:Q1558" si="920">SUM(L1559:L1560)</f>
        <v>0</v>
      </c>
      <c r="M1558" s="157">
        <f t="shared" si="920"/>
        <v>25500</v>
      </c>
      <c r="N1558" s="157">
        <f t="shared" si="920"/>
        <v>0</v>
      </c>
      <c r="O1558" s="157">
        <f t="shared" si="920"/>
        <v>0</v>
      </c>
      <c r="P1558" s="270">
        <f t="shared" si="920"/>
        <v>0</v>
      </c>
      <c r="Q1558" s="284">
        <f t="shared" si="920"/>
        <v>25500</v>
      </c>
      <c r="R1558" s="39" t="s">
        <v>1137</v>
      </c>
      <c r="S1558" s="115" t="s">
        <v>589</v>
      </c>
      <c r="T1558" s="51"/>
    </row>
    <row r="1559" spans="1:20" x14ac:dyDescent="0.2">
      <c r="A1559" s="95">
        <v>1</v>
      </c>
      <c r="B1559" s="108" t="str">
        <f>IF(A1559&lt;&gt;0,INDEX(Coûts,'PA-Détails'!A1559, 2),)</f>
        <v>Assistance technique internationale (consultants)</v>
      </c>
      <c r="C1559" s="51"/>
      <c r="D1559" s="94" t="str">
        <f>IF(A1559&lt;&gt;0,INDEX(Coûts, 'PA-Détails'!A1559, 5),)</f>
        <v>Pers / j</v>
      </c>
      <c r="E1559" s="96"/>
      <c r="F1559" s="100">
        <v>20</v>
      </c>
      <c r="G1559" s="100"/>
      <c r="H1559" s="100"/>
      <c r="I1559" s="100"/>
      <c r="J1559" s="101">
        <f t="shared" si="909"/>
        <v>20</v>
      </c>
      <c r="K1559" s="115">
        <f>IF(A1559&lt;&gt;0,INDEX(Coûts, 'PA-Détails'!A1559, 3),)</f>
        <v>1150</v>
      </c>
      <c r="L1559" s="37">
        <f t="shared" ref="L1559:P1561" si="921">ROUND(+$K1559*E1559,0)</f>
        <v>0</v>
      </c>
      <c r="M1559" s="36">
        <f t="shared" si="921"/>
        <v>23000</v>
      </c>
      <c r="N1559" s="36">
        <f t="shared" si="921"/>
        <v>0</v>
      </c>
      <c r="O1559" s="36">
        <f t="shared" si="921"/>
        <v>0</v>
      </c>
      <c r="P1559" s="268">
        <f t="shared" si="921"/>
        <v>0</v>
      </c>
      <c r="Q1559" s="281">
        <f>SUM(L1559:P1559)</f>
        <v>23000</v>
      </c>
      <c r="R1559" s="39"/>
      <c r="S1559" s="115"/>
      <c r="T1559" s="51"/>
    </row>
    <row r="1560" spans="1:20" x14ac:dyDescent="0.2">
      <c r="A1560" s="95">
        <v>5</v>
      </c>
      <c r="B1560" s="108" t="str">
        <f>IF(A1560&lt;&gt;0,INDEX(Coûts,'PA-Détails'!A1560, 2),)</f>
        <v>Atelier de validation</v>
      </c>
      <c r="C1560" s="51"/>
      <c r="D1560" s="94" t="str">
        <f>IF(A1560&lt;&gt;0,INDEX(Coûts, 'PA-Détails'!A1560, 5),)</f>
        <v>Pers / j</v>
      </c>
      <c r="E1560" s="96"/>
      <c r="F1560" s="100">
        <v>50</v>
      </c>
      <c r="G1560" s="100"/>
      <c r="H1560" s="100"/>
      <c r="I1560" s="100"/>
      <c r="J1560" s="101">
        <f t="shared" si="909"/>
        <v>50</v>
      </c>
      <c r="K1560" s="115">
        <f>IF(A1560&lt;&gt;0,INDEX(Coûts, 'PA-Détails'!A1560, 3),)</f>
        <v>50</v>
      </c>
      <c r="L1560" s="37">
        <f t="shared" si="921"/>
        <v>0</v>
      </c>
      <c r="M1560" s="36">
        <f t="shared" si="921"/>
        <v>2500</v>
      </c>
      <c r="N1560" s="36">
        <f t="shared" si="921"/>
        <v>0</v>
      </c>
      <c r="O1560" s="36">
        <f t="shared" si="921"/>
        <v>0</v>
      </c>
      <c r="P1560" s="268">
        <f t="shared" si="921"/>
        <v>0</v>
      </c>
      <c r="Q1560" s="281">
        <f>SUM(L1560:P1560)</f>
        <v>2500</v>
      </c>
      <c r="R1560" s="39"/>
      <c r="S1560" s="115"/>
      <c r="T1560" s="51"/>
    </row>
    <row r="1561" spans="1:20" x14ac:dyDescent="0.2">
      <c r="A1561" s="17" t="s">
        <v>1365</v>
      </c>
      <c r="B1561" s="45"/>
      <c r="C1561" s="51"/>
      <c r="D1561" s="18"/>
      <c r="E1561" s="97"/>
      <c r="F1561" s="98"/>
      <c r="G1561" s="98"/>
      <c r="H1561" s="98"/>
      <c r="I1561" s="98"/>
      <c r="J1561" s="99">
        <f t="shared" si="909"/>
        <v>0</v>
      </c>
      <c r="K1561" s="116"/>
      <c r="L1561" s="35">
        <f t="shared" si="921"/>
        <v>0</v>
      </c>
      <c r="M1561" s="34">
        <f t="shared" si="921"/>
        <v>0</v>
      </c>
      <c r="N1561" s="34">
        <f t="shared" si="921"/>
        <v>0</v>
      </c>
      <c r="O1561" s="34">
        <f t="shared" si="921"/>
        <v>0</v>
      </c>
      <c r="P1561" s="269">
        <f t="shared" si="921"/>
        <v>0</v>
      </c>
      <c r="Q1561" s="279">
        <f>SUM(L1561:P1561)</f>
        <v>0</v>
      </c>
      <c r="R1561" s="38"/>
      <c r="S1561" s="116"/>
      <c r="T1561" s="50"/>
    </row>
    <row r="1562" spans="1:20" x14ac:dyDescent="0.2">
      <c r="A1562" s="20" t="s">
        <v>1366</v>
      </c>
      <c r="B1562" s="46"/>
      <c r="C1562" s="51"/>
      <c r="D1562" s="21"/>
      <c r="E1562" s="96"/>
      <c r="F1562" s="100"/>
      <c r="G1562" s="100"/>
      <c r="H1562" s="100"/>
      <c r="I1562" s="100"/>
      <c r="J1562" s="101">
        <f t="shared" si="909"/>
        <v>0</v>
      </c>
      <c r="K1562" s="115"/>
      <c r="L1562" s="161">
        <f t="shared" ref="L1562:Q1562" si="922">SUM(L1563:L1565)</f>
        <v>0</v>
      </c>
      <c r="M1562" s="157">
        <f t="shared" si="922"/>
        <v>0</v>
      </c>
      <c r="N1562" s="157">
        <f t="shared" si="922"/>
        <v>31500</v>
      </c>
      <c r="O1562" s="157">
        <f t="shared" si="922"/>
        <v>0</v>
      </c>
      <c r="P1562" s="270">
        <f t="shared" si="922"/>
        <v>0</v>
      </c>
      <c r="Q1562" s="284">
        <f t="shared" si="922"/>
        <v>31500</v>
      </c>
      <c r="R1562" s="39" t="str">
        <f>R1558</f>
        <v>SPACE</v>
      </c>
      <c r="S1562" s="115" t="s">
        <v>589</v>
      </c>
      <c r="T1562" s="51"/>
    </row>
    <row r="1563" spans="1:20" x14ac:dyDescent="0.2">
      <c r="A1563" s="95">
        <v>1</v>
      </c>
      <c r="B1563" s="108" t="str">
        <f>IF(A1563&lt;&gt;0,INDEX(Coûts,'PA-Détails'!A1563, 2),)</f>
        <v>Assistance technique internationale (consultants)</v>
      </c>
      <c r="C1563" s="51"/>
      <c r="D1563" s="94" t="str">
        <f>IF(A1563&lt;&gt;0,INDEX(Coûts, 'PA-Détails'!A1563, 5),)</f>
        <v>Pers / j</v>
      </c>
      <c r="E1563" s="96"/>
      <c r="F1563" s="100"/>
      <c r="G1563" s="100">
        <v>20</v>
      </c>
      <c r="H1563" s="100"/>
      <c r="I1563" s="100"/>
      <c r="J1563" s="101">
        <f t="shared" si="909"/>
        <v>20</v>
      </c>
      <c r="K1563" s="115">
        <f>IF(A1563&lt;&gt;0,INDEX(Coûts, 'PA-Détails'!A1563, 3),)</f>
        <v>1150</v>
      </c>
      <c r="L1563" s="37">
        <f t="shared" ref="L1563:P1565" si="923">ROUND(+$K1563*E1563,0)</f>
        <v>0</v>
      </c>
      <c r="M1563" s="36">
        <f t="shared" si="923"/>
        <v>0</v>
      </c>
      <c r="N1563" s="36">
        <f t="shared" si="923"/>
        <v>23000</v>
      </c>
      <c r="O1563" s="36">
        <f t="shared" si="923"/>
        <v>0</v>
      </c>
      <c r="P1563" s="268">
        <f t="shared" si="923"/>
        <v>0</v>
      </c>
      <c r="Q1563" s="281">
        <f>SUM(L1563:P1563)</f>
        <v>23000</v>
      </c>
      <c r="R1563" s="39"/>
      <c r="S1563" s="115"/>
      <c r="T1563" s="51"/>
    </row>
    <row r="1564" spans="1:20" x14ac:dyDescent="0.2">
      <c r="A1564" s="95">
        <v>11</v>
      </c>
      <c r="B1564" s="108" t="str">
        <f>IF(A1564&lt;&gt;0,INDEX(Coûts,'PA-Détails'!A1564, 2),)</f>
        <v>Atelier technique</v>
      </c>
      <c r="C1564" s="51"/>
      <c r="D1564" s="94" t="str">
        <f>IF(A1564&lt;&gt;0,INDEX(Coûts, 'PA-Détails'!A1564, 5),)</f>
        <v>Pers / j</v>
      </c>
      <c r="E1564" s="96"/>
      <c r="F1564" s="100"/>
      <c r="G1564" s="100">
        <v>50</v>
      </c>
      <c r="H1564" s="100"/>
      <c r="I1564" s="100"/>
      <c r="J1564" s="101">
        <f t="shared" si="909"/>
        <v>50</v>
      </c>
      <c r="K1564" s="115">
        <f>IF(A1564&lt;&gt;0,INDEX(Coûts, 'PA-Détails'!A1564, 3),)</f>
        <v>70</v>
      </c>
      <c r="L1564" s="37">
        <f t="shared" si="923"/>
        <v>0</v>
      </c>
      <c r="M1564" s="36">
        <f t="shared" si="923"/>
        <v>0</v>
      </c>
      <c r="N1564" s="36">
        <f t="shared" si="923"/>
        <v>3500</v>
      </c>
      <c r="O1564" s="36">
        <f t="shared" si="923"/>
        <v>0</v>
      </c>
      <c r="P1564" s="268">
        <f t="shared" si="923"/>
        <v>0</v>
      </c>
      <c r="Q1564" s="281">
        <f>SUM(L1564:P1564)</f>
        <v>3500</v>
      </c>
      <c r="R1564" s="39"/>
      <c r="S1564" s="115"/>
      <c r="T1564" s="51"/>
    </row>
    <row r="1565" spans="1:20" x14ac:dyDescent="0.2">
      <c r="A1565" s="95">
        <v>5</v>
      </c>
      <c r="B1565" s="108" t="str">
        <f>IF(A1565&lt;&gt;0,INDEX(Coûts,'PA-Détails'!A1565, 2),)</f>
        <v>Atelier de validation</v>
      </c>
      <c r="C1565" s="51"/>
      <c r="D1565" s="94" t="str">
        <f>IF(A1565&lt;&gt;0,INDEX(Coûts, 'PA-Détails'!A1565, 5),)</f>
        <v>Pers / j</v>
      </c>
      <c r="E1565" s="96"/>
      <c r="F1565" s="100"/>
      <c r="G1565" s="100">
        <v>100</v>
      </c>
      <c r="H1565" s="100"/>
      <c r="I1565" s="100"/>
      <c r="J1565" s="101">
        <f t="shared" si="909"/>
        <v>100</v>
      </c>
      <c r="K1565" s="115">
        <f>IF(A1565&lt;&gt;0,INDEX(Coûts, 'PA-Détails'!A1565, 3),)</f>
        <v>50</v>
      </c>
      <c r="L1565" s="37">
        <f t="shared" si="923"/>
        <v>0</v>
      </c>
      <c r="M1565" s="36">
        <f t="shared" si="923"/>
        <v>0</v>
      </c>
      <c r="N1565" s="36">
        <f t="shared" si="923"/>
        <v>5000</v>
      </c>
      <c r="O1565" s="36">
        <f t="shared" si="923"/>
        <v>0</v>
      </c>
      <c r="P1565" s="268">
        <f t="shared" si="923"/>
        <v>0</v>
      </c>
      <c r="Q1565" s="281">
        <f>SUM(L1565:P1565)</f>
        <v>5000</v>
      </c>
      <c r="R1565" s="39"/>
      <c r="S1565" s="115"/>
      <c r="T1565" s="51"/>
    </row>
    <row r="1566" spans="1:20" x14ac:dyDescent="0.2">
      <c r="A1566" s="20" t="s">
        <v>1367</v>
      </c>
      <c r="B1566" s="46"/>
      <c r="C1566" s="51"/>
      <c r="D1566" s="21"/>
      <c r="E1566" s="96"/>
      <c r="F1566" s="100"/>
      <c r="G1566" s="100"/>
      <c r="H1566" s="100"/>
      <c r="I1566" s="100"/>
      <c r="J1566" s="101">
        <f t="shared" si="909"/>
        <v>0</v>
      </c>
      <c r="K1566" s="115"/>
      <c r="L1566" s="161">
        <f t="shared" ref="L1566:Q1566" si="924">SUM(L1567:L1568)</f>
        <v>0</v>
      </c>
      <c r="M1566" s="157">
        <f t="shared" si="924"/>
        <v>0</v>
      </c>
      <c r="N1566" s="157">
        <f t="shared" si="924"/>
        <v>14000</v>
      </c>
      <c r="O1566" s="157">
        <f t="shared" si="924"/>
        <v>0</v>
      </c>
      <c r="P1566" s="270">
        <f t="shared" si="924"/>
        <v>0</v>
      </c>
      <c r="Q1566" s="284">
        <f t="shared" si="924"/>
        <v>14000</v>
      </c>
      <c r="R1566" s="39" t="s">
        <v>1411</v>
      </c>
      <c r="S1566" s="115" t="s">
        <v>589</v>
      </c>
      <c r="T1566" s="51"/>
    </row>
    <row r="1567" spans="1:20" x14ac:dyDescent="0.2">
      <c r="A1567" s="95">
        <v>1</v>
      </c>
      <c r="B1567" s="108" t="str">
        <f>IF(A1567&lt;&gt;0,INDEX(Coûts,'PA-Détails'!A1567, 2),)</f>
        <v>Assistance technique internationale (consultants)</v>
      </c>
      <c r="C1567" s="51"/>
      <c r="D1567" s="94" t="str">
        <f>IF(A1567&lt;&gt;0,INDEX(Coûts, 'PA-Détails'!A1567, 5),)</f>
        <v>Pers / j</v>
      </c>
      <c r="E1567" s="96"/>
      <c r="F1567" s="100"/>
      <c r="G1567" s="100">
        <v>10</v>
      </c>
      <c r="H1567" s="100"/>
      <c r="I1567" s="100"/>
      <c r="J1567" s="101">
        <f t="shared" si="909"/>
        <v>10</v>
      </c>
      <c r="K1567" s="115">
        <f>IF(A1567&lt;&gt;0,INDEX(Coûts, 'PA-Détails'!A1567, 3),)</f>
        <v>1150</v>
      </c>
      <c r="L1567" s="37">
        <f t="shared" ref="L1567:P1569" si="925">ROUND(+$K1567*E1567,0)</f>
        <v>0</v>
      </c>
      <c r="M1567" s="36">
        <f t="shared" si="925"/>
        <v>0</v>
      </c>
      <c r="N1567" s="36">
        <f t="shared" si="925"/>
        <v>11500</v>
      </c>
      <c r="O1567" s="36">
        <f t="shared" si="925"/>
        <v>0</v>
      </c>
      <c r="P1567" s="268">
        <f t="shared" si="925"/>
        <v>0</v>
      </c>
      <c r="Q1567" s="281">
        <f>SUM(L1567:P1567)</f>
        <v>11500</v>
      </c>
      <c r="R1567" s="39"/>
      <c r="S1567" s="115"/>
      <c r="T1567" s="51"/>
    </row>
    <row r="1568" spans="1:20" x14ac:dyDescent="0.2">
      <c r="A1568" s="95">
        <v>5</v>
      </c>
      <c r="B1568" s="108" t="str">
        <f>IF(A1568&lt;&gt;0,INDEX(Coûts,'PA-Détails'!A1568, 2),)</f>
        <v>Atelier de validation</v>
      </c>
      <c r="C1568" s="51"/>
      <c r="D1568" s="94" t="str">
        <f>IF(A1568&lt;&gt;0,INDEX(Coûts, 'PA-Détails'!A1568, 5),)</f>
        <v>Pers / j</v>
      </c>
      <c r="E1568" s="96"/>
      <c r="F1568" s="100"/>
      <c r="G1568" s="100">
        <v>50</v>
      </c>
      <c r="H1568" s="100"/>
      <c r="I1568" s="100"/>
      <c r="J1568" s="101">
        <f t="shared" si="909"/>
        <v>50</v>
      </c>
      <c r="K1568" s="115">
        <f>IF(A1568&lt;&gt;0,INDEX(Coûts, 'PA-Détails'!A1568, 3),)</f>
        <v>50</v>
      </c>
      <c r="L1568" s="37">
        <f t="shared" si="925"/>
        <v>0</v>
      </c>
      <c r="M1568" s="36">
        <f t="shared" si="925"/>
        <v>0</v>
      </c>
      <c r="N1568" s="36">
        <f t="shared" si="925"/>
        <v>2500</v>
      </c>
      <c r="O1568" s="36">
        <f t="shared" si="925"/>
        <v>0</v>
      </c>
      <c r="P1568" s="268">
        <f t="shared" si="925"/>
        <v>0</v>
      </c>
      <c r="Q1568" s="281">
        <f>SUM(L1568:P1568)</f>
        <v>2500</v>
      </c>
      <c r="R1568" s="39"/>
      <c r="S1568" s="115"/>
      <c r="T1568" s="51"/>
    </row>
    <row r="1569" spans="1:20" x14ac:dyDescent="0.2">
      <c r="A1569" s="17" t="s">
        <v>1368</v>
      </c>
      <c r="B1569" s="45"/>
      <c r="C1569" s="51"/>
      <c r="D1569" s="18"/>
      <c r="E1569" s="97"/>
      <c r="F1569" s="98"/>
      <c r="G1569" s="98"/>
      <c r="H1569" s="98"/>
      <c r="I1569" s="98"/>
      <c r="J1569" s="99">
        <f t="shared" si="909"/>
        <v>0</v>
      </c>
      <c r="K1569" s="116"/>
      <c r="L1569" s="35">
        <f t="shared" si="925"/>
        <v>0</v>
      </c>
      <c r="M1569" s="34">
        <f t="shared" si="925"/>
        <v>0</v>
      </c>
      <c r="N1569" s="34">
        <f t="shared" si="925"/>
        <v>0</v>
      </c>
      <c r="O1569" s="34">
        <f t="shared" si="925"/>
        <v>0</v>
      </c>
      <c r="P1569" s="269">
        <f t="shared" si="925"/>
        <v>0</v>
      </c>
      <c r="Q1569" s="279">
        <f>SUM(L1569:P1569)</f>
        <v>0</v>
      </c>
      <c r="R1569" s="38"/>
      <c r="S1569" s="116"/>
      <c r="T1569" s="50"/>
    </row>
    <row r="1570" spans="1:20" x14ac:dyDescent="0.2">
      <c r="A1570" s="20" t="s">
        <v>1369</v>
      </c>
      <c r="B1570" s="46"/>
      <c r="C1570" s="51"/>
      <c r="D1570" s="21"/>
      <c r="E1570" s="96"/>
      <c r="F1570" s="100"/>
      <c r="G1570" s="100"/>
      <c r="H1570" s="100"/>
      <c r="I1570" s="100"/>
      <c r="J1570" s="101">
        <f t="shared" ref="J1570:J1590" si="926">SUM(E1570:I1570)</f>
        <v>0</v>
      </c>
      <c r="K1570" s="115"/>
      <c r="L1570" s="161">
        <f t="shared" ref="L1570:Q1570" si="927">SUM(L1571:L1572)</f>
        <v>11500</v>
      </c>
      <c r="M1570" s="157">
        <f t="shared" si="927"/>
        <v>0</v>
      </c>
      <c r="N1570" s="157">
        <f t="shared" si="927"/>
        <v>0</v>
      </c>
      <c r="O1570" s="157">
        <f t="shared" si="927"/>
        <v>0</v>
      </c>
      <c r="P1570" s="270">
        <f t="shared" si="927"/>
        <v>0</v>
      </c>
      <c r="Q1570" s="284">
        <f t="shared" si="927"/>
        <v>11500</v>
      </c>
      <c r="R1570" s="39" t="s">
        <v>1140</v>
      </c>
      <c r="S1570" s="115" t="s">
        <v>589</v>
      </c>
      <c r="T1570" s="51"/>
    </row>
    <row r="1571" spans="1:20" x14ac:dyDescent="0.2">
      <c r="A1571" s="95">
        <v>2</v>
      </c>
      <c r="B1571" s="108" t="str">
        <f>IF(A1571&lt;&gt;0,INDEX(Coûts,'PA-Détails'!A1571, 2),)</f>
        <v>Assistance technique nationale (consultants)</v>
      </c>
      <c r="C1571" s="51"/>
      <c r="D1571" s="94" t="str">
        <f>IF(A1571&lt;&gt;0,INDEX(Coûts, 'PA-Détails'!A1571, 5),)</f>
        <v>Pers / j</v>
      </c>
      <c r="E1571" s="96">
        <v>30</v>
      </c>
      <c r="F1571" s="100"/>
      <c r="G1571" s="100"/>
      <c r="H1571" s="100"/>
      <c r="I1571" s="100"/>
      <c r="J1571" s="101">
        <f t="shared" si="926"/>
        <v>30</v>
      </c>
      <c r="K1571" s="115">
        <f>IF(A1571&lt;&gt;0,INDEX(Coûts, 'PA-Détails'!A1571, 3),)</f>
        <v>300</v>
      </c>
      <c r="L1571" s="37">
        <f t="shared" ref="L1571:P1573" si="928">ROUND(+$K1571*E1571,0)</f>
        <v>9000</v>
      </c>
      <c r="M1571" s="36">
        <f t="shared" si="928"/>
        <v>0</v>
      </c>
      <c r="N1571" s="36">
        <f t="shared" si="928"/>
        <v>0</v>
      </c>
      <c r="O1571" s="36">
        <f t="shared" si="928"/>
        <v>0</v>
      </c>
      <c r="P1571" s="268">
        <f t="shared" si="928"/>
        <v>0</v>
      </c>
      <c r="Q1571" s="281">
        <f>SUM(L1571:P1571)</f>
        <v>9000</v>
      </c>
      <c r="R1571" s="39"/>
      <c r="S1571" s="115"/>
      <c r="T1571" s="51"/>
    </row>
    <row r="1572" spans="1:20" x14ac:dyDescent="0.2">
      <c r="A1572" s="95">
        <v>5</v>
      </c>
      <c r="B1572" s="108" t="str">
        <f>IF(A1572&lt;&gt;0,INDEX(Coûts,'PA-Détails'!A1572, 2),)</f>
        <v>Atelier de validation</v>
      </c>
      <c r="C1572" s="51"/>
      <c r="D1572" s="94" t="str">
        <f>IF(A1572&lt;&gt;0,INDEX(Coûts, 'PA-Détails'!A1572, 5),)</f>
        <v>Pers / j</v>
      </c>
      <c r="E1572" s="96">
        <v>50</v>
      </c>
      <c r="F1572" s="100"/>
      <c r="G1572" s="100"/>
      <c r="H1572" s="100"/>
      <c r="I1572" s="100"/>
      <c r="J1572" s="101">
        <f t="shared" si="926"/>
        <v>50</v>
      </c>
      <c r="K1572" s="115">
        <f>IF(A1572&lt;&gt;0,INDEX(Coûts, 'PA-Détails'!A1572, 3),)</f>
        <v>50</v>
      </c>
      <c r="L1572" s="37">
        <f t="shared" si="928"/>
        <v>2500</v>
      </c>
      <c r="M1572" s="36">
        <f t="shared" si="928"/>
        <v>0</v>
      </c>
      <c r="N1572" s="36">
        <f t="shared" si="928"/>
        <v>0</v>
      </c>
      <c r="O1572" s="36">
        <f t="shared" si="928"/>
        <v>0</v>
      </c>
      <c r="P1572" s="268">
        <f t="shared" si="928"/>
        <v>0</v>
      </c>
      <c r="Q1572" s="281">
        <f>SUM(L1572:P1572)</f>
        <v>2500</v>
      </c>
      <c r="R1572" s="39"/>
      <c r="S1572" s="115"/>
      <c r="T1572" s="51"/>
    </row>
    <row r="1573" spans="1:20" x14ac:dyDescent="0.2">
      <c r="A1573" s="17" t="s">
        <v>1370</v>
      </c>
      <c r="B1573" s="45"/>
      <c r="C1573" s="51"/>
      <c r="D1573" s="18"/>
      <c r="E1573" s="97"/>
      <c r="F1573" s="98"/>
      <c r="G1573" s="98"/>
      <c r="H1573" s="98"/>
      <c r="I1573" s="98"/>
      <c r="J1573" s="99">
        <f t="shared" si="926"/>
        <v>0</v>
      </c>
      <c r="K1573" s="116"/>
      <c r="L1573" s="35">
        <f t="shared" si="928"/>
        <v>0</v>
      </c>
      <c r="M1573" s="34">
        <f t="shared" si="928"/>
        <v>0</v>
      </c>
      <c r="N1573" s="34">
        <f t="shared" si="928"/>
        <v>0</v>
      </c>
      <c r="O1573" s="34">
        <f t="shared" si="928"/>
        <v>0</v>
      </c>
      <c r="P1573" s="269">
        <f t="shared" si="928"/>
        <v>0</v>
      </c>
      <c r="Q1573" s="279">
        <f>SUM(L1573:P1573)</f>
        <v>0</v>
      </c>
      <c r="R1573" s="38"/>
      <c r="S1573" s="116"/>
      <c r="T1573" s="50"/>
    </row>
    <row r="1574" spans="1:20" x14ac:dyDescent="0.2">
      <c r="A1574" s="20" t="s">
        <v>1371</v>
      </c>
      <c r="B1574" s="46"/>
      <c r="C1574" s="51"/>
      <c r="D1574" s="21"/>
      <c r="E1574" s="96"/>
      <c r="F1574" s="100"/>
      <c r="G1574" s="100"/>
      <c r="H1574" s="100"/>
      <c r="I1574" s="100"/>
      <c r="J1574" s="101">
        <f t="shared" si="926"/>
        <v>0</v>
      </c>
      <c r="K1574" s="115"/>
      <c r="L1574" s="161">
        <f t="shared" ref="L1574:Q1574" si="929">SUM(L1575:L1577)</f>
        <v>34500</v>
      </c>
      <c r="M1574" s="157">
        <f t="shared" si="929"/>
        <v>0</v>
      </c>
      <c r="N1574" s="157">
        <f t="shared" si="929"/>
        <v>0</v>
      </c>
      <c r="O1574" s="157">
        <f t="shared" si="929"/>
        <v>0</v>
      </c>
      <c r="P1574" s="270">
        <f t="shared" si="929"/>
        <v>0</v>
      </c>
      <c r="Q1574" s="284">
        <f t="shared" si="929"/>
        <v>34500</v>
      </c>
      <c r="R1574" s="39" t="s">
        <v>1140</v>
      </c>
      <c r="S1574" s="115" t="s">
        <v>589</v>
      </c>
      <c r="T1574" s="51"/>
    </row>
    <row r="1575" spans="1:20" x14ac:dyDescent="0.2">
      <c r="A1575" s="95">
        <v>1</v>
      </c>
      <c r="B1575" s="108" t="str">
        <f>IF(A1575&lt;&gt;0,INDEX(Coûts,'PA-Détails'!A1575, 2),)</f>
        <v>Assistance technique internationale (consultants)</v>
      </c>
      <c r="C1575" s="51"/>
      <c r="D1575" s="94" t="str">
        <f>IF(A1575&lt;&gt;0,INDEX(Coûts, 'PA-Détails'!A1575, 5),)</f>
        <v>Pers / j</v>
      </c>
      <c r="E1575" s="96">
        <v>20</v>
      </c>
      <c r="F1575" s="100"/>
      <c r="G1575" s="100"/>
      <c r="H1575" s="100"/>
      <c r="I1575" s="100"/>
      <c r="J1575" s="101">
        <f t="shared" si="926"/>
        <v>20</v>
      </c>
      <c r="K1575" s="115">
        <f>IF(A1575&lt;&gt;0,INDEX(Coûts, 'PA-Détails'!A1575, 3),)</f>
        <v>1150</v>
      </c>
      <c r="L1575" s="37">
        <f t="shared" ref="L1575:P1578" si="930">ROUND(+$K1575*E1575,0)</f>
        <v>23000</v>
      </c>
      <c r="M1575" s="36">
        <f t="shared" si="930"/>
        <v>0</v>
      </c>
      <c r="N1575" s="36">
        <f t="shared" si="930"/>
        <v>0</v>
      </c>
      <c r="O1575" s="36">
        <f t="shared" si="930"/>
        <v>0</v>
      </c>
      <c r="P1575" s="268">
        <f t="shared" si="930"/>
        <v>0</v>
      </c>
      <c r="Q1575" s="281">
        <f>SUM(L1575:P1575)</f>
        <v>23000</v>
      </c>
      <c r="R1575" s="39"/>
      <c r="S1575" s="115"/>
      <c r="T1575" s="51"/>
    </row>
    <row r="1576" spans="1:20" x14ac:dyDescent="0.2">
      <c r="A1576" s="95">
        <v>2</v>
      </c>
      <c r="B1576" s="108" t="str">
        <f>IF(A1576&lt;&gt;0,INDEX(Coûts,'PA-Détails'!A1576, 2),)</f>
        <v>Assistance technique nationale (consultants)</v>
      </c>
      <c r="C1576" s="51"/>
      <c r="D1576" s="94" t="str">
        <f>IF(A1576&lt;&gt;0,INDEX(Coûts, 'PA-Détails'!A1576, 5),)</f>
        <v>Pers / j</v>
      </c>
      <c r="E1576" s="96">
        <v>30</v>
      </c>
      <c r="F1576" s="100"/>
      <c r="G1576" s="100"/>
      <c r="H1576" s="100"/>
      <c r="I1576" s="100"/>
      <c r="J1576" s="101">
        <f t="shared" si="926"/>
        <v>30</v>
      </c>
      <c r="K1576" s="115">
        <f>IF(A1576&lt;&gt;0,INDEX(Coûts, 'PA-Détails'!A1576, 3),)</f>
        <v>300</v>
      </c>
      <c r="L1576" s="37">
        <f t="shared" si="930"/>
        <v>9000</v>
      </c>
      <c r="M1576" s="36">
        <f t="shared" si="930"/>
        <v>0</v>
      </c>
      <c r="N1576" s="36">
        <f t="shared" si="930"/>
        <v>0</v>
      </c>
      <c r="O1576" s="36">
        <f t="shared" si="930"/>
        <v>0</v>
      </c>
      <c r="P1576" s="268">
        <f t="shared" si="930"/>
        <v>0</v>
      </c>
      <c r="Q1576" s="281">
        <f>SUM(L1576:P1576)</f>
        <v>9000</v>
      </c>
      <c r="R1576" s="39"/>
      <c r="S1576" s="115"/>
      <c r="T1576" s="51"/>
    </row>
    <row r="1577" spans="1:20" x14ac:dyDescent="0.2">
      <c r="A1577" s="95">
        <v>5</v>
      </c>
      <c r="B1577" s="108" t="str">
        <f>IF(A1577&lt;&gt;0,INDEX(Coûts,'PA-Détails'!A1577, 2),)</f>
        <v>Atelier de validation</v>
      </c>
      <c r="C1577" s="51"/>
      <c r="D1577" s="94" t="str">
        <f>IF(A1577&lt;&gt;0,INDEX(Coûts, 'PA-Détails'!A1577, 5),)</f>
        <v>Pers / j</v>
      </c>
      <c r="E1577" s="96">
        <v>50</v>
      </c>
      <c r="F1577" s="100"/>
      <c r="G1577" s="100"/>
      <c r="H1577" s="100"/>
      <c r="I1577" s="100"/>
      <c r="J1577" s="101">
        <f t="shared" si="926"/>
        <v>50</v>
      </c>
      <c r="K1577" s="115">
        <f>IF(A1577&lt;&gt;0,INDEX(Coûts, 'PA-Détails'!A1577, 3),)</f>
        <v>50</v>
      </c>
      <c r="L1577" s="37">
        <f t="shared" si="930"/>
        <v>2500</v>
      </c>
      <c r="M1577" s="36">
        <f t="shared" si="930"/>
        <v>0</v>
      </c>
      <c r="N1577" s="36">
        <f t="shared" si="930"/>
        <v>0</v>
      </c>
      <c r="O1577" s="36">
        <f t="shared" si="930"/>
        <v>0</v>
      </c>
      <c r="P1577" s="268">
        <f t="shared" si="930"/>
        <v>0</v>
      </c>
      <c r="Q1577" s="281">
        <f>SUM(L1577:P1577)</f>
        <v>2500</v>
      </c>
      <c r="R1577" s="39"/>
      <c r="S1577" s="115"/>
      <c r="T1577" s="51"/>
    </row>
    <row r="1578" spans="1:20" x14ac:dyDescent="0.2">
      <c r="A1578" s="17" t="s">
        <v>1372</v>
      </c>
      <c r="B1578" s="45"/>
      <c r="C1578" s="51"/>
      <c r="D1578" s="18"/>
      <c r="E1578" s="97"/>
      <c r="F1578" s="98"/>
      <c r="G1578" s="98"/>
      <c r="H1578" s="98"/>
      <c r="I1578" s="98"/>
      <c r="J1578" s="99">
        <f t="shared" si="926"/>
        <v>0</v>
      </c>
      <c r="K1578" s="116"/>
      <c r="L1578" s="35">
        <f t="shared" si="930"/>
        <v>0</v>
      </c>
      <c r="M1578" s="34">
        <f t="shared" si="930"/>
        <v>0</v>
      </c>
      <c r="N1578" s="34">
        <f t="shared" si="930"/>
        <v>0</v>
      </c>
      <c r="O1578" s="34">
        <f t="shared" si="930"/>
        <v>0</v>
      </c>
      <c r="P1578" s="269">
        <f t="shared" si="930"/>
        <v>0</v>
      </c>
      <c r="Q1578" s="279">
        <f>SUM(L1578:P1578)</f>
        <v>0</v>
      </c>
      <c r="R1578" s="38"/>
      <c r="S1578" s="116"/>
      <c r="T1578" s="50"/>
    </row>
    <row r="1579" spans="1:20" x14ac:dyDescent="0.2">
      <c r="A1579" s="20" t="s">
        <v>1373</v>
      </c>
      <c r="B1579" s="46"/>
      <c r="C1579" s="51"/>
      <c r="D1579" s="21"/>
      <c r="E1579" s="96"/>
      <c r="F1579" s="100"/>
      <c r="G1579" s="100"/>
      <c r="H1579" s="100"/>
      <c r="I1579" s="100"/>
      <c r="J1579" s="101">
        <f t="shared" si="926"/>
        <v>0</v>
      </c>
      <c r="K1579" s="115"/>
      <c r="L1579" s="161">
        <f t="shared" ref="L1579:Q1579" si="931">SUM(L1580:L1582)</f>
        <v>0</v>
      </c>
      <c r="M1579" s="157">
        <f t="shared" si="931"/>
        <v>19600</v>
      </c>
      <c r="N1579" s="157">
        <f t="shared" si="931"/>
        <v>0</v>
      </c>
      <c r="O1579" s="157">
        <f t="shared" si="931"/>
        <v>0</v>
      </c>
      <c r="P1579" s="270">
        <f t="shared" si="931"/>
        <v>0</v>
      </c>
      <c r="Q1579" s="284">
        <f t="shared" si="931"/>
        <v>19600</v>
      </c>
      <c r="R1579" s="39" t="s">
        <v>1139</v>
      </c>
      <c r="S1579" s="115" t="s">
        <v>589</v>
      </c>
      <c r="T1579" s="51"/>
    </row>
    <row r="1580" spans="1:20" x14ac:dyDescent="0.2">
      <c r="A1580" s="95">
        <v>2</v>
      </c>
      <c r="B1580" s="108" t="str">
        <f>IF(A1580&lt;&gt;0,INDEX(Coûts,'PA-Détails'!A1580, 2),)</f>
        <v>Assistance technique nationale (consultants)</v>
      </c>
      <c r="C1580" s="51"/>
      <c r="D1580" s="94" t="str">
        <f>IF(A1580&lt;&gt;0,INDEX(Coûts, 'PA-Détails'!A1580, 5),)</f>
        <v>Pers / j</v>
      </c>
      <c r="E1580" s="96"/>
      <c r="F1580" s="100">
        <v>30</v>
      </c>
      <c r="G1580" s="100"/>
      <c r="H1580" s="100"/>
      <c r="I1580" s="100"/>
      <c r="J1580" s="101">
        <f t="shared" si="926"/>
        <v>30</v>
      </c>
      <c r="K1580" s="115">
        <f>IF(A1580&lt;&gt;0,INDEX(Coûts, 'PA-Détails'!A1580, 3),)</f>
        <v>300</v>
      </c>
      <c r="L1580" s="37">
        <f t="shared" ref="L1580:P1583" si="932">ROUND(+$K1580*E1580,0)</f>
        <v>0</v>
      </c>
      <c r="M1580" s="36">
        <f t="shared" si="932"/>
        <v>9000</v>
      </c>
      <c r="N1580" s="36">
        <f t="shared" si="932"/>
        <v>0</v>
      </c>
      <c r="O1580" s="36">
        <f t="shared" si="932"/>
        <v>0</v>
      </c>
      <c r="P1580" s="268">
        <f t="shared" si="932"/>
        <v>0</v>
      </c>
      <c r="Q1580" s="281">
        <f>SUM(L1580:P1580)</f>
        <v>9000</v>
      </c>
      <c r="R1580" s="39"/>
      <c r="S1580" s="115"/>
      <c r="T1580" s="51"/>
    </row>
    <row r="1581" spans="1:20" x14ac:dyDescent="0.2">
      <c r="A1581" s="95">
        <v>11</v>
      </c>
      <c r="B1581" s="108" t="str">
        <f>IF(A1581&lt;&gt;0,INDEX(Coûts,'PA-Détails'!A1581, 2),)</f>
        <v>Atelier technique</v>
      </c>
      <c r="C1581" s="51"/>
      <c r="D1581" s="94" t="str">
        <f>IF(A1581&lt;&gt;0,INDEX(Coûts, 'PA-Détails'!A1581, 5),)</f>
        <v>Pers / j</v>
      </c>
      <c r="E1581" s="96"/>
      <c r="F1581" s="100">
        <f>4*20</f>
        <v>80</v>
      </c>
      <c r="G1581" s="100"/>
      <c r="H1581" s="100"/>
      <c r="I1581" s="100"/>
      <c r="J1581" s="101">
        <f t="shared" si="926"/>
        <v>80</v>
      </c>
      <c r="K1581" s="115">
        <f>IF(A1581&lt;&gt;0,INDEX(Coûts, 'PA-Détails'!A1581, 3),)</f>
        <v>70</v>
      </c>
      <c r="L1581" s="37">
        <f t="shared" si="932"/>
        <v>0</v>
      </c>
      <c r="M1581" s="36">
        <f t="shared" si="932"/>
        <v>5600</v>
      </c>
      <c r="N1581" s="36">
        <f t="shared" si="932"/>
        <v>0</v>
      </c>
      <c r="O1581" s="36">
        <f t="shared" si="932"/>
        <v>0</v>
      </c>
      <c r="P1581" s="268">
        <f t="shared" si="932"/>
        <v>0</v>
      </c>
      <c r="Q1581" s="281">
        <f>SUM(L1581:P1581)</f>
        <v>5600</v>
      </c>
      <c r="R1581" s="39"/>
      <c r="S1581" s="115"/>
      <c r="T1581" s="51"/>
    </row>
    <row r="1582" spans="1:20" x14ac:dyDescent="0.2">
      <c r="A1582" s="95">
        <v>5</v>
      </c>
      <c r="B1582" s="108" t="str">
        <f>IF(A1582&lt;&gt;0,INDEX(Coûts,'PA-Détails'!A1582, 2),)</f>
        <v>Atelier de validation</v>
      </c>
      <c r="C1582" s="51"/>
      <c r="D1582" s="94" t="str">
        <f>IF(A1582&lt;&gt;0,INDEX(Coûts, 'PA-Détails'!A1582, 5),)</f>
        <v>Pers / j</v>
      </c>
      <c r="E1582" s="96"/>
      <c r="F1582" s="100">
        <v>100</v>
      </c>
      <c r="G1582" s="100"/>
      <c r="H1582" s="100"/>
      <c r="I1582" s="100"/>
      <c r="J1582" s="101">
        <f t="shared" si="926"/>
        <v>100</v>
      </c>
      <c r="K1582" s="115">
        <f>IF(A1582&lt;&gt;0,INDEX(Coûts, 'PA-Détails'!A1582, 3),)</f>
        <v>50</v>
      </c>
      <c r="L1582" s="37">
        <f t="shared" si="932"/>
        <v>0</v>
      </c>
      <c r="M1582" s="36">
        <f t="shared" si="932"/>
        <v>5000</v>
      </c>
      <c r="N1582" s="36">
        <f t="shared" si="932"/>
        <v>0</v>
      </c>
      <c r="O1582" s="36">
        <f t="shared" si="932"/>
        <v>0</v>
      </c>
      <c r="P1582" s="268">
        <f t="shared" si="932"/>
        <v>0</v>
      </c>
      <c r="Q1582" s="281">
        <f>SUM(L1582:P1582)</f>
        <v>5000</v>
      </c>
      <c r="R1582" s="39"/>
      <c r="S1582" s="115"/>
      <c r="T1582" s="51"/>
    </row>
    <row r="1583" spans="1:20" x14ac:dyDescent="0.2">
      <c r="A1583" s="17" t="s">
        <v>1374</v>
      </c>
      <c r="B1583" s="45"/>
      <c r="C1583" s="51"/>
      <c r="D1583" s="18"/>
      <c r="E1583" s="97"/>
      <c r="F1583" s="98"/>
      <c r="G1583" s="98"/>
      <c r="H1583" s="98"/>
      <c r="I1583" s="98"/>
      <c r="J1583" s="99">
        <f t="shared" si="926"/>
        <v>0</v>
      </c>
      <c r="K1583" s="116"/>
      <c r="L1583" s="35">
        <f t="shared" si="932"/>
        <v>0</v>
      </c>
      <c r="M1583" s="34">
        <f t="shared" si="932"/>
        <v>0</v>
      </c>
      <c r="N1583" s="34">
        <f t="shared" si="932"/>
        <v>0</v>
      </c>
      <c r="O1583" s="34">
        <f t="shared" si="932"/>
        <v>0</v>
      </c>
      <c r="P1583" s="269">
        <f t="shared" si="932"/>
        <v>0</v>
      </c>
      <c r="Q1583" s="279">
        <f>SUM(L1583:P1583)</f>
        <v>0</v>
      </c>
      <c r="R1583" s="38"/>
      <c r="S1583" s="116"/>
      <c r="T1583" s="50"/>
    </row>
    <row r="1584" spans="1:20" x14ac:dyDescent="0.2">
      <c r="A1584" s="20" t="s">
        <v>1375</v>
      </c>
      <c r="B1584" s="46"/>
      <c r="C1584" s="51"/>
      <c r="D1584" s="21"/>
      <c r="E1584" s="96"/>
      <c r="F1584" s="100"/>
      <c r="G1584" s="100"/>
      <c r="H1584" s="100"/>
      <c r="I1584" s="100"/>
      <c r="J1584" s="101">
        <f t="shared" si="926"/>
        <v>0</v>
      </c>
      <c r="K1584" s="115"/>
      <c r="L1584" s="161">
        <f t="shared" ref="L1584:Q1584" si="933">SUM(L1585:L1586)</f>
        <v>4400</v>
      </c>
      <c r="M1584" s="157">
        <f t="shared" si="933"/>
        <v>4400</v>
      </c>
      <c r="N1584" s="157">
        <f t="shared" si="933"/>
        <v>4400</v>
      </c>
      <c r="O1584" s="157">
        <f t="shared" si="933"/>
        <v>4400</v>
      </c>
      <c r="P1584" s="270">
        <f t="shared" si="933"/>
        <v>4400</v>
      </c>
      <c r="Q1584" s="284">
        <f t="shared" si="933"/>
        <v>22000</v>
      </c>
      <c r="R1584" s="39" t="s">
        <v>836</v>
      </c>
      <c r="S1584" s="115" t="s">
        <v>665</v>
      </c>
      <c r="T1584" s="51"/>
    </row>
    <row r="1585" spans="1:20" x14ac:dyDescent="0.2">
      <c r="A1585" s="95">
        <v>2</v>
      </c>
      <c r="B1585" s="108" t="str">
        <f>IF(A1585&lt;&gt;0,INDEX(Coûts,'PA-Détails'!A1585, 2),)</f>
        <v>Assistance technique nationale (consultants)</v>
      </c>
      <c r="C1585" s="51"/>
      <c r="D1585" s="94" t="str">
        <f>IF(A1585&lt;&gt;0,INDEX(Coûts, 'PA-Détails'!A1585, 5),)</f>
        <v>Pers / j</v>
      </c>
      <c r="E1585" s="96">
        <v>10</v>
      </c>
      <c r="F1585" s="100">
        <v>10</v>
      </c>
      <c r="G1585" s="100">
        <v>10</v>
      </c>
      <c r="H1585" s="100">
        <v>10</v>
      </c>
      <c r="I1585" s="100">
        <v>10</v>
      </c>
      <c r="J1585" s="101">
        <f t="shared" si="926"/>
        <v>50</v>
      </c>
      <c r="K1585" s="115">
        <f>IF(A1585&lt;&gt;0,INDEX(Coûts, 'PA-Détails'!A1585, 3),)</f>
        <v>300</v>
      </c>
      <c r="L1585" s="37">
        <f t="shared" ref="L1585:P1586" si="934">ROUND(+$K1585*E1585,0)</f>
        <v>3000</v>
      </c>
      <c r="M1585" s="36">
        <f t="shared" si="934"/>
        <v>3000</v>
      </c>
      <c r="N1585" s="36">
        <f t="shared" si="934"/>
        <v>3000</v>
      </c>
      <c r="O1585" s="36">
        <f t="shared" si="934"/>
        <v>3000</v>
      </c>
      <c r="P1585" s="268">
        <f t="shared" si="934"/>
        <v>3000</v>
      </c>
      <c r="Q1585" s="281">
        <f>SUM(L1585:P1585)</f>
        <v>15000</v>
      </c>
      <c r="R1585" s="39"/>
      <c r="S1585" s="115"/>
      <c r="T1585" s="51"/>
    </row>
    <row r="1586" spans="1:20" x14ac:dyDescent="0.2">
      <c r="A1586" s="95">
        <v>11</v>
      </c>
      <c r="B1586" s="108" t="str">
        <f>IF(A1586&lt;&gt;0,INDEX(Coûts,'PA-Détails'!A1586, 2),)</f>
        <v>Atelier technique</v>
      </c>
      <c r="C1586" s="51"/>
      <c r="D1586" s="94" t="str">
        <f>IF(A1586&lt;&gt;0,INDEX(Coûts, 'PA-Détails'!A1586, 5),)</f>
        <v>Pers / j</v>
      </c>
      <c r="E1586" s="96">
        <v>20</v>
      </c>
      <c r="F1586" s="100">
        <v>20</v>
      </c>
      <c r="G1586" s="100">
        <v>20</v>
      </c>
      <c r="H1586" s="100">
        <v>20</v>
      </c>
      <c r="I1586" s="100">
        <v>20</v>
      </c>
      <c r="J1586" s="101">
        <f t="shared" si="926"/>
        <v>100</v>
      </c>
      <c r="K1586" s="115">
        <f>IF(A1586&lt;&gt;0,INDEX(Coûts, 'PA-Détails'!A1586, 3),)</f>
        <v>70</v>
      </c>
      <c r="L1586" s="37">
        <f t="shared" si="934"/>
        <v>1400</v>
      </c>
      <c r="M1586" s="36">
        <f t="shared" si="934"/>
        <v>1400</v>
      </c>
      <c r="N1586" s="36">
        <f t="shared" si="934"/>
        <v>1400</v>
      </c>
      <c r="O1586" s="36">
        <f t="shared" si="934"/>
        <v>1400</v>
      </c>
      <c r="P1586" s="268">
        <f t="shared" si="934"/>
        <v>1400</v>
      </c>
      <c r="Q1586" s="281">
        <f>SUM(L1586:P1586)</f>
        <v>7000</v>
      </c>
      <c r="R1586" s="39"/>
      <c r="S1586" s="115"/>
      <c r="T1586" s="51"/>
    </row>
    <row r="1587" spans="1:20" x14ac:dyDescent="0.2">
      <c r="A1587" s="20" t="s">
        <v>1376</v>
      </c>
      <c r="B1587" s="46"/>
      <c r="C1587" s="51"/>
      <c r="D1587" s="21"/>
      <c r="E1587" s="96"/>
      <c r="F1587" s="100"/>
      <c r="G1587" s="100"/>
      <c r="H1587" s="100"/>
      <c r="I1587" s="100"/>
      <c r="J1587" s="101">
        <f t="shared" si="926"/>
        <v>0</v>
      </c>
      <c r="K1587" s="115"/>
      <c r="L1587" s="161">
        <f t="shared" ref="L1587:Q1587" si="935">SUM(L1588:L1588)</f>
        <v>1080000</v>
      </c>
      <c r="M1587" s="157">
        <f t="shared" si="935"/>
        <v>1080000</v>
      </c>
      <c r="N1587" s="157">
        <f t="shared" si="935"/>
        <v>1080000</v>
      </c>
      <c r="O1587" s="157">
        <f t="shared" si="935"/>
        <v>1080000</v>
      </c>
      <c r="P1587" s="270">
        <f t="shared" si="935"/>
        <v>1080000</v>
      </c>
      <c r="Q1587" s="284">
        <f t="shared" si="935"/>
        <v>5400000</v>
      </c>
      <c r="R1587" s="39" t="s">
        <v>836</v>
      </c>
      <c r="S1587" s="115" t="s">
        <v>665</v>
      </c>
      <c r="T1587" s="51"/>
    </row>
    <row r="1588" spans="1:20" x14ac:dyDescent="0.2">
      <c r="A1588" s="95">
        <v>36</v>
      </c>
      <c r="B1588" s="108" t="str">
        <f>IF(A1588&lt;&gt;0,INDEX(Coûts,'PA-Détails'!A1588, 2),)</f>
        <v>Réhabilitation de salle de classe (primaire et secondaire)/conflit et/ou catastrophe naturelle</v>
      </c>
      <c r="C1588" s="51"/>
      <c r="D1588" s="94" t="str">
        <f>IF(A1588&lt;&gt;0,INDEX(Coûts, 'PA-Détails'!A1588, 5),)</f>
        <v>Forfait</v>
      </c>
      <c r="E1588" s="96">
        <v>100</v>
      </c>
      <c r="F1588" s="100">
        <v>100</v>
      </c>
      <c r="G1588" s="100">
        <v>100</v>
      </c>
      <c r="H1588" s="100">
        <v>100</v>
      </c>
      <c r="I1588" s="100">
        <v>100</v>
      </c>
      <c r="J1588" s="101">
        <f t="shared" si="926"/>
        <v>500</v>
      </c>
      <c r="K1588" s="115">
        <f>IF(A1588&lt;&gt;0,INDEX(Coûts, 'PA-Détails'!A1588, 3),)</f>
        <v>10800</v>
      </c>
      <c r="L1588" s="37">
        <f>ROUND(+$K1588*E1588,0)</f>
        <v>1080000</v>
      </c>
      <c r="M1588" s="36">
        <f>ROUND(+$K1588*F1588,0)</f>
        <v>1080000</v>
      </c>
      <c r="N1588" s="36">
        <f>ROUND(+$K1588*G1588,0)</f>
        <v>1080000</v>
      </c>
      <c r="O1588" s="36">
        <f>ROUND(+$K1588*H1588,0)</f>
        <v>1080000</v>
      </c>
      <c r="P1588" s="268">
        <f>ROUND(+$K1588*I1588,0)</f>
        <v>1080000</v>
      </c>
      <c r="Q1588" s="281">
        <f>SUM(L1588:P1588)</f>
        <v>5400000</v>
      </c>
      <c r="R1588" s="39"/>
      <c r="S1588" s="115"/>
      <c r="T1588" s="51"/>
    </row>
    <row r="1589" spans="1:20" x14ac:dyDescent="0.2">
      <c r="A1589" s="20" t="s">
        <v>1377</v>
      </c>
      <c r="B1589" s="46"/>
      <c r="C1589" s="51"/>
      <c r="D1589" s="21"/>
      <c r="E1589" s="96"/>
      <c r="F1589" s="100"/>
      <c r="G1589" s="100"/>
      <c r="H1589" s="100"/>
      <c r="I1589" s="100"/>
      <c r="J1589" s="101">
        <f t="shared" si="926"/>
        <v>0</v>
      </c>
      <c r="K1589" s="115"/>
      <c r="L1589" s="161">
        <f t="shared" ref="L1589:Q1589" si="936">SUM(L1590:L1590)</f>
        <v>150000</v>
      </c>
      <c r="M1589" s="157">
        <f t="shared" si="936"/>
        <v>150000</v>
      </c>
      <c r="N1589" s="157">
        <f t="shared" si="936"/>
        <v>150000</v>
      </c>
      <c r="O1589" s="157">
        <f t="shared" si="936"/>
        <v>150000</v>
      </c>
      <c r="P1589" s="270">
        <f t="shared" si="936"/>
        <v>150000</v>
      </c>
      <c r="Q1589" s="284">
        <f t="shared" si="936"/>
        <v>750000</v>
      </c>
      <c r="R1589" s="39" t="s">
        <v>836</v>
      </c>
      <c r="S1589" s="115" t="s">
        <v>665</v>
      </c>
      <c r="T1589" s="51"/>
    </row>
    <row r="1590" spans="1:20" x14ac:dyDescent="0.2">
      <c r="A1590" s="95">
        <v>39</v>
      </c>
      <c r="B1590" s="108" t="str">
        <f>IF(A1590&lt;&gt;0,INDEX(Coûts,'PA-Détails'!A1590, 2),)</f>
        <v>Installation d'infrastructures temporaires d'apprentissage (1 école de 6 classes)</v>
      </c>
      <c r="C1590" s="51"/>
      <c r="D1590" s="94" t="str">
        <f>IF(A1590&lt;&gt;0,INDEX(Coûts, 'PA-Détails'!A1590, 5),)</f>
        <v>Forfait</v>
      </c>
      <c r="E1590" s="96">
        <v>250</v>
      </c>
      <c r="F1590" s="100">
        <v>250</v>
      </c>
      <c r="G1590" s="100">
        <v>250</v>
      </c>
      <c r="H1590" s="100">
        <v>250</v>
      </c>
      <c r="I1590" s="100">
        <v>250</v>
      </c>
      <c r="J1590" s="101">
        <f t="shared" si="926"/>
        <v>1250</v>
      </c>
      <c r="K1590" s="115">
        <f>IF(A1590&lt;&gt;0,INDEX(Coûts, 'PA-Détails'!A1590, 3),)</f>
        <v>600</v>
      </c>
      <c r="L1590" s="37">
        <f>ROUND(+$K1590*E1590,0)</f>
        <v>150000</v>
      </c>
      <c r="M1590" s="36">
        <f>ROUND(+$K1590*F1590,0)</f>
        <v>150000</v>
      </c>
      <c r="N1590" s="36">
        <f>ROUND(+$K1590*G1590,0)</f>
        <v>150000</v>
      </c>
      <c r="O1590" s="36">
        <f>ROUND(+$K1590*H1590,0)</f>
        <v>150000</v>
      </c>
      <c r="P1590" s="268">
        <f>ROUND(+$K1590*I1590,0)</f>
        <v>150000</v>
      </c>
      <c r="Q1590" s="281">
        <f>SUM(L1590:P1590)</f>
        <v>750000</v>
      </c>
      <c r="R1590" s="39"/>
      <c r="S1590" s="115"/>
      <c r="T1590" s="51"/>
    </row>
    <row r="1591" spans="1:20" x14ac:dyDescent="0.2">
      <c r="A1591" s="20" t="s">
        <v>1338</v>
      </c>
      <c r="B1591" s="108"/>
      <c r="C1591" s="51"/>
      <c r="D1591" s="94"/>
      <c r="E1591" s="96"/>
      <c r="F1591" s="100"/>
      <c r="G1591" s="100"/>
      <c r="H1591" s="100"/>
      <c r="I1591" s="100"/>
      <c r="J1591" s="101"/>
      <c r="K1591" s="115"/>
      <c r="L1591" s="161">
        <f t="shared" ref="L1591:Q1591" si="937">SUM(L1592:L1592)</f>
        <v>875000</v>
      </c>
      <c r="M1591" s="157">
        <f t="shared" si="937"/>
        <v>875000</v>
      </c>
      <c r="N1591" s="157">
        <f t="shared" si="937"/>
        <v>875000</v>
      </c>
      <c r="O1591" s="157">
        <f t="shared" si="937"/>
        <v>875000</v>
      </c>
      <c r="P1591" s="270">
        <f t="shared" si="937"/>
        <v>875000</v>
      </c>
      <c r="Q1591" s="284">
        <f t="shared" si="937"/>
        <v>4375000</v>
      </c>
      <c r="R1591" s="39" t="s">
        <v>836</v>
      </c>
      <c r="S1591" s="115" t="s">
        <v>665</v>
      </c>
      <c r="T1591" s="51"/>
    </row>
    <row r="1592" spans="1:20" x14ac:dyDescent="0.2">
      <c r="A1592" s="95">
        <v>71</v>
      </c>
      <c r="B1592" s="108" t="str">
        <f>IF(A1592&lt;&gt;0,INDEX(Coûts,'PA-Détails'!A1592, 2),)</f>
        <v>Equipement scolaire pour structure temporaire d'apprentissage (pour une école de 6 classes)</v>
      </c>
      <c r="C1592" s="51"/>
      <c r="D1592" s="94" t="str">
        <f>IF(A1592&lt;&gt;0,INDEX(Coûts, 'PA-Détails'!A1592, 5),)</f>
        <v>Budget/an</v>
      </c>
      <c r="E1592" s="96">
        <v>250</v>
      </c>
      <c r="F1592" s="100">
        <v>250</v>
      </c>
      <c r="G1592" s="100">
        <v>250</v>
      </c>
      <c r="H1592" s="100">
        <v>250</v>
      </c>
      <c r="I1592" s="100">
        <v>250</v>
      </c>
      <c r="J1592" s="101">
        <f t="shared" ref="J1592:J1605" si="938">SUM(E1592:I1592)</f>
        <v>1250</v>
      </c>
      <c r="K1592" s="115">
        <f>IF(A1592&lt;&gt;0,INDEX(Coûts, 'PA-Détails'!A1592, 3),)</f>
        <v>3500</v>
      </c>
      <c r="L1592" s="37">
        <f t="shared" ref="L1592:P1593" si="939">ROUND(+$K1592*E1592,0)</f>
        <v>875000</v>
      </c>
      <c r="M1592" s="36">
        <f t="shared" si="939"/>
        <v>875000</v>
      </c>
      <c r="N1592" s="36">
        <f t="shared" si="939"/>
        <v>875000</v>
      </c>
      <c r="O1592" s="36">
        <f t="shared" si="939"/>
        <v>875000</v>
      </c>
      <c r="P1592" s="268">
        <f t="shared" si="939"/>
        <v>875000</v>
      </c>
      <c r="Q1592" s="281">
        <f>SUM(L1592:P1592)</f>
        <v>4375000</v>
      </c>
      <c r="R1592" s="39"/>
      <c r="S1592" s="115"/>
      <c r="T1592" s="51"/>
    </row>
    <row r="1593" spans="1:20" x14ac:dyDescent="0.2">
      <c r="A1593" s="17" t="s">
        <v>1378</v>
      </c>
      <c r="B1593" s="45"/>
      <c r="C1593" s="51"/>
      <c r="D1593" s="18"/>
      <c r="E1593" s="97"/>
      <c r="F1593" s="98"/>
      <c r="G1593" s="98"/>
      <c r="H1593" s="98"/>
      <c r="I1593" s="98"/>
      <c r="J1593" s="99">
        <f t="shared" si="938"/>
        <v>0</v>
      </c>
      <c r="K1593" s="116"/>
      <c r="L1593" s="35">
        <f t="shared" si="939"/>
        <v>0</v>
      </c>
      <c r="M1593" s="34">
        <f t="shared" si="939"/>
        <v>0</v>
      </c>
      <c r="N1593" s="34">
        <f t="shared" si="939"/>
        <v>0</v>
      </c>
      <c r="O1593" s="34">
        <f t="shared" si="939"/>
        <v>0</v>
      </c>
      <c r="P1593" s="269">
        <f t="shared" si="939"/>
        <v>0</v>
      </c>
      <c r="Q1593" s="279">
        <f>SUM(L1593:P1593)</f>
        <v>0</v>
      </c>
      <c r="R1593" s="38"/>
      <c r="S1593" s="116"/>
      <c r="T1593" s="50"/>
    </row>
    <row r="1594" spans="1:20" x14ac:dyDescent="0.2">
      <c r="A1594" s="20" t="s">
        <v>1379</v>
      </c>
      <c r="B1594" s="46"/>
      <c r="C1594" s="51"/>
      <c r="D1594" s="21"/>
      <c r="E1594" s="96"/>
      <c r="F1594" s="100"/>
      <c r="G1594" s="100"/>
      <c r="H1594" s="100"/>
      <c r="I1594" s="100"/>
      <c r="J1594" s="101">
        <f t="shared" si="938"/>
        <v>0</v>
      </c>
      <c r="K1594" s="115"/>
      <c r="L1594" s="161">
        <f t="shared" ref="L1594:Q1594" si="940">SUM(L1595:L1595)</f>
        <v>25000</v>
      </c>
      <c r="M1594" s="157">
        <f t="shared" si="940"/>
        <v>25000</v>
      </c>
      <c r="N1594" s="157">
        <f t="shared" si="940"/>
        <v>25000</v>
      </c>
      <c r="O1594" s="157">
        <f t="shared" si="940"/>
        <v>25000</v>
      </c>
      <c r="P1594" s="270">
        <f t="shared" si="940"/>
        <v>25000</v>
      </c>
      <c r="Q1594" s="284">
        <f t="shared" si="940"/>
        <v>125000</v>
      </c>
      <c r="R1594" s="39" t="s">
        <v>782</v>
      </c>
      <c r="S1594" s="115" t="s">
        <v>665</v>
      </c>
      <c r="T1594" s="51"/>
    </row>
    <row r="1595" spans="1:20" x14ac:dyDescent="0.2">
      <c r="A1595" s="95">
        <v>222</v>
      </c>
      <c r="B1595" s="108" t="str">
        <f>IF(A1595&lt;&gt;0,INDEX(Coûts,'PA-Détails'!A1595, 2),)</f>
        <v>Mission en province des services déconcentrés</v>
      </c>
      <c r="C1595" s="51"/>
      <c r="D1595" s="94" t="str">
        <f>IF(A1595&lt;&gt;0,INDEX(Coûts, 'PA-Détails'!A1595, 5),)</f>
        <v>P/j</v>
      </c>
      <c r="E1595" s="96">
        <f>250*2</f>
        <v>500</v>
      </c>
      <c r="F1595" s="100">
        <f>250*2</f>
        <v>500</v>
      </c>
      <c r="G1595" s="100">
        <f>250*2</f>
        <v>500</v>
      </c>
      <c r="H1595" s="100">
        <f>250*2</f>
        <v>500</v>
      </c>
      <c r="I1595" s="100">
        <f>250*2</f>
        <v>500</v>
      </c>
      <c r="J1595" s="101">
        <f t="shared" si="938"/>
        <v>2500</v>
      </c>
      <c r="K1595" s="115">
        <f>IF(A1595&lt;&gt;0,INDEX(Coûts, 'PA-Détails'!A1595, 3),)</f>
        <v>50</v>
      </c>
      <c r="L1595" s="37">
        <f>ROUND(+$K1595*E1595,0)</f>
        <v>25000</v>
      </c>
      <c r="M1595" s="36">
        <f>ROUND(+$K1595*F1595,0)</f>
        <v>25000</v>
      </c>
      <c r="N1595" s="36">
        <f>ROUND(+$K1595*G1595,0)</f>
        <v>25000</v>
      </c>
      <c r="O1595" s="36">
        <f>ROUND(+$K1595*H1595,0)</f>
        <v>25000</v>
      </c>
      <c r="P1595" s="268">
        <f>ROUND(+$K1595*I1595,0)</f>
        <v>25000</v>
      </c>
      <c r="Q1595" s="281">
        <f>SUM(L1595:P1595)</f>
        <v>125000</v>
      </c>
      <c r="R1595" s="39"/>
      <c r="S1595" s="115"/>
      <c r="T1595" s="51"/>
    </row>
    <row r="1596" spans="1:20" x14ac:dyDescent="0.2">
      <c r="A1596" s="20" t="s">
        <v>1380</v>
      </c>
      <c r="B1596" s="46"/>
      <c r="C1596" s="51"/>
      <c r="D1596" s="21"/>
      <c r="E1596" s="96"/>
      <c r="F1596" s="100"/>
      <c r="G1596" s="100"/>
      <c r="H1596" s="100"/>
      <c r="I1596" s="100"/>
      <c r="J1596" s="101">
        <f t="shared" si="938"/>
        <v>0</v>
      </c>
      <c r="K1596" s="115"/>
      <c r="L1596" s="161">
        <f t="shared" ref="L1596:Q1596" si="941">SUM(L1597:L1599)</f>
        <v>9400</v>
      </c>
      <c r="M1596" s="157">
        <f t="shared" si="941"/>
        <v>1400</v>
      </c>
      <c r="N1596" s="157">
        <f t="shared" si="941"/>
        <v>1400</v>
      </c>
      <c r="O1596" s="157">
        <f t="shared" si="941"/>
        <v>1400</v>
      </c>
      <c r="P1596" s="270">
        <f t="shared" si="941"/>
        <v>1400</v>
      </c>
      <c r="Q1596" s="284">
        <f t="shared" si="941"/>
        <v>15000</v>
      </c>
      <c r="R1596" s="39" t="s">
        <v>838</v>
      </c>
      <c r="S1596" s="115" t="s">
        <v>665</v>
      </c>
      <c r="T1596" s="51"/>
    </row>
    <row r="1597" spans="1:20" x14ac:dyDescent="0.2">
      <c r="A1597" s="95">
        <v>2</v>
      </c>
      <c r="B1597" s="108" t="str">
        <f>IF(A1597&lt;&gt;0,INDEX(Coûts,'PA-Détails'!A1597, 2),)</f>
        <v>Assistance technique nationale (consultants)</v>
      </c>
      <c r="C1597" s="51"/>
      <c r="D1597" s="94" t="str">
        <f>IF(A1597&lt;&gt;0,INDEX(Coûts, 'PA-Détails'!A1597, 5),)</f>
        <v>Pers / j</v>
      </c>
      <c r="E1597" s="96">
        <v>15</v>
      </c>
      <c r="F1597" s="100"/>
      <c r="G1597" s="100"/>
      <c r="H1597" s="100"/>
      <c r="I1597" s="100"/>
      <c r="J1597" s="101">
        <f t="shared" si="938"/>
        <v>15</v>
      </c>
      <c r="K1597" s="115">
        <f>IF(A1597&lt;&gt;0,INDEX(Coûts, 'PA-Détails'!A1597, 3),)</f>
        <v>300</v>
      </c>
      <c r="L1597" s="37">
        <f t="shared" ref="L1597:P1600" si="942">ROUND(+$K1597*E1597,0)</f>
        <v>4500</v>
      </c>
      <c r="M1597" s="36">
        <f t="shared" si="942"/>
        <v>0</v>
      </c>
      <c r="N1597" s="36">
        <f t="shared" si="942"/>
        <v>0</v>
      </c>
      <c r="O1597" s="36">
        <f t="shared" si="942"/>
        <v>0</v>
      </c>
      <c r="P1597" s="268">
        <f t="shared" si="942"/>
        <v>0</v>
      </c>
      <c r="Q1597" s="281">
        <f>SUM(L1597:P1597)</f>
        <v>4500</v>
      </c>
      <c r="R1597" s="39"/>
      <c r="S1597" s="115"/>
      <c r="T1597" s="51"/>
    </row>
    <row r="1598" spans="1:20" x14ac:dyDescent="0.2">
      <c r="A1598" s="95">
        <v>11</v>
      </c>
      <c r="B1598" s="108" t="str">
        <f>IF(A1598&lt;&gt;0,INDEX(Coûts,'PA-Détails'!A1598, 2),)</f>
        <v>Atelier technique</v>
      </c>
      <c r="C1598" s="51"/>
      <c r="D1598" s="94" t="str">
        <f>IF(A1598&lt;&gt;0,INDEX(Coûts, 'PA-Détails'!A1598, 5),)</f>
        <v>Pers / j</v>
      </c>
      <c r="E1598" s="96">
        <v>50</v>
      </c>
      <c r="F1598" s="100"/>
      <c r="G1598" s="100"/>
      <c r="H1598" s="100"/>
      <c r="I1598" s="100"/>
      <c r="J1598" s="101">
        <f t="shared" si="938"/>
        <v>50</v>
      </c>
      <c r="K1598" s="115">
        <f>IF(A1598&lt;&gt;0,INDEX(Coûts, 'PA-Détails'!A1598, 3),)</f>
        <v>70</v>
      </c>
      <c r="L1598" s="37">
        <f t="shared" si="942"/>
        <v>3500</v>
      </c>
      <c r="M1598" s="36">
        <f t="shared" si="942"/>
        <v>0</v>
      </c>
      <c r="N1598" s="36">
        <f t="shared" si="942"/>
        <v>0</v>
      </c>
      <c r="O1598" s="36">
        <f t="shared" si="942"/>
        <v>0</v>
      </c>
      <c r="P1598" s="268">
        <f t="shared" si="942"/>
        <v>0</v>
      </c>
      <c r="Q1598" s="281">
        <f>SUM(L1598:P1598)</f>
        <v>3500</v>
      </c>
      <c r="R1598" s="39"/>
      <c r="S1598" s="115"/>
      <c r="T1598" s="51"/>
    </row>
    <row r="1599" spans="1:20" x14ac:dyDescent="0.2">
      <c r="A1599" s="95">
        <v>59</v>
      </c>
      <c r="B1599" s="108" t="str">
        <f>IF(A1599&lt;&gt;0,INDEX(Coûts,'PA-Détails'!A1599, 2),)</f>
        <v>Acquisition et distribution de plaquettes/brochures/guides/livres</v>
      </c>
      <c r="C1599" s="51"/>
      <c r="D1599" s="94" t="str">
        <f>IF(A1599&lt;&gt;0,INDEX(Coûts, 'PA-Détails'!A1599, 5),)</f>
        <v>Unité</v>
      </c>
      <c r="E1599" s="96">
        <v>700</v>
      </c>
      <c r="F1599" s="100">
        <v>700</v>
      </c>
      <c r="G1599" s="100">
        <v>700</v>
      </c>
      <c r="H1599" s="100">
        <v>700</v>
      </c>
      <c r="I1599" s="100">
        <v>700</v>
      </c>
      <c r="J1599" s="101">
        <f t="shared" si="938"/>
        <v>3500</v>
      </c>
      <c r="K1599" s="115">
        <f>IF(A1599&lt;&gt;0,INDEX(Coûts, 'PA-Détails'!A1599, 3),)</f>
        <v>2</v>
      </c>
      <c r="L1599" s="37">
        <f t="shared" si="942"/>
        <v>1400</v>
      </c>
      <c r="M1599" s="36">
        <f t="shared" si="942"/>
        <v>1400</v>
      </c>
      <c r="N1599" s="36">
        <f t="shared" si="942"/>
        <v>1400</v>
      </c>
      <c r="O1599" s="36">
        <f t="shared" si="942"/>
        <v>1400</v>
      </c>
      <c r="P1599" s="268">
        <f t="shared" si="942"/>
        <v>1400</v>
      </c>
      <c r="Q1599" s="281">
        <f>SUM(L1599:P1599)</f>
        <v>7000</v>
      </c>
      <c r="R1599" s="39"/>
      <c r="S1599" s="115"/>
      <c r="T1599" s="51"/>
    </row>
    <row r="1600" spans="1:20" x14ac:dyDescent="0.2">
      <c r="A1600" s="17" t="s">
        <v>1381</v>
      </c>
      <c r="B1600" s="45"/>
      <c r="C1600" s="51"/>
      <c r="D1600" s="18"/>
      <c r="E1600" s="97"/>
      <c r="F1600" s="98"/>
      <c r="G1600" s="98"/>
      <c r="H1600" s="98"/>
      <c r="I1600" s="98"/>
      <c r="J1600" s="99">
        <f t="shared" si="938"/>
        <v>0</v>
      </c>
      <c r="K1600" s="116"/>
      <c r="L1600" s="35">
        <f t="shared" si="942"/>
        <v>0</v>
      </c>
      <c r="M1600" s="34">
        <f t="shared" si="942"/>
        <v>0</v>
      </c>
      <c r="N1600" s="34">
        <f t="shared" si="942"/>
        <v>0</v>
      </c>
      <c r="O1600" s="34">
        <f t="shared" si="942"/>
        <v>0</v>
      </c>
      <c r="P1600" s="269">
        <f t="shared" si="942"/>
        <v>0</v>
      </c>
      <c r="Q1600" s="279">
        <f>SUM(L1600:P1600)</f>
        <v>0</v>
      </c>
      <c r="R1600" s="38"/>
      <c r="S1600" s="116"/>
      <c r="T1600" s="50"/>
    </row>
    <row r="1601" spans="1:20" x14ac:dyDescent="0.2">
      <c r="A1601" s="20" t="s">
        <v>1382</v>
      </c>
      <c r="B1601" s="46"/>
      <c r="C1601" s="51"/>
      <c r="D1601" s="21"/>
      <c r="E1601" s="96"/>
      <c r="F1601" s="100"/>
      <c r="G1601" s="100"/>
      <c r="H1601" s="100"/>
      <c r="I1601" s="100"/>
      <c r="J1601" s="101">
        <f t="shared" si="938"/>
        <v>0</v>
      </c>
      <c r="K1601" s="115"/>
      <c r="L1601" s="161">
        <f t="shared" ref="L1601:Q1601" si="943">SUM(L1602:L1602)</f>
        <v>1260000</v>
      </c>
      <c r="M1601" s="157">
        <f t="shared" si="943"/>
        <v>1260000</v>
      </c>
      <c r="N1601" s="157">
        <f t="shared" si="943"/>
        <v>1260000</v>
      </c>
      <c r="O1601" s="157">
        <f t="shared" si="943"/>
        <v>1260000</v>
      </c>
      <c r="P1601" s="270">
        <f t="shared" si="943"/>
        <v>1260000</v>
      </c>
      <c r="Q1601" s="284">
        <f t="shared" si="943"/>
        <v>6300000</v>
      </c>
      <c r="R1601" s="39" t="s">
        <v>841</v>
      </c>
      <c r="S1601" s="115" t="s">
        <v>665</v>
      </c>
      <c r="T1601" s="51"/>
    </row>
    <row r="1602" spans="1:20" ht="12.75" x14ac:dyDescent="0.25">
      <c r="A1602" s="95">
        <v>247</v>
      </c>
      <c r="B1602" s="108" t="str">
        <f>IF(A1602&lt;&gt;0,INDEX(Coûts,'PA-Détails'!A1602, 2),)</f>
        <v>Fourniture de repas pendant les crises</v>
      </c>
      <c r="C1602" s="51"/>
      <c r="D1602" s="94" t="str">
        <f>IF(A1602&lt;&gt;0,INDEX(Coûts, 'PA-Détails'!A1602, 5),)</f>
        <v>Forfait/élève</v>
      </c>
      <c r="E1602" s="226">
        <f>28000*90</f>
        <v>2520000</v>
      </c>
      <c r="F1602" s="190">
        <f>28000*90</f>
        <v>2520000</v>
      </c>
      <c r="G1602" s="190">
        <f>28000*90</f>
        <v>2520000</v>
      </c>
      <c r="H1602" s="190">
        <f>28000*90</f>
        <v>2520000</v>
      </c>
      <c r="I1602" s="190">
        <f>28000*90</f>
        <v>2520000</v>
      </c>
      <c r="J1602" s="191">
        <f t="shared" si="938"/>
        <v>12600000</v>
      </c>
      <c r="K1602" s="291">
        <f>IF(A1602&lt;&gt;0,INDEX(Coûts, 'PA-Détails'!A1602, 3),)</f>
        <v>0.5</v>
      </c>
      <c r="L1602" s="37">
        <f t="shared" ref="L1602:P1603" si="944">ROUND(+$K1602*E1602,0)</f>
        <v>1260000</v>
      </c>
      <c r="M1602" s="36">
        <f t="shared" si="944"/>
        <v>1260000</v>
      </c>
      <c r="N1602" s="36">
        <f t="shared" si="944"/>
        <v>1260000</v>
      </c>
      <c r="O1602" s="36">
        <f t="shared" si="944"/>
        <v>1260000</v>
      </c>
      <c r="P1602" s="268">
        <f t="shared" si="944"/>
        <v>1260000</v>
      </c>
      <c r="Q1602" s="281">
        <f>SUM(L1602:P1602)</f>
        <v>6300000</v>
      </c>
      <c r="R1602" s="39"/>
      <c r="S1602" s="115"/>
      <c r="T1602" s="51"/>
    </row>
    <row r="1603" spans="1:20" x14ac:dyDescent="0.2">
      <c r="A1603" s="17" t="s">
        <v>1383</v>
      </c>
      <c r="B1603" s="45"/>
      <c r="C1603" s="51"/>
      <c r="D1603" s="18"/>
      <c r="E1603" s="97"/>
      <c r="F1603" s="98"/>
      <c r="G1603" s="98"/>
      <c r="H1603" s="98"/>
      <c r="I1603" s="98"/>
      <c r="J1603" s="99">
        <f t="shared" si="938"/>
        <v>0</v>
      </c>
      <c r="K1603" s="116"/>
      <c r="L1603" s="35">
        <f t="shared" si="944"/>
        <v>0</v>
      </c>
      <c r="M1603" s="34">
        <f t="shared" si="944"/>
        <v>0</v>
      </c>
      <c r="N1603" s="34">
        <f t="shared" si="944"/>
        <v>0</v>
      </c>
      <c r="O1603" s="34">
        <f t="shared" si="944"/>
        <v>0</v>
      </c>
      <c r="P1603" s="269">
        <f t="shared" si="944"/>
        <v>0</v>
      </c>
      <c r="Q1603" s="279">
        <f>SUM(L1603:P1603)</f>
        <v>0</v>
      </c>
      <c r="R1603" s="38"/>
      <c r="S1603" s="116"/>
      <c r="T1603" s="50"/>
    </row>
    <row r="1604" spans="1:20" x14ac:dyDescent="0.2">
      <c r="A1604" s="20" t="s">
        <v>1384</v>
      </c>
      <c r="B1604" s="46"/>
      <c r="C1604" s="51"/>
      <c r="D1604" s="21"/>
      <c r="E1604" s="96"/>
      <c r="F1604" s="100"/>
      <c r="G1604" s="100"/>
      <c r="H1604" s="100"/>
      <c r="I1604" s="100"/>
      <c r="J1604" s="101">
        <f t="shared" si="938"/>
        <v>0</v>
      </c>
      <c r="K1604" s="115"/>
      <c r="L1604" s="161">
        <f t="shared" ref="L1604:Q1604" si="945">SUM(L1605:L1605)</f>
        <v>60000</v>
      </c>
      <c r="M1604" s="157">
        <f t="shared" si="945"/>
        <v>60000</v>
      </c>
      <c r="N1604" s="157">
        <f t="shared" si="945"/>
        <v>60000</v>
      </c>
      <c r="O1604" s="157">
        <f t="shared" si="945"/>
        <v>60000</v>
      </c>
      <c r="P1604" s="270">
        <f t="shared" si="945"/>
        <v>60000</v>
      </c>
      <c r="Q1604" s="284">
        <f t="shared" si="945"/>
        <v>300000</v>
      </c>
      <c r="R1604" s="39" t="s">
        <v>836</v>
      </c>
      <c r="S1604" s="115" t="s">
        <v>665</v>
      </c>
      <c r="T1604" s="51"/>
    </row>
    <row r="1605" spans="1:20" x14ac:dyDescent="0.2">
      <c r="A1605" s="95">
        <v>39</v>
      </c>
      <c r="B1605" s="108" t="str">
        <f>IF(A1605&lt;&gt;0,INDEX(Coûts,'PA-Détails'!A1605, 2),)</f>
        <v>Installation d'infrastructures temporaires d'apprentissage (1 école de 6 classes)</v>
      </c>
      <c r="C1605" s="51"/>
      <c r="D1605" s="94" t="str">
        <f>IF(A1605&lt;&gt;0,INDEX(Coûts, 'PA-Détails'!A1605, 5),)</f>
        <v>Forfait</v>
      </c>
      <c r="E1605" s="96">
        <v>100</v>
      </c>
      <c r="F1605" s="100">
        <v>100</v>
      </c>
      <c r="G1605" s="100">
        <v>100</v>
      </c>
      <c r="H1605" s="100">
        <v>100</v>
      </c>
      <c r="I1605" s="100">
        <v>100</v>
      </c>
      <c r="J1605" s="101">
        <f t="shared" si="938"/>
        <v>500</v>
      </c>
      <c r="K1605" s="115">
        <f>IF(A1605&lt;&gt;0,INDEX(Coûts, 'PA-Détails'!A1605, 3),)</f>
        <v>600</v>
      </c>
      <c r="L1605" s="37">
        <f>ROUND(+$K1605*E1605,0)</f>
        <v>60000</v>
      </c>
      <c r="M1605" s="36">
        <f>ROUND(+$K1605*F1605,0)</f>
        <v>60000</v>
      </c>
      <c r="N1605" s="36">
        <f>ROUND(+$K1605*G1605,0)</f>
        <v>60000</v>
      </c>
      <c r="O1605" s="36">
        <f>ROUND(+$K1605*H1605,0)</f>
        <v>60000</v>
      </c>
      <c r="P1605" s="268">
        <f>ROUND(+$K1605*I1605,0)</f>
        <v>60000</v>
      </c>
      <c r="Q1605" s="281">
        <f>SUM(L1605:P1605)</f>
        <v>300000</v>
      </c>
      <c r="R1605" s="39"/>
      <c r="S1605" s="115"/>
      <c r="T1605" s="51"/>
    </row>
    <row r="1606" spans="1:20" x14ac:dyDescent="0.2">
      <c r="A1606" s="20" t="s">
        <v>1385</v>
      </c>
      <c r="B1606" s="108"/>
      <c r="C1606" s="51"/>
      <c r="D1606" s="94"/>
      <c r="E1606" s="96"/>
      <c r="F1606" s="100"/>
      <c r="G1606" s="100"/>
      <c r="H1606" s="100"/>
      <c r="I1606" s="100"/>
      <c r="J1606" s="101"/>
      <c r="K1606" s="115"/>
      <c r="L1606" s="161">
        <f t="shared" ref="L1606:Q1606" si="946">SUM(L1607:L1607)</f>
        <v>350000</v>
      </c>
      <c r="M1606" s="157">
        <f t="shared" si="946"/>
        <v>350000</v>
      </c>
      <c r="N1606" s="157">
        <f t="shared" si="946"/>
        <v>350000</v>
      </c>
      <c r="O1606" s="157">
        <f t="shared" si="946"/>
        <v>350000</v>
      </c>
      <c r="P1606" s="270">
        <f t="shared" si="946"/>
        <v>350000</v>
      </c>
      <c r="Q1606" s="284">
        <f t="shared" si="946"/>
        <v>1750000</v>
      </c>
      <c r="R1606" s="39" t="s">
        <v>836</v>
      </c>
      <c r="S1606" s="115" t="s">
        <v>665</v>
      </c>
      <c r="T1606" s="51"/>
    </row>
    <row r="1607" spans="1:20" x14ac:dyDescent="0.2">
      <c r="A1607" s="95">
        <v>71</v>
      </c>
      <c r="B1607" s="108" t="str">
        <f>IF(A1607&lt;&gt;0,INDEX(Coûts,'PA-Détails'!A1607, 2),)</f>
        <v>Equipement scolaire pour structure temporaire d'apprentissage (pour une école de 6 classes)</v>
      </c>
      <c r="C1607" s="51"/>
      <c r="D1607" s="94" t="str">
        <f>IF(A1607&lt;&gt;0,INDEX(Coûts, 'PA-Détails'!A1607, 5),)</f>
        <v>Budget/an</v>
      </c>
      <c r="E1607" s="96">
        <v>100</v>
      </c>
      <c r="F1607" s="100">
        <v>100</v>
      </c>
      <c r="G1607" s="100">
        <v>100</v>
      </c>
      <c r="H1607" s="100">
        <v>100</v>
      </c>
      <c r="I1607" s="100">
        <v>100</v>
      </c>
      <c r="J1607" s="101">
        <f t="shared" ref="J1607:J1619" si="947">SUM(E1607:I1607)</f>
        <v>500</v>
      </c>
      <c r="K1607" s="115">
        <f>IF(A1607&lt;&gt;0,INDEX(Coûts, 'PA-Détails'!A1607, 3),)</f>
        <v>3500</v>
      </c>
      <c r="L1607" s="37">
        <f t="shared" ref="L1607:P1608" si="948">ROUND(+$K1607*E1607,0)</f>
        <v>350000</v>
      </c>
      <c r="M1607" s="36">
        <f t="shared" si="948"/>
        <v>350000</v>
      </c>
      <c r="N1607" s="36">
        <f t="shared" si="948"/>
        <v>350000</v>
      </c>
      <c r="O1607" s="36">
        <f t="shared" si="948"/>
        <v>350000</v>
      </c>
      <c r="P1607" s="268">
        <f t="shared" si="948"/>
        <v>350000</v>
      </c>
      <c r="Q1607" s="281">
        <f>SUM(L1607:P1607)</f>
        <v>1750000</v>
      </c>
      <c r="R1607" s="39"/>
      <c r="S1607" s="115"/>
      <c r="T1607" s="51"/>
    </row>
    <row r="1608" spans="1:20" x14ac:dyDescent="0.2">
      <c r="A1608" s="17" t="s">
        <v>1386</v>
      </c>
      <c r="B1608" s="45"/>
      <c r="C1608" s="51"/>
      <c r="D1608" s="18"/>
      <c r="E1608" s="97"/>
      <c r="F1608" s="98"/>
      <c r="G1608" s="98"/>
      <c r="H1608" s="98"/>
      <c r="I1608" s="98"/>
      <c r="J1608" s="99">
        <f t="shared" si="947"/>
        <v>0</v>
      </c>
      <c r="K1608" s="116"/>
      <c r="L1608" s="35">
        <f t="shared" si="948"/>
        <v>0</v>
      </c>
      <c r="M1608" s="34">
        <f t="shared" si="948"/>
        <v>0</v>
      </c>
      <c r="N1608" s="34">
        <f t="shared" si="948"/>
        <v>0</v>
      </c>
      <c r="O1608" s="34">
        <f t="shared" si="948"/>
        <v>0</v>
      </c>
      <c r="P1608" s="269">
        <f t="shared" si="948"/>
        <v>0</v>
      </c>
      <c r="Q1608" s="279">
        <f>SUM(L1608:P1608)</f>
        <v>0</v>
      </c>
      <c r="R1608" s="38"/>
      <c r="S1608" s="116"/>
      <c r="T1608" s="50"/>
    </row>
    <row r="1609" spans="1:20" x14ac:dyDescent="0.2">
      <c r="A1609" s="20" t="s">
        <v>1387</v>
      </c>
      <c r="B1609" s="46"/>
      <c r="C1609" s="51"/>
      <c r="D1609" s="21"/>
      <c r="E1609" s="96"/>
      <c r="F1609" s="100"/>
      <c r="G1609" s="100"/>
      <c r="H1609" s="100"/>
      <c r="I1609" s="100"/>
      <c r="J1609" s="101">
        <f t="shared" si="947"/>
        <v>0</v>
      </c>
      <c r="K1609" s="115"/>
      <c r="L1609" s="161">
        <f t="shared" ref="L1609:Q1609" si="949">SUM(L1610:L1612)</f>
        <v>6900</v>
      </c>
      <c r="M1609" s="157">
        <f t="shared" si="949"/>
        <v>400</v>
      </c>
      <c r="N1609" s="157">
        <f t="shared" si="949"/>
        <v>400</v>
      </c>
      <c r="O1609" s="157">
        <f t="shared" si="949"/>
        <v>400</v>
      </c>
      <c r="P1609" s="270">
        <f t="shared" si="949"/>
        <v>400</v>
      </c>
      <c r="Q1609" s="284">
        <f t="shared" si="949"/>
        <v>8500</v>
      </c>
      <c r="R1609" s="39" t="s">
        <v>842</v>
      </c>
      <c r="S1609" s="115" t="s">
        <v>665</v>
      </c>
      <c r="T1609" s="51"/>
    </row>
    <row r="1610" spans="1:20" x14ac:dyDescent="0.2">
      <c r="A1610" s="95">
        <v>2</v>
      </c>
      <c r="B1610" s="108" t="str">
        <f>IF(A1610&lt;&gt;0,INDEX(Coûts,'PA-Détails'!A1610, 2),)</f>
        <v>Assistance technique nationale (consultants)</v>
      </c>
      <c r="C1610" s="51"/>
      <c r="D1610" s="94" t="str">
        <f>IF(A1610&lt;&gt;0,INDEX(Coûts, 'PA-Détails'!A1610, 5),)</f>
        <v>Pers / j</v>
      </c>
      <c r="E1610" s="96">
        <v>10</v>
      </c>
      <c r="F1610" s="100"/>
      <c r="G1610" s="100"/>
      <c r="H1610" s="100"/>
      <c r="I1610" s="100"/>
      <c r="J1610" s="101">
        <f t="shared" si="947"/>
        <v>10</v>
      </c>
      <c r="K1610" s="115">
        <f>IF(A1610&lt;&gt;0,INDEX(Coûts, 'PA-Détails'!A1610, 3),)</f>
        <v>300</v>
      </c>
      <c r="L1610" s="37">
        <f t="shared" ref="L1610:P1613" si="950">ROUND(+$K1610*E1610,0)</f>
        <v>3000</v>
      </c>
      <c r="M1610" s="36">
        <f t="shared" si="950"/>
        <v>0</v>
      </c>
      <c r="N1610" s="36">
        <f t="shared" si="950"/>
        <v>0</v>
      </c>
      <c r="O1610" s="36">
        <f t="shared" si="950"/>
        <v>0</v>
      </c>
      <c r="P1610" s="268">
        <f t="shared" si="950"/>
        <v>0</v>
      </c>
      <c r="Q1610" s="281">
        <f>SUM(L1610:P1610)</f>
        <v>3000</v>
      </c>
      <c r="R1610" s="39"/>
      <c r="S1610" s="115"/>
      <c r="T1610" s="51"/>
    </row>
    <row r="1611" spans="1:20" x14ac:dyDescent="0.2">
      <c r="A1611" s="95">
        <v>11</v>
      </c>
      <c r="B1611" s="108" t="str">
        <f>IF(A1611&lt;&gt;0,INDEX(Coûts,'PA-Détails'!A1611, 2),)</f>
        <v>Atelier technique</v>
      </c>
      <c r="C1611" s="51"/>
      <c r="D1611" s="94" t="str">
        <f>IF(A1611&lt;&gt;0,INDEX(Coûts, 'PA-Détails'!A1611, 5),)</f>
        <v>Pers / j</v>
      </c>
      <c r="E1611" s="96">
        <v>50</v>
      </c>
      <c r="F1611" s="100"/>
      <c r="G1611" s="100"/>
      <c r="H1611" s="100"/>
      <c r="I1611" s="100"/>
      <c r="J1611" s="101">
        <f t="shared" si="947"/>
        <v>50</v>
      </c>
      <c r="K1611" s="115">
        <f>IF(A1611&lt;&gt;0,INDEX(Coûts, 'PA-Détails'!A1611, 3),)</f>
        <v>70</v>
      </c>
      <c r="L1611" s="37">
        <f t="shared" si="950"/>
        <v>3500</v>
      </c>
      <c r="M1611" s="36">
        <f t="shared" si="950"/>
        <v>0</v>
      </c>
      <c r="N1611" s="36">
        <f t="shared" si="950"/>
        <v>0</v>
      </c>
      <c r="O1611" s="36">
        <f t="shared" si="950"/>
        <v>0</v>
      </c>
      <c r="P1611" s="268">
        <f t="shared" si="950"/>
        <v>0</v>
      </c>
      <c r="Q1611" s="281">
        <f>SUM(L1611:P1611)</f>
        <v>3500</v>
      </c>
      <c r="R1611" s="39"/>
      <c r="S1611" s="115"/>
      <c r="T1611" s="51"/>
    </row>
    <row r="1612" spans="1:20" x14ac:dyDescent="0.2">
      <c r="A1612" s="95">
        <v>59</v>
      </c>
      <c r="B1612" s="108" t="str">
        <f>IF(A1612&lt;&gt;0,INDEX(Coûts,'PA-Détails'!A1612, 2),)</f>
        <v>Acquisition et distribution de plaquettes/brochures/guides/livres</v>
      </c>
      <c r="C1612" s="51"/>
      <c r="D1612" s="94" t="str">
        <f>IF(A1612&lt;&gt;0,INDEX(Coûts, 'PA-Détails'!A1612, 5),)</f>
        <v>Unité</v>
      </c>
      <c r="E1612" s="96">
        <v>200</v>
      </c>
      <c r="F1612" s="100">
        <v>200</v>
      </c>
      <c r="G1612" s="100">
        <v>200</v>
      </c>
      <c r="H1612" s="100">
        <v>200</v>
      </c>
      <c r="I1612" s="100">
        <v>200</v>
      </c>
      <c r="J1612" s="101">
        <f t="shared" si="947"/>
        <v>1000</v>
      </c>
      <c r="K1612" s="115">
        <f>IF(A1612&lt;&gt;0,INDEX(Coûts, 'PA-Détails'!A1612, 3),)</f>
        <v>2</v>
      </c>
      <c r="L1612" s="37">
        <f t="shared" si="950"/>
        <v>400</v>
      </c>
      <c r="M1612" s="36">
        <f t="shared" si="950"/>
        <v>400</v>
      </c>
      <c r="N1612" s="36">
        <f t="shared" si="950"/>
        <v>400</v>
      </c>
      <c r="O1612" s="36">
        <f t="shared" si="950"/>
        <v>400</v>
      </c>
      <c r="P1612" s="268">
        <f t="shared" si="950"/>
        <v>400</v>
      </c>
      <c r="Q1612" s="281">
        <f>SUM(L1612:P1612)</f>
        <v>2000</v>
      </c>
      <c r="R1612" s="39"/>
      <c r="S1612" s="115"/>
      <c r="T1612" s="51"/>
    </row>
    <row r="1613" spans="1:20" x14ac:dyDescent="0.2">
      <c r="A1613" s="17" t="s">
        <v>1388</v>
      </c>
      <c r="B1613" s="45"/>
      <c r="C1613" s="51"/>
      <c r="D1613" s="18"/>
      <c r="E1613" s="97"/>
      <c r="F1613" s="98"/>
      <c r="G1613" s="98"/>
      <c r="H1613" s="98"/>
      <c r="I1613" s="98"/>
      <c r="J1613" s="99">
        <f t="shared" si="947"/>
        <v>0</v>
      </c>
      <c r="K1613" s="116"/>
      <c r="L1613" s="35">
        <f t="shared" si="950"/>
        <v>0</v>
      </c>
      <c r="M1613" s="34">
        <f t="shared" si="950"/>
        <v>0</v>
      </c>
      <c r="N1613" s="34">
        <f t="shared" si="950"/>
        <v>0</v>
      </c>
      <c r="O1613" s="34">
        <f t="shared" si="950"/>
        <v>0</v>
      </c>
      <c r="P1613" s="269">
        <f t="shared" si="950"/>
        <v>0</v>
      </c>
      <c r="Q1613" s="279">
        <f>SUM(L1613:P1613)</f>
        <v>0</v>
      </c>
      <c r="R1613" s="38"/>
      <c r="S1613" s="116"/>
      <c r="T1613" s="50"/>
    </row>
    <row r="1614" spans="1:20" x14ac:dyDescent="0.2">
      <c r="A1614" s="20" t="s">
        <v>1389</v>
      </c>
      <c r="B1614" s="46"/>
      <c r="C1614" s="51"/>
      <c r="D1614" s="21"/>
      <c r="E1614" s="96"/>
      <c r="F1614" s="100"/>
      <c r="G1614" s="100"/>
      <c r="H1614" s="100"/>
      <c r="I1614" s="100"/>
      <c r="J1614" s="101">
        <f t="shared" si="947"/>
        <v>0</v>
      </c>
      <c r="K1614" s="115"/>
      <c r="L1614" s="161">
        <f t="shared" ref="L1614:Q1614" si="951">SUM(L1615:L1615)</f>
        <v>350000</v>
      </c>
      <c r="M1614" s="157">
        <f t="shared" si="951"/>
        <v>350000</v>
      </c>
      <c r="N1614" s="157">
        <f t="shared" si="951"/>
        <v>350000</v>
      </c>
      <c r="O1614" s="157">
        <f t="shared" si="951"/>
        <v>350000</v>
      </c>
      <c r="P1614" s="270">
        <f t="shared" si="951"/>
        <v>350000</v>
      </c>
      <c r="Q1614" s="284">
        <f t="shared" si="951"/>
        <v>1750000</v>
      </c>
      <c r="R1614" s="169" t="s">
        <v>778</v>
      </c>
      <c r="S1614" s="115"/>
      <c r="T1614" s="51"/>
    </row>
    <row r="1615" spans="1:20" x14ac:dyDescent="0.2">
      <c r="A1615" s="95">
        <v>84</v>
      </c>
      <c r="B1615" s="108" t="str">
        <f>IF(A1615&lt;&gt;0,INDEX(Coûts,'PA-Détails'!A1615, 2),)</f>
        <v>Campagne de sensibilisation</v>
      </c>
      <c r="C1615" s="51"/>
      <c r="D1615" s="94" t="str">
        <f>IF(A1615&lt;&gt;0,INDEX(Coûts, 'PA-Détails'!A1615, 5),)</f>
        <v>Unité</v>
      </c>
      <c r="E1615" s="96">
        <v>200</v>
      </c>
      <c r="F1615" s="100">
        <v>200</v>
      </c>
      <c r="G1615" s="100">
        <v>200</v>
      </c>
      <c r="H1615" s="100">
        <v>200</v>
      </c>
      <c r="I1615" s="100">
        <v>200</v>
      </c>
      <c r="J1615" s="101">
        <f t="shared" si="947"/>
        <v>1000</v>
      </c>
      <c r="K1615" s="115">
        <f>IF(A1615&lt;&gt;0,INDEX(Coûts, 'PA-Détails'!A1615, 3),)</f>
        <v>1750</v>
      </c>
      <c r="L1615" s="37">
        <f>ROUND(+$K1615*E1615,0)</f>
        <v>350000</v>
      </c>
      <c r="M1615" s="36">
        <f>ROUND(+$K1615*F1615,0)</f>
        <v>350000</v>
      </c>
      <c r="N1615" s="36">
        <f>ROUND(+$K1615*G1615,0)</f>
        <v>350000</v>
      </c>
      <c r="O1615" s="36">
        <f>ROUND(+$K1615*H1615,0)</f>
        <v>350000</v>
      </c>
      <c r="P1615" s="268">
        <f>ROUND(+$K1615*I1615,0)</f>
        <v>350000</v>
      </c>
      <c r="Q1615" s="281">
        <f>SUM(L1615:P1615)</f>
        <v>1750000</v>
      </c>
      <c r="R1615" s="39"/>
      <c r="S1615" s="115"/>
      <c r="T1615" s="51"/>
    </row>
    <row r="1616" spans="1:20" x14ac:dyDescent="0.2">
      <c r="A1616" s="20" t="s">
        <v>1390</v>
      </c>
      <c r="B1616" s="46"/>
      <c r="C1616" s="51"/>
      <c r="D1616" s="21"/>
      <c r="E1616" s="96"/>
      <c r="F1616" s="100"/>
      <c r="G1616" s="100"/>
      <c r="H1616" s="100"/>
      <c r="I1616" s="100"/>
      <c r="J1616" s="101">
        <f t="shared" si="947"/>
        <v>0</v>
      </c>
      <c r="K1616" s="115"/>
      <c r="L1616" s="161">
        <f t="shared" ref="L1616:Q1616" si="952">SUM(L1617:L1617)</f>
        <v>5500</v>
      </c>
      <c r="M1616" s="157">
        <f t="shared" si="952"/>
        <v>5500</v>
      </c>
      <c r="N1616" s="157">
        <f t="shared" si="952"/>
        <v>5500</v>
      </c>
      <c r="O1616" s="157">
        <f t="shared" si="952"/>
        <v>0</v>
      </c>
      <c r="P1616" s="270">
        <f t="shared" si="952"/>
        <v>0</v>
      </c>
      <c r="Q1616" s="284">
        <f t="shared" si="952"/>
        <v>16500</v>
      </c>
      <c r="R1616" s="39" t="s">
        <v>843</v>
      </c>
      <c r="S1616" s="115" t="s">
        <v>665</v>
      </c>
      <c r="T1616" s="51"/>
    </row>
    <row r="1617" spans="1:20" x14ac:dyDescent="0.2">
      <c r="A1617" s="95">
        <v>8</v>
      </c>
      <c r="B1617" s="108" t="str">
        <f>IF(A1617&lt;&gt;0,INDEX(Coûts,'PA-Détails'!A1617, 2),)</f>
        <v>Formation</v>
      </c>
      <c r="C1617" s="51"/>
      <c r="D1617" s="94" t="str">
        <f>IF(A1617&lt;&gt;0,INDEX(Coûts, 'PA-Détails'!A1617, 5),)</f>
        <v>Pers / j</v>
      </c>
      <c r="E1617" s="96">
        <f>50</f>
        <v>50</v>
      </c>
      <c r="F1617" s="100">
        <v>50</v>
      </c>
      <c r="G1617" s="100">
        <v>50</v>
      </c>
      <c r="H1617" s="100"/>
      <c r="I1617" s="100"/>
      <c r="J1617" s="101">
        <f t="shared" si="947"/>
        <v>150</v>
      </c>
      <c r="K1617" s="115">
        <f>IF(A1617&lt;&gt;0,INDEX(Coûts, 'PA-Détails'!A1617, 3),)</f>
        <v>110</v>
      </c>
      <c r="L1617" s="37">
        <f t="shared" ref="L1617:P1620" si="953">ROUND(+$K1617*E1617,0)</f>
        <v>5500</v>
      </c>
      <c r="M1617" s="36">
        <f t="shared" si="953"/>
        <v>5500</v>
      </c>
      <c r="N1617" s="36">
        <f t="shared" si="953"/>
        <v>5500</v>
      </c>
      <c r="O1617" s="36">
        <f t="shared" si="953"/>
        <v>0</v>
      </c>
      <c r="P1617" s="268">
        <f t="shared" si="953"/>
        <v>0</v>
      </c>
      <c r="Q1617" s="281">
        <f>SUM(L1617:P1617)</f>
        <v>16500</v>
      </c>
      <c r="R1617" s="39"/>
      <c r="S1617" s="115"/>
      <c r="T1617" s="51"/>
    </row>
    <row r="1618" spans="1:20" x14ac:dyDescent="0.2">
      <c r="A1618" s="17" t="s">
        <v>1391</v>
      </c>
      <c r="B1618" s="45"/>
      <c r="C1618" s="51"/>
      <c r="D1618" s="18"/>
      <c r="E1618" s="97"/>
      <c r="F1618" s="98"/>
      <c r="G1618" s="98"/>
      <c r="H1618" s="98"/>
      <c r="I1618" s="98"/>
      <c r="J1618" s="99">
        <f t="shared" si="947"/>
        <v>0</v>
      </c>
      <c r="K1618" s="116"/>
      <c r="L1618" s="35">
        <f t="shared" si="953"/>
        <v>0</v>
      </c>
      <c r="M1618" s="34">
        <f t="shared" si="953"/>
        <v>0</v>
      </c>
      <c r="N1618" s="34">
        <f t="shared" si="953"/>
        <v>0</v>
      </c>
      <c r="O1618" s="34">
        <f t="shared" si="953"/>
        <v>0</v>
      </c>
      <c r="P1618" s="269">
        <f t="shared" si="953"/>
        <v>0</v>
      </c>
      <c r="Q1618" s="279">
        <f>SUM(L1618:P1618)</f>
        <v>0</v>
      </c>
      <c r="R1618" s="38"/>
      <c r="S1618" s="116"/>
      <c r="T1618" s="50"/>
    </row>
    <row r="1619" spans="1:20" x14ac:dyDescent="0.2">
      <c r="A1619" s="20" t="s">
        <v>1392</v>
      </c>
      <c r="B1619" s="46"/>
      <c r="C1619" s="51"/>
      <c r="D1619" s="21"/>
      <c r="E1619" s="96"/>
      <c r="F1619" s="100"/>
      <c r="G1619" s="100"/>
      <c r="H1619" s="100"/>
      <c r="I1619" s="100"/>
      <c r="J1619" s="101">
        <f t="shared" si="947"/>
        <v>0</v>
      </c>
      <c r="K1619" s="115"/>
      <c r="L1619" s="37">
        <f t="shared" si="953"/>
        <v>0</v>
      </c>
      <c r="M1619" s="36">
        <f t="shared" si="953"/>
        <v>0</v>
      </c>
      <c r="N1619" s="36">
        <f t="shared" si="953"/>
        <v>0</v>
      </c>
      <c r="O1619" s="36">
        <f t="shared" si="953"/>
        <v>0</v>
      </c>
      <c r="P1619" s="268">
        <f t="shared" si="953"/>
        <v>0</v>
      </c>
      <c r="Q1619" s="281">
        <f>SUM(L1619:P1619)</f>
        <v>0</v>
      </c>
      <c r="R1619" s="39"/>
      <c r="S1619" s="115"/>
      <c r="T1619" s="51"/>
    </row>
    <row r="1620" spans="1:20" x14ac:dyDescent="0.2">
      <c r="A1620" s="20"/>
      <c r="B1620" s="46">
        <v>0</v>
      </c>
      <c r="C1620" s="51"/>
      <c r="D1620" s="21"/>
      <c r="E1620" s="96"/>
      <c r="F1620" s="100"/>
      <c r="G1620" s="100"/>
      <c r="H1620" s="100"/>
      <c r="I1620" s="100"/>
      <c r="J1620" s="101"/>
      <c r="K1620" s="115"/>
      <c r="L1620" s="37">
        <f t="shared" si="953"/>
        <v>0</v>
      </c>
      <c r="M1620" s="36">
        <f t="shared" si="953"/>
        <v>0</v>
      </c>
      <c r="N1620" s="36">
        <f t="shared" si="953"/>
        <v>0</v>
      </c>
      <c r="O1620" s="36">
        <f t="shared" si="953"/>
        <v>0</v>
      </c>
      <c r="P1620" s="268">
        <f t="shared" si="953"/>
        <v>0</v>
      </c>
      <c r="Q1620" s="281"/>
      <c r="R1620" s="39"/>
      <c r="S1620" s="115"/>
      <c r="T1620" s="51"/>
    </row>
    <row r="1621" spans="1:20" x14ac:dyDescent="0.2">
      <c r="A1621" s="20" t="s">
        <v>1393</v>
      </c>
      <c r="B1621" s="46"/>
      <c r="C1621" s="51"/>
      <c r="D1621" s="21"/>
      <c r="E1621" s="96"/>
      <c r="F1621" s="100"/>
      <c r="G1621" s="100"/>
      <c r="H1621" s="100"/>
      <c r="I1621" s="100"/>
      <c r="J1621" s="101">
        <f>SUM(E1621:I1621)</f>
        <v>0</v>
      </c>
      <c r="K1621" s="115"/>
      <c r="L1621" s="161">
        <f t="shared" ref="L1621:Q1621" si="954">SUM(L1622:L1623)</f>
        <v>3150</v>
      </c>
      <c r="M1621" s="157">
        <f t="shared" si="954"/>
        <v>3150</v>
      </c>
      <c r="N1621" s="157">
        <f t="shared" si="954"/>
        <v>3150</v>
      </c>
      <c r="O1621" s="157">
        <f t="shared" si="954"/>
        <v>3150</v>
      </c>
      <c r="P1621" s="270">
        <f t="shared" si="954"/>
        <v>3150</v>
      </c>
      <c r="Q1621" s="284">
        <f t="shared" si="954"/>
        <v>15750</v>
      </c>
      <c r="R1621" s="39" t="s">
        <v>818</v>
      </c>
      <c r="S1621" s="115" t="s">
        <v>665</v>
      </c>
      <c r="T1621" s="51"/>
    </row>
    <row r="1622" spans="1:20" x14ac:dyDescent="0.2">
      <c r="A1622" s="95">
        <v>221</v>
      </c>
      <c r="B1622" s="108" t="str">
        <f>IF(A1622&lt;&gt;0,INDEX(Coûts,'PA-Détails'!A1622, 2),)</f>
        <v>Mission en province des services centraux</v>
      </c>
      <c r="C1622" s="51"/>
      <c r="D1622" s="94" t="str">
        <f>IF(A1622&lt;&gt;0,INDEX(Coûts, 'PA-Détails'!A1622, 5),)</f>
        <v>P/j</v>
      </c>
      <c r="E1622" s="100">
        <f>(5*2)</f>
        <v>10</v>
      </c>
      <c r="F1622" s="100">
        <f>(5*2)</f>
        <v>10</v>
      </c>
      <c r="G1622" s="100">
        <f>(5*2)</f>
        <v>10</v>
      </c>
      <c r="H1622" s="100">
        <f>(5*2)</f>
        <v>10</v>
      </c>
      <c r="I1622" s="100">
        <f>(5*2)</f>
        <v>10</v>
      </c>
      <c r="J1622" s="101">
        <f>SUM(E1622:I1622)</f>
        <v>50</v>
      </c>
      <c r="K1622" s="115">
        <f>IF(A1622&lt;&gt;0,INDEX(Coûts, 'PA-Détails'!A1622, 3),)</f>
        <v>240</v>
      </c>
      <c r="L1622" s="37">
        <f t="shared" ref="L1622:P1623" si="955">ROUND(+$K1622*E1622,0)</f>
        <v>2400</v>
      </c>
      <c r="M1622" s="36">
        <f t="shared" si="955"/>
        <v>2400</v>
      </c>
      <c r="N1622" s="36">
        <f t="shared" si="955"/>
        <v>2400</v>
      </c>
      <c r="O1622" s="36">
        <f t="shared" si="955"/>
        <v>2400</v>
      </c>
      <c r="P1622" s="268">
        <f t="shared" si="955"/>
        <v>2400</v>
      </c>
      <c r="Q1622" s="281">
        <f>SUM(L1622:P1622)</f>
        <v>12000</v>
      </c>
      <c r="R1622" s="39"/>
      <c r="S1622" s="115"/>
      <c r="T1622" s="51"/>
    </row>
    <row r="1623" spans="1:20" x14ac:dyDescent="0.2">
      <c r="A1623" s="95">
        <v>222</v>
      </c>
      <c r="B1623" s="108" t="str">
        <f>IF(A1623&lt;&gt;0,INDEX(Coûts,'PA-Détails'!A1623, 2),)</f>
        <v>Mission en province des services déconcentrés</v>
      </c>
      <c r="C1623" s="51"/>
      <c r="D1623" s="94" t="str">
        <f>IF(A1623&lt;&gt;0,INDEX(Coûts, 'PA-Détails'!A1623, 5),)</f>
        <v>P/j</v>
      </c>
      <c r="E1623" s="100">
        <f>(5*3)</f>
        <v>15</v>
      </c>
      <c r="F1623" s="100">
        <f>(5*3)</f>
        <v>15</v>
      </c>
      <c r="G1623" s="100">
        <f>(5*3)</f>
        <v>15</v>
      </c>
      <c r="H1623" s="100">
        <f>(5*3)</f>
        <v>15</v>
      </c>
      <c r="I1623" s="100">
        <f>(5*3)</f>
        <v>15</v>
      </c>
      <c r="J1623" s="101">
        <f>SUM(E1623:I1623)</f>
        <v>75</v>
      </c>
      <c r="K1623" s="115">
        <f>IF(A1623&lt;&gt;0,INDEX(Coûts, 'PA-Détails'!A1623, 3),)</f>
        <v>50</v>
      </c>
      <c r="L1623" s="37">
        <f t="shared" si="955"/>
        <v>750</v>
      </c>
      <c r="M1623" s="36">
        <f t="shared" si="955"/>
        <v>750</v>
      </c>
      <c r="N1623" s="36">
        <f t="shared" si="955"/>
        <v>750</v>
      </c>
      <c r="O1623" s="36">
        <f t="shared" si="955"/>
        <v>750</v>
      </c>
      <c r="P1623" s="268">
        <f t="shared" si="955"/>
        <v>750</v>
      </c>
      <c r="Q1623" s="281">
        <f>SUM(L1623:P1623)</f>
        <v>3750</v>
      </c>
      <c r="R1623" s="39"/>
      <c r="S1623" s="115"/>
      <c r="T1623" s="51"/>
    </row>
    <row r="1624" spans="1:20" x14ac:dyDescent="0.2">
      <c r="A1624" s="14" t="s">
        <v>1339</v>
      </c>
      <c r="B1624" s="44"/>
      <c r="C1624" s="112"/>
      <c r="D1624" s="15"/>
      <c r="E1624" s="102"/>
      <c r="F1624" s="103"/>
      <c r="G1624" s="103"/>
      <c r="H1624" s="103"/>
      <c r="I1624" s="103"/>
      <c r="J1624" s="104">
        <f>SUM(E1624:I1624)</f>
        <v>0</v>
      </c>
      <c r="K1624" s="145"/>
      <c r="L1624" s="33">
        <f t="shared" ref="L1624:P1625" si="956">ROUND(+$K1624*E1624,0)</f>
        <v>0</v>
      </c>
      <c r="M1624" s="32">
        <f t="shared" si="956"/>
        <v>0</v>
      </c>
      <c r="N1624" s="32">
        <f t="shared" si="956"/>
        <v>0</v>
      </c>
      <c r="O1624" s="32">
        <f t="shared" si="956"/>
        <v>0</v>
      </c>
      <c r="P1624" s="267">
        <f t="shared" si="956"/>
        <v>0</v>
      </c>
      <c r="Q1624" s="278">
        <f>SUM(L1624:P1624)</f>
        <v>0</v>
      </c>
      <c r="R1624" s="40"/>
      <c r="S1624" s="145"/>
      <c r="T1624" s="49">
        <v>3</v>
      </c>
    </row>
    <row r="1625" spans="1:20" x14ac:dyDescent="0.2">
      <c r="A1625" s="17" t="s">
        <v>1340</v>
      </c>
      <c r="B1625" s="45"/>
      <c r="C1625" s="51"/>
      <c r="D1625" s="18"/>
      <c r="E1625" s="97"/>
      <c r="F1625" s="98"/>
      <c r="G1625" s="98"/>
      <c r="H1625" s="98"/>
      <c r="I1625" s="98"/>
      <c r="J1625" s="99"/>
      <c r="K1625" s="116"/>
      <c r="L1625" s="35">
        <f t="shared" si="956"/>
        <v>0</v>
      </c>
      <c r="M1625" s="34">
        <f t="shared" si="956"/>
        <v>0</v>
      </c>
      <c r="N1625" s="34">
        <f t="shared" si="956"/>
        <v>0</v>
      </c>
      <c r="O1625" s="34">
        <f t="shared" si="956"/>
        <v>0</v>
      </c>
      <c r="P1625" s="269">
        <f t="shared" si="956"/>
        <v>0</v>
      </c>
      <c r="Q1625" s="279"/>
      <c r="R1625" s="38"/>
      <c r="S1625" s="116"/>
      <c r="T1625" s="50"/>
    </row>
    <row r="1626" spans="1:20" x14ac:dyDescent="0.2">
      <c r="A1626" s="20" t="s">
        <v>1341</v>
      </c>
      <c r="B1626" s="46"/>
      <c r="C1626" s="51"/>
      <c r="D1626" s="21"/>
      <c r="E1626" s="96"/>
      <c r="F1626" s="100"/>
      <c r="G1626" s="100"/>
      <c r="H1626" s="100"/>
      <c r="I1626" s="100"/>
      <c r="J1626" s="101">
        <f>SUM(E1626:I1626)</f>
        <v>0</v>
      </c>
      <c r="K1626" s="115"/>
      <c r="L1626" s="161">
        <f t="shared" ref="L1626:Q1626" si="957">SUM(L1627:L1629)</f>
        <v>17000</v>
      </c>
      <c r="M1626" s="157">
        <f t="shared" si="957"/>
        <v>0</v>
      </c>
      <c r="N1626" s="157">
        <f t="shared" si="957"/>
        <v>0</v>
      </c>
      <c r="O1626" s="157">
        <f t="shared" si="957"/>
        <v>0</v>
      </c>
      <c r="P1626" s="270">
        <f t="shared" si="957"/>
        <v>0</v>
      </c>
      <c r="Q1626" s="284">
        <f t="shared" si="957"/>
        <v>17000</v>
      </c>
      <c r="R1626" s="39" t="s">
        <v>1141</v>
      </c>
      <c r="S1626" s="115" t="s">
        <v>590</v>
      </c>
      <c r="T1626" s="51"/>
    </row>
    <row r="1627" spans="1:20" x14ac:dyDescent="0.2">
      <c r="A1627" s="95">
        <v>1</v>
      </c>
      <c r="B1627" s="108" t="str">
        <f>IF(A1627&lt;&gt;0,INDEX(Coûts,'PA-Détails'!A1627, 2),)</f>
        <v>Assistance technique internationale (consultants)</v>
      </c>
      <c r="C1627" s="51"/>
      <c r="D1627" s="94" t="str">
        <f>IF(A1627&lt;&gt;0,INDEX(Coûts, 'PA-Détails'!A1627, 5),)</f>
        <v>Pers / j</v>
      </c>
      <c r="E1627" s="96">
        <v>10</v>
      </c>
      <c r="F1627" s="100"/>
      <c r="G1627" s="100"/>
      <c r="H1627" s="100"/>
      <c r="I1627" s="100"/>
      <c r="J1627" s="101">
        <f>SUM(E1627:I1627)</f>
        <v>10</v>
      </c>
      <c r="K1627" s="115">
        <f>IF(A1627&lt;&gt;0,INDEX(Coûts, 'PA-Détails'!A1627, 3),)</f>
        <v>1150</v>
      </c>
      <c r="L1627" s="37">
        <f t="shared" ref="L1627:P1629" si="958">ROUND(+$K1627*E1627,0)</f>
        <v>11500</v>
      </c>
      <c r="M1627" s="36">
        <f t="shared" si="958"/>
        <v>0</v>
      </c>
      <c r="N1627" s="36">
        <f t="shared" si="958"/>
        <v>0</v>
      </c>
      <c r="O1627" s="36">
        <f t="shared" si="958"/>
        <v>0</v>
      </c>
      <c r="P1627" s="268">
        <f t="shared" si="958"/>
        <v>0</v>
      </c>
      <c r="Q1627" s="281">
        <f>SUM(L1627:P1627)</f>
        <v>11500</v>
      </c>
      <c r="R1627" s="39"/>
      <c r="S1627" s="115"/>
      <c r="T1627" s="51"/>
    </row>
    <row r="1628" spans="1:20" x14ac:dyDescent="0.2">
      <c r="A1628" s="95">
        <v>2</v>
      </c>
      <c r="B1628" s="108" t="str">
        <f>IF(A1628&lt;&gt;0,INDEX(Coûts,'PA-Détails'!A1628, 2),)</f>
        <v>Assistance technique nationale (consultants)</v>
      </c>
      <c r="C1628" s="51"/>
      <c r="D1628" s="94" t="str">
        <f>IF(A1628&lt;&gt;0,INDEX(Coûts, 'PA-Détails'!A1628, 5),)</f>
        <v>Pers / j</v>
      </c>
      <c r="E1628" s="96">
        <v>10</v>
      </c>
      <c r="F1628" s="100"/>
      <c r="G1628" s="100"/>
      <c r="H1628" s="100"/>
      <c r="I1628" s="100"/>
      <c r="J1628" s="101">
        <f>SUM(E1628:I1628)</f>
        <v>10</v>
      </c>
      <c r="K1628" s="115">
        <f>IF(A1628&lt;&gt;0,INDEX(Coûts, 'PA-Détails'!A1628, 3),)</f>
        <v>300</v>
      </c>
      <c r="L1628" s="37">
        <f t="shared" si="958"/>
        <v>3000</v>
      </c>
      <c r="M1628" s="36">
        <f t="shared" si="958"/>
        <v>0</v>
      </c>
      <c r="N1628" s="36">
        <f t="shared" si="958"/>
        <v>0</v>
      </c>
      <c r="O1628" s="36">
        <f t="shared" si="958"/>
        <v>0</v>
      </c>
      <c r="P1628" s="268">
        <f t="shared" si="958"/>
        <v>0</v>
      </c>
      <c r="Q1628" s="281">
        <f>SUM(L1628:P1628)</f>
        <v>3000</v>
      </c>
      <c r="R1628" s="39"/>
      <c r="S1628" s="115"/>
      <c r="T1628" s="51"/>
    </row>
    <row r="1629" spans="1:20" x14ac:dyDescent="0.2">
      <c r="A1629" s="95">
        <v>5</v>
      </c>
      <c r="B1629" s="108" t="str">
        <f>IF(A1629&lt;&gt;0,INDEX(Coûts,'PA-Détails'!A1629, 2),)</f>
        <v>Atelier de validation</v>
      </c>
      <c r="C1629" s="51"/>
      <c r="D1629" s="94" t="str">
        <f>IF(A1629&lt;&gt;0,INDEX(Coûts, 'PA-Détails'!A1629, 5),)</f>
        <v>Pers / j</v>
      </c>
      <c r="E1629" s="96">
        <v>50</v>
      </c>
      <c r="F1629" s="100"/>
      <c r="G1629" s="100"/>
      <c r="H1629" s="100"/>
      <c r="I1629" s="100"/>
      <c r="J1629" s="101">
        <f>SUM(E1629:I1629)</f>
        <v>50</v>
      </c>
      <c r="K1629" s="115">
        <f>IF(A1629&lt;&gt;0,INDEX(Coûts, 'PA-Détails'!A1629, 3),)</f>
        <v>50</v>
      </c>
      <c r="L1629" s="37">
        <f t="shared" si="958"/>
        <v>2500</v>
      </c>
      <c r="M1629" s="36">
        <f t="shared" si="958"/>
        <v>0</v>
      </c>
      <c r="N1629" s="36">
        <f t="shared" si="958"/>
        <v>0</v>
      </c>
      <c r="O1629" s="36">
        <f t="shared" si="958"/>
        <v>0</v>
      </c>
      <c r="P1629" s="268">
        <f t="shared" si="958"/>
        <v>0</v>
      </c>
      <c r="Q1629" s="281">
        <f>SUM(L1629:P1629)</f>
        <v>2500</v>
      </c>
      <c r="R1629" s="39"/>
      <c r="S1629" s="115"/>
      <c r="T1629" s="51"/>
    </row>
    <row r="1630" spans="1:20" x14ac:dyDescent="0.2">
      <c r="A1630" s="20" t="s">
        <v>1342</v>
      </c>
      <c r="B1630" s="46"/>
      <c r="C1630" s="51"/>
      <c r="D1630" s="21"/>
      <c r="E1630" s="96"/>
      <c r="F1630" s="100"/>
      <c r="G1630" s="100"/>
      <c r="H1630" s="100"/>
      <c r="I1630" s="100"/>
      <c r="J1630" s="101"/>
      <c r="K1630" s="115"/>
      <c r="L1630" s="161">
        <f t="shared" ref="L1630:Q1630" si="959">SUM(L1631:L1633)</f>
        <v>25500</v>
      </c>
      <c r="M1630" s="157">
        <f t="shared" si="959"/>
        <v>0</v>
      </c>
      <c r="N1630" s="157">
        <f t="shared" si="959"/>
        <v>0</v>
      </c>
      <c r="O1630" s="157">
        <f t="shared" si="959"/>
        <v>0</v>
      </c>
      <c r="P1630" s="270">
        <f t="shared" si="959"/>
        <v>0</v>
      </c>
      <c r="Q1630" s="284">
        <f t="shared" si="959"/>
        <v>25500</v>
      </c>
      <c r="R1630" s="39" t="s">
        <v>1141</v>
      </c>
      <c r="S1630" s="115" t="s">
        <v>590</v>
      </c>
      <c r="T1630" s="51"/>
    </row>
    <row r="1631" spans="1:20" x14ac:dyDescent="0.2">
      <c r="A1631" s="95">
        <v>1</v>
      </c>
      <c r="B1631" s="108" t="str">
        <f>IF(A1631&lt;&gt;0,INDEX(Coûts,'PA-Détails'!A1631, 2),)</f>
        <v>Assistance technique internationale (consultants)</v>
      </c>
      <c r="C1631" s="51"/>
      <c r="D1631" s="94" t="str">
        <f>IF(A1631&lt;&gt;0,INDEX(Coûts, 'PA-Détails'!A1631, 5),)</f>
        <v>Pers / j</v>
      </c>
      <c r="E1631" s="96">
        <v>10</v>
      </c>
      <c r="F1631" s="100"/>
      <c r="G1631" s="100"/>
      <c r="H1631" s="100"/>
      <c r="I1631" s="100"/>
      <c r="J1631" s="101">
        <f>SUM(E1631:I1631)</f>
        <v>10</v>
      </c>
      <c r="K1631" s="115">
        <f>IF(A1631&lt;&gt;0,INDEX(Coûts, 'PA-Détails'!A1631, 3),)</f>
        <v>1150</v>
      </c>
      <c r="L1631" s="37">
        <f t="shared" ref="L1631:P1633" si="960">ROUND(+$K1631*E1631,0)</f>
        <v>11500</v>
      </c>
      <c r="M1631" s="36">
        <f t="shared" si="960"/>
        <v>0</v>
      </c>
      <c r="N1631" s="36">
        <f t="shared" si="960"/>
        <v>0</v>
      </c>
      <c r="O1631" s="36">
        <f t="shared" si="960"/>
        <v>0</v>
      </c>
      <c r="P1631" s="268">
        <f t="shared" si="960"/>
        <v>0</v>
      </c>
      <c r="Q1631" s="281">
        <f>SUM(L1631:P1631)</f>
        <v>11500</v>
      </c>
      <c r="R1631" s="39"/>
      <c r="S1631" s="115"/>
      <c r="T1631" s="51"/>
    </row>
    <row r="1632" spans="1:20" x14ac:dyDescent="0.2">
      <c r="A1632" s="95">
        <v>2</v>
      </c>
      <c r="B1632" s="108" t="str">
        <f>IF(A1632&lt;&gt;0,INDEX(Coûts,'PA-Détails'!A1632, 2),)</f>
        <v>Assistance technique nationale (consultants)</v>
      </c>
      <c r="C1632" s="51"/>
      <c r="D1632" s="94" t="str">
        <f>IF(A1632&lt;&gt;0,INDEX(Coûts, 'PA-Détails'!A1632, 5),)</f>
        <v>Pers / j</v>
      </c>
      <c r="E1632" s="96">
        <v>30</v>
      </c>
      <c r="F1632" s="100"/>
      <c r="G1632" s="100"/>
      <c r="H1632" s="100"/>
      <c r="I1632" s="100"/>
      <c r="J1632" s="101">
        <f>SUM(E1632:I1632)</f>
        <v>30</v>
      </c>
      <c r="K1632" s="115">
        <f>IF(A1632&lt;&gt;0,INDEX(Coûts, 'PA-Détails'!A1632, 3),)</f>
        <v>300</v>
      </c>
      <c r="L1632" s="37">
        <f t="shared" si="960"/>
        <v>9000</v>
      </c>
      <c r="M1632" s="36">
        <f t="shared" si="960"/>
        <v>0</v>
      </c>
      <c r="N1632" s="36">
        <f t="shared" si="960"/>
        <v>0</v>
      </c>
      <c r="O1632" s="36">
        <f t="shared" si="960"/>
        <v>0</v>
      </c>
      <c r="P1632" s="268">
        <f t="shared" si="960"/>
        <v>0</v>
      </c>
      <c r="Q1632" s="281">
        <f>SUM(L1632:P1632)</f>
        <v>9000</v>
      </c>
      <c r="R1632" s="39"/>
      <c r="S1632" s="115"/>
      <c r="T1632" s="51"/>
    </row>
    <row r="1633" spans="1:20" x14ac:dyDescent="0.2">
      <c r="A1633" s="95">
        <v>5</v>
      </c>
      <c r="B1633" s="108" t="str">
        <f>IF(A1633&lt;&gt;0,INDEX(Coûts,'PA-Détails'!A1633, 2),)</f>
        <v>Atelier de validation</v>
      </c>
      <c r="C1633" s="51"/>
      <c r="D1633" s="94" t="str">
        <f>IF(A1633&lt;&gt;0,INDEX(Coûts, 'PA-Détails'!A1633, 5),)</f>
        <v>Pers / j</v>
      </c>
      <c r="E1633" s="96">
        <v>100</v>
      </c>
      <c r="F1633" s="100"/>
      <c r="G1633" s="100"/>
      <c r="H1633" s="100"/>
      <c r="I1633" s="100"/>
      <c r="J1633" s="101">
        <f>SUM(E1633:I1633)</f>
        <v>100</v>
      </c>
      <c r="K1633" s="115">
        <f>IF(A1633&lt;&gt;0,INDEX(Coûts, 'PA-Détails'!A1633, 3),)</f>
        <v>50</v>
      </c>
      <c r="L1633" s="37">
        <f t="shared" si="960"/>
        <v>5000</v>
      </c>
      <c r="M1633" s="36">
        <f t="shared" si="960"/>
        <v>0</v>
      </c>
      <c r="N1633" s="36">
        <f t="shared" si="960"/>
        <v>0</v>
      </c>
      <c r="O1633" s="36">
        <f t="shared" si="960"/>
        <v>0</v>
      </c>
      <c r="P1633" s="268">
        <f t="shared" si="960"/>
        <v>0</v>
      </c>
      <c r="Q1633" s="281">
        <f>SUM(L1633:P1633)</f>
        <v>5000</v>
      </c>
      <c r="R1633" s="39"/>
      <c r="S1633" s="115"/>
      <c r="T1633" s="51"/>
    </row>
    <row r="1634" spans="1:20" x14ac:dyDescent="0.2">
      <c r="A1634" s="20" t="s">
        <v>1343</v>
      </c>
      <c r="B1634" s="46"/>
      <c r="C1634" s="51"/>
      <c r="D1634" s="21"/>
      <c r="E1634" s="96"/>
      <c r="F1634" s="100"/>
      <c r="G1634" s="100"/>
      <c r="H1634" s="100"/>
      <c r="I1634" s="100"/>
      <c r="J1634" s="101"/>
      <c r="K1634" s="115"/>
      <c r="L1634" s="161">
        <f t="shared" ref="L1634:Q1634" si="961">SUM(L1635:L1637)</f>
        <v>25500</v>
      </c>
      <c r="M1634" s="157">
        <f t="shared" si="961"/>
        <v>0</v>
      </c>
      <c r="N1634" s="157">
        <f t="shared" si="961"/>
        <v>0</v>
      </c>
      <c r="O1634" s="157">
        <f t="shared" si="961"/>
        <v>0</v>
      </c>
      <c r="P1634" s="270">
        <f t="shared" si="961"/>
        <v>0</v>
      </c>
      <c r="Q1634" s="284">
        <f t="shared" si="961"/>
        <v>25500</v>
      </c>
      <c r="R1634" s="39" t="s">
        <v>1141</v>
      </c>
      <c r="S1634" s="115" t="s">
        <v>590</v>
      </c>
      <c r="T1634" s="51"/>
    </row>
    <row r="1635" spans="1:20" x14ac:dyDescent="0.2">
      <c r="A1635" s="95">
        <v>1</v>
      </c>
      <c r="B1635" s="108" t="str">
        <f>IF(A1635&lt;&gt;0,INDEX(Coûts,'PA-Détails'!A1635, 2),)</f>
        <v>Assistance technique internationale (consultants)</v>
      </c>
      <c r="C1635" s="51"/>
      <c r="D1635" s="94" t="str">
        <f>IF(A1635&lt;&gt;0,INDEX(Coûts, 'PA-Détails'!A1635, 5),)</f>
        <v>Pers / j</v>
      </c>
      <c r="E1635" s="96">
        <v>10</v>
      </c>
      <c r="F1635" s="100"/>
      <c r="G1635" s="100"/>
      <c r="H1635" s="100"/>
      <c r="I1635" s="100"/>
      <c r="J1635" s="101">
        <f>SUM(E1635:I1635)</f>
        <v>10</v>
      </c>
      <c r="K1635" s="115">
        <f>IF(A1635&lt;&gt;0,INDEX(Coûts, 'PA-Détails'!A1635, 3),)</f>
        <v>1150</v>
      </c>
      <c r="L1635" s="37">
        <f t="shared" ref="L1635:P1637" si="962">ROUND(+$K1635*E1635,0)</f>
        <v>11500</v>
      </c>
      <c r="M1635" s="36">
        <f t="shared" si="962"/>
        <v>0</v>
      </c>
      <c r="N1635" s="36">
        <f t="shared" si="962"/>
        <v>0</v>
      </c>
      <c r="O1635" s="36">
        <f t="shared" si="962"/>
        <v>0</v>
      </c>
      <c r="P1635" s="268">
        <f t="shared" si="962"/>
        <v>0</v>
      </c>
      <c r="Q1635" s="281">
        <f>SUM(L1635:P1635)</f>
        <v>11500</v>
      </c>
      <c r="R1635" s="39"/>
      <c r="S1635" s="115"/>
      <c r="T1635" s="51"/>
    </row>
    <row r="1636" spans="1:20" x14ac:dyDescent="0.2">
      <c r="A1636" s="95">
        <v>2</v>
      </c>
      <c r="B1636" s="108" t="str">
        <f>IF(A1636&lt;&gt;0,INDEX(Coûts,'PA-Détails'!A1636, 2),)</f>
        <v>Assistance technique nationale (consultants)</v>
      </c>
      <c r="C1636" s="51"/>
      <c r="D1636" s="94" t="str">
        <f>IF(A1636&lt;&gt;0,INDEX(Coûts, 'PA-Détails'!A1636, 5),)</f>
        <v>Pers / j</v>
      </c>
      <c r="E1636" s="96">
        <v>30</v>
      </c>
      <c r="F1636" s="100"/>
      <c r="G1636" s="100"/>
      <c r="H1636" s="100"/>
      <c r="I1636" s="100"/>
      <c r="J1636" s="101">
        <f>SUM(E1636:I1636)</f>
        <v>30</v>
      </c>
      <c r="K1636" s="115">
        <f>IF(A1636&lt;&gt;0,INDEX(Coûts, 'PA-Détails'!A1636, 3),)</f>
        <v>300</v>
      </c>
      <c r="L1636" s="37">
        <f t="shared" si="962"/>
        <v>9000</v>
      </c>
      <c r="M1636" s="36">
        <f t="shared" si="962"/>
        <v>0</v>
      </c>
      <c r="N1636" s="36">
        <f t="shared" si="962"/>
        <v>0</v>
      </c>
      <c r="O1636" s="36">
        <f t="shared" si="962"/>
        <v>0</v>
      </c>
      <c r="P1636" s="268">
        <f t="shared" si="962"/>
        <v>0</v>
      </c>
      <c r="Q1636" s="281">
        <f>SUM(L1636:P1636)</f>
        <v>9000</v>
      </c>
      <c r="R1636" s="39"/>
      <c r="S1636" s="115"/>
      <c r="T1636" s="51"/>
    </row>
    <row r="1637" spans="1:20" x14ac:dyDescent="0.2">
      <c r="A1637" s="95">
        <v>5</v>
      </c>
      <c r="B1637" s="108" t="str">
        <f>IF(A1637&lt;&gt;0,INDEX(Coûts,'PA-Détails'!A1637, 2),)</f>
        <v>Atelier de validation</v>
      </c>
      <c r="C1637" s="51"/>
      <c r="D1637" s="94" t="str">
        <f>IF(A1637&lt;&gt;0,INDEX(Coûts, 'PA-Détails'!A1637, 5),)</f>
        <v>Pers / j</v>
      </c>
      <c r="E1637" s="96">
        <v>100</v>
      </c>
      <c r="F1637" s="100"/>
      <c r="G1637" s="100"/>
      <c r="H1637" s="100"/>
      <c r="I1637" s="100"/>
      <c r="J1637" s="101">
        <f>SUM(E1637:I1637)</f>
        <v>100</v>
      </c>
      <c r="K1637" s="115">
        <f>IF(A1637&lt;&gt;0,INDEX(Coûts, 'PA-Détails'!A1637, 3),)</f>
        <v>50</v>
      </c>
      <c r="L1637" s="37">
        <f t="shared" si="962"/>
        <v>5000</v>
      </c>
      <c r="M1637" s="36">
        <f t="shared" si="962"/>
        <v>0</v>
      </c>
      <c r="N1637" s="36">
        <f t="shared" si="962"/>
        <v>0</v>
      </c>
      <c r="O1637" s="36">
        <f t="shared" si="962"/>
        <v>0</v>
      </c>
      <c r="P1637" s="268">
        <f t="shared" si="962"/>
        <v>0</v>
      </c>
      <c r="Q1637" s="281">
        <f>SUM(L1637:P1637)</f>
        <v>5000</v>
      </c>
      <c r="R1637" s="39"/>
      <c r="S1637" s="115"/>
      <c r="T1637" s="51"/>
    </row>
    <row r="1638" spans="1:20" x14ac:dyDescent="0.2">
      <c r="A1638" s="20" t="s">
        <v>1344</v>
      </c>
      <c r="B1638" s="46"/>
      <c r="C1638" s="51"/>
      <c r="D1638" s="21"/>
      <c r="E1638" s="96"/>
      <c r="F1638" s="100"/>
      <c r="G1638" s="100"/>
      <c r="H1638" s="100"/>
      <c r="I1638" s="100"/>
      <c r="J1638" s="101"/>
      <c r="K1638" s="115"/>
      <c r="L1638" s="161">
        <f t="shared" ref="L1638:Q1638" si="963">SUM(L1639:L1641)</f>
        <v>0</v>
      </c>
      <c r="M1638" s="157">
        <f t="shared" si="963"/>
        <v>98500</v>
      </c>
      <c r="N1638" s="157">
        <f t="shared" si="963"/>
        <v>98500</v>
      </c>
      <c r="O1638" s="157">
        <f t="shared" si="963"/>
        <v>0</v>
      </c>
      <c r="P1638" s="270">
        <f t="shared" si="963"/>
        <v>0</v>
      </c>
      <c r="Q1638" s="284">
        <f t="shared" si="963"/>
        <v>197000</v>
      </c>
      <c r="R1638" s="39" t="s">
        <v>1141</v>
      </c>
      <c r="S1638" s="115" t="s">
        <v>590</v>
      </c>
      <c r="T1638" s="51"/>
    </row>
    <row r="1639" spans="1:20" x14ac:dyDescent="0.2">
      <c r="A1639" s="95">
        <v>6</v>
      </c>
      <c r="B1639" s="108" t="str">
        <f>IF(A1639&lt;&gt;0,INDEX(Coûts,'PA-Détails'!A1639, 2),)</f>
        <v>Édition Rapports</v>
      </c>
      <c r="C1639" s="51"/>
      <c r="D1639" s="94" t="str">
        <f>IF(A1639&lt;&gt;0,INDEX(Coûts, 'PA-Détails'!A1639, 5),)</f>
        <v>Forfait</v>
      </c>
      <c r="E1639" s="96"/>
      <c r="F1639" s="100">
        <v>1000</v>
      </c>
      <c r="G1639" s="100">
        <v>1000</v>
      </c>
      <c r="H1639" s="100"/>
      <c r="I1639" s="100"/>
      <c r="J1639" s="101">
        <f>SUM(E1639:I1639)</f>
        <v>2000</v>
      </c>
      <c r="K1639" s="115">
        <f>IF(A1639&lt;&gt;0,INDEX(Coûts, 'PA-Détails'!A1639, 3),)</f>
        <v>10</v>
      </c>
      <c r="L1639" s="37">
        <f t="shared" ref="L1639:P1642" si="964">ROUND(+$K1639*E1639,0)</f>
        <v>0</v>
      </c>
      <c r="M1639" s="36">
        <f t="shared" si="964"/>
        <v>10000</v>
      </c>
      <c r="N1639" s="36">
        <f t="shared" si="964"/>
        <v>10000</v>
      </c>
      <c r="O1639" s="36">
        <f t="shared" si="964"/>
        <v>0</v>
      </c>
      <c r="P1639" s="268">
        <f t="shared" si="964"/>
        <v>0</v>
      </c>
      <c r="Q1639" s="281">
        <f>SUM(L1639:P1639)</f>
        <v>20000</v>
      </c>
      <c r="R1639" s="39"/>
      <c r="S1639" s="115"/>
      <c r="T1639" s="51"/>
    </row>
    <row r="1640" spans="1:20" x14ac:dyDescent="0.2">
      <c r="A1640" s="95">
        <v>12</v>
      </c>
      <c r="B1640" s="108" t="str">
        <f>IF(A1640&lt;&gt;0,INDEX(Coûts,'PA-Détails'!A1640, 2),)</f>
        <v>Formation - Action et Formation de formateurs</v>
      </c>
      <c r="C1640" s="51"/>
      <c r="D1640" s="94" t="str">
        <f>IF(A1640&lt;&gt;0,INDEX(Coûts, 'PA-Détails'!A1640, 5),)</f>
        <v>Pers / j</v>
      </c>
      <c r="E1640" s="96"/>
      <c r="F1640" s="100">
        <f>30*5</f>
        <v>150</v>
      </c>
      <c r="G1640" s="100">
        <f>F1640</f>
        <v>150</v>
      </c>
      <c r="H1640" s="100"/>
      <c r="I1640" s="100"/>
      <c r="J1640" s="101">
        <f>SUM(E1640:I1640)</f>
        <v>300</v>
      </c>
      <c r="K1640" s="115">
        <f>IF(A1640&lt;&gt;0,INDEX(Coûts, 'PA-Détails'!A1640, 3),)</f>
        <v>150</v>
      </c>
      <c r="L1640" s="37">
        <f t="shared" si="964"/>
        <v>0</v>
      </c>
      <c r="M1640" s="36">
        <f t="shared" si="964"/>
        <v>22500</v>
      </c>
      <c r="N1640" s="36">
        <f t="shared" si="964"/>
        <v>22500</v>
      </c>
      <c r="O1640" s="36">
        <f t="shared" si="964"/>
        <v>0</v>
      </c>
      <c r="P1640" s="268">
        <f t="shared" si="964"/>
        <v>0</v>
      </c>
      <c r="Q1640" s="281">
        <f>SUM(L1640:P1640)</f>
        <v>45000</v>
      </c>
      <c r="R1640" s="39"/>
      <c r="S1640" s="115"/>
      <c r="T1640" s="51"/>
    </row>
    <row r="1641" spans="1:20" x14ac:dyDescent="0.2">
      <c r="A1641" s="95">
        <v>8</v>
      </c>
      <c r="B1641" s="108" t="str">
        <f>IF(A1641&lt;&gt;0,INDEX(Coûts,'PA-Détails'!A1641, 2),)</f>
        <v>Formation</v>
      </c>
      <c r="C1641" s="51"/>
      <c r="D1641" s="94" t="str">
        <f>IF(A1641&lt;&gt;0,INDEX(Coûts, 'PA-Détails'!A1641, 5),)</f>
        <v>Pers / j</v>
      </c>
      <c r="E1641" s="96"/>
      <c r="F1641" s="100">
        <f>30*20</f>
        <v>600</v>
      </c>
      <c r="G1641" s="100">
        <f>F1641</f>
        <v>600</v>
      </c>
      <c r="H1641" s="100"/>
      <c r="I1641" s="100"/>
      <c r="J1641" s="101">
        <f>SUM(E1641:I1641)</f>
        <v>1200</v>
      </c>
      <c r="K1641" s="115">
        <f>IF(A1641&lt;&gt;0,INDEX(Coûts, 'PA-Détails'!A1641, 3),)</f>
        <v>110</v>
      </c>
      <c r="L1641" s="37">
        <f t="shared" si="964"/>
        <v>0</v>
      </c>
      <c r="M1641" s="36">
        <f t="shared" si="964"/>
        <v>66000</v>
      </c>
      <c r="N1641" s="36">
        <f t="shared" si="964"/>
        <v>66000</v>
      </c>
      <c r="O1641" s="36">
        <f t="shared" si="964"/>
        <v>0</v>
      </c>
      <c r="P1641" s="268">
        <f t="shared" si="964"/>
        <v>0</v>
      </c>
      <c r="Q1641" s="281">
        <f>SUM(L1641:P1641)</f>
        <v>132000</v>
      </c>
      <c r="R1641" s="39"/>
      <c r="S1641" s="115"/>
      <c r="T1641" s="51"/>
    </row>
    <row r="1642" spans="1:20" x14ac:dyDescent="0.2">
      <c r="A1642" s="17" t="s">
        <v>1345</v>
      </c>
      <c r="B1642" s="45"/>
      <c r="C1642" s="51"/>
      <c r="D1642" s="18"/>
      <c r="E1642" s="97"/>
      <c r="F1642" s="98"/>
      <c r="G1642" s="98"/>
      <c r="H1642" s="98"/>
      <c r="I1642" s="98"/>
      <c r="J1642" s="99"/>
      <c r="K1642" s="116"/>
      <c r="L1642" s="35">
        <f t="shared" si="964"/>
        <v>0</v>
      </c>
      <c r="M1642" s="34">
        <f t="shared" si="964"/>
        <v>0</v>
      </c>
      <c r="N1642" s="34">
        <f t="shared" si="964"/>
        <v>0</v>
      </c>
      <c r="O1642" s="34">
        <f t="shared" si="964"/>
        <v>0</v>
      </c>
      <c r="P1642" s="269">
        <f t="shared" si="964"/>
        <v>0</v>
      </c>
      <c r="Q1642" s="279"/>
      <c r="R1642" s="38"/>
      <c r="S1642" s="116"/>
      <c r="T1642" s="50"/>
    </row>
    <row r="1643" spans="1:20" x14ac:dyDescent="0.2">
      <c r="A1643" s="20" t="s">
        <v>1346</v>
      </c>
      <c r="B1643" s="46"/>
      <c r="C1643" s="51"/>
      <c r="D1643" s="21"/>
      <c r="E1643" s="96"/>
      <c r="F1643" s="100"/>
      <c r="G1643" s="100"/>
      <c r="H1643" s="100"/>
      <c r="I1643" s="100"/>
      <c r="J1643" s="101"/>
      <c r="K1643" s="115"/>
      <c r="L1643" s="161">
        <f t="shared" ref="L1643:Q1643" si="965">SUM(L1644:L1646)</f>
        <v>0</v>
      </c>
      <c r="M1643" s="157">
        <f t="shared" si="965"/>
        <v>26000</v>
      </c>
      <c r="N1643" s="157">
        <f t="shared" si="965"/>
        <v>0</v>
      </c>
      <c r="O1643" s="157">
        <f t="shared" si="965"/>
        <v>0</v>
      </c>
      <c r="P1643" s="270">
        <f t="shared" si="965"/>
        <v>0</v>
      </c>
      <c r="Q1643" s="284">
        <f t="shared" si="965"/>
        <v>26000</v>
      </c>
      <c r="R1643" s="39" t="s">
        <v>1141</v>
      </c>
      <c r="S1643" s="115" t="s">
        <v>590</v>
      </c>
      <c r="T1643" s="51"/>
    </row>
    <row r="1644" spans="1:20" x14ac:dyDescent="0.2">
      <c r="A1644" s="95">
        <v>2</v>
      </c>
      <c r="B1644" s="108" t="str">
        <f>IF(A1644&lt;&gt;0,INDEX(Coûts,'PA-Détails'!A1644, 2),)</f>
        <v>Assistance technique nationale (consultants)</v>
      </c>
      <c r="C1644" s="51"/>
      <c r="D1644" s="94" t="str">
        <f>IF(A1644&lt;&gt;0,INDEX(Coûts, 'PA-Détails'!A1644, 5),)</f>
        <v>Pers / j</v>
      </c>
      <c r="E1644" s="96"/>
      <c r="F1644" s="100">
        <v>30</v>
      </c>
      <c r="G1644" s="100"/>
      <c r="H1644" s="100"/>
      <c r="I1644" s="100"/>
      <c r="J1644" s="101">
        <f>SUM(E1644:I1644)</f>
        <v>30</v>
      </c>
      <c r="K1644" s="115">
        <f>IF(A1644&lt;&gt;0,INDEX(Coûts, 'PA-Détails'!A1644, 3),)</f>
        <v>300</v>
      </c>
      <c r="L1644" s="37">
        <f t="shared" ref="L1644:P1646" si="966">ROUND(+$K1644*E1644,0)</f>
        <v>0</v>
      </c>
      <c r="M1644" s="36">
        <f t="shared" si="966"/>
        <v>9000</v>
      </c>
      <c r="N1644" s="36">
        <f t="shared" si="966"/>
        <v>0</v>
      </c>
      <c r="O1644" s="36">
        <f t="shared" si="966"/>
        <v>0</v>
      </c>
      <c r="P1644" s="268">
        <f t="shared" si="966"/>
        <v>0</v>
      </c>
      <c r="Q1644" s="281">
        <f>SUM(L1644:P1644)</f>
        <v>9000</v>
      </c>
      <c r="R1644" s="39"/>
      <c r="S1644" s="115"/>
      <c r="T1644" s="51"/>
    </row>
    <row r="1645" spans="1:20" x14ac:dyDescent="0.2">
      <c r="A1645" s="95">
        <v>11</v>
      </c>
      <c r="B1645" s="108" t="str">
        <f>IF(A1645&lt;&gt;0,INDEX(Coûts,'PA-Détails'!A1645, 2),)</f>
        <v>Atelier technique</v>
      </c>
      <c r="C1645" s="51"/>
      <c r="D1645" s="94" t="str">
        <f>IF(A1645&lt;&gt;0,INDEX(Coûts, 'PA-Détails'!A1645, 5),)</f>
        <v>Pers / j</v>
      </c>
      <c r="E1645" s="96"/>
      <c r="F1645" s="100">
        <v>100</v>
      </c>
      <c r="G1645" s="100"/>
      <c r="H1645" s="100"/>
      <c r="I1645" s="100"/>
      <c r="J1645" s="101">
        <f>SUM(E1645:I1645)</f>
        <v>100</v>
      </c>
      <c r="K1645" s="115">
        <f>IF(A1645&lt;&gt;0,INDEX(Coûts, 'PA-Détails'!A1645, 3),)</f>
        <v>70</v>
      </c>
      <c r="L1645" s="37">
        <f t="shared" si="966"/>
        <v>0</v>
      </c>
      <c r="M1645" s="36">
        <f t="shared" si="966"/>
        <v>7000</v>
      </c>
      <c r="N1645" s="36">
        <f t="shared" si="966"/>
        <v>0</v>
      </c>
      <c r="O1645" s="36">
        <f t="shared" si="966"/>
        <v>0</v>
      </c>
      <c r="P1645" s="268">
        <f t="shared" si="966"/>
        <v>0</v>
      </c>
      <c r="Q1645" s="281">
        <f>SUM(L1645:P1645)</f>
        <v>7000</v>
      </c>
      <c r="R1645" s="39"/>
      <c r="S1645" s="115"/>
      <c r="T1645" s="51"/>
    </row>
    <row r="1646" spans="1:20" x14ac:dyDescent="0.2">
      <c r="A1646" s="95">
        <v>5</v>
      </c>
      <c r="B1646" s="108" t="str">
        <f>IF(A1646&lt;&gt;0,INDEX(Coûts,'PA-Détails'!A1646, 2),)</f>
        <v>Atelier de validation</v>
      </c>
      <c r="C1646" s="51"/>
      <c r="D1646" s="94" t="str">
        <f>IF(A1646&lt;&gt;0,INDEX(Coûts, 'PA-Détails'!A1646, 5),)</f>
        <v>Pers / j</v>
      </c>
      <c r="E1646" s="96"/>
      <c r="F1646" s="100">
        <v>200</v>
      </c>
      <c r="G1646" s="100"/>
      <c r="H1646" s="100"/>
      <c r="I1646" s="100"/>
      <c r="J1646" s="101">
        <f>SUM(E1646:I1646)</f>
        <v>200</v>
      </c>
      <c r="K1646" s="115">
        <f>IF(A1646&lt;&gt;0,INDEX(Coûts, 'PA-Détails'!A1646, 3),)</f>
        <v>50</v>
      </c>
      <c r="L1646" s="37">
        <f t="shared" si="966"/>
        <v>0</v>
      </c>
      <c r="M1646" s="36">
        <f t="shared" si="966"/>
        <v>10000</v>
      </c>
      <c r="N1646" s="36">
        <f t="shared" si="966"/>
        <v>0</v>
      </c>
      <c r="O1646" s="36">
        <f t="shared" si="966"/>
        <v>0</v>
      </c>
      <c r="P1646" s="268">
        <f t="shared" si="966"/>
        <v>0</v>
      </c>
      <c r="Q1646" s="281">
        <f>SUM(L1646:P1646)</f>
        <v>10000</v>
      </c>
      <c r="R1646" s="39"/>
      <c r="S1646" s="115"/>
      <c r="T1646" s="51"/>
    </row>
    <row r="1647" spans="1:20" x14ac:dyDescent="0.2">
      <c r="A1647" s="20" t="s">
        <v>1347</v>
      </c>
      <c r="B1647" s="46"/>
      <c r="C1647" s="51"/>
      <c r="D1647" s="21"/>
      <c r="E1647" s="96"/>
      <c r="F1647" s="100"/>
      <c r="G1647" s="100"/>
      <c r="H1647" s="100"/>
      <c r="I1647" s="100"/>
      <c r="J1647" s="101"/>
      <c r="K1647" s="115"/>
      <c r="L1647" s="161">
        <f t="shared" ref="L1647:Q1647" si="967">SUM(L1648:L1650)</f>
        <v>0</v>
      </c>
      <c r="M1647" s="157">
        <f t="shared" si="967"/>
        <v>26000</v>
      </c>
      <c r="N1647" s="157">
        <f t="shared" si="967"/>
        <v>0</v>
      </c>
      <c r="O1647" s="157">
        <f t="shared" si="967"/>
        <v>0</v>
      </c>
      <c r="P1647" s="270">
        <f t="shared" si="967"/>
        <v>0</v>
      </c>
      <c r="Q1647" s="284">
        <f t="shared" si="967"/>
        <v>26000</v>
      </c>
      <c r="R1647" s="39" t="s">
        <v>1141</v>
      </c>
      <c r="S1647" s="115" t="s">
        <v>590</v>
      </c>
      <c r="T1647" s="51"/>
    </row>
    <row r="1648" spans="1:20" x14ac:dyDescent="0.2">
      <c r="A1648" s="95">
        <v>2</v>
      </c>
      <c r="B1648" s="108" t="str">
        <f>IF(A1648&lt;&gt;0,INDEX(Coûts,'PA-Détails'!A1648, 2),)</f>
        <v>Assistance technique nationale (consultants)</v>
      </c>
      <c r="C1648" s="51"/>
      <c r="D1648" s="94" t="str">
        <f>IF(A1648&lt;&gt;0,INDEX(Coûts, 'PA-Détails'!A1648, 5),)</f>
        <v>Pers / j</v>
      </c>
      <c r="E1648" s="96"/>
      <c r="F1648" s="100">
        <v>30</v>
      </c>
      <c r="G1648" s="100"/>
      <c r="H1648" s="100"/>
      <c r="I1648" s="100"/>
      <c r="J1648" s="101">
        <f>SUM(E1648:I1648)</f>
        <v>30</v>
      </c>
      <c r="K1648" s="115">
        <f>IF(A1648&lt;&gt;0,INDEX(Coûts, 'PA-Détails'!A1648, 3),)</f>
        <v>300</v>
      </c>
      <c r="L1648" s="37">
        <f t="shared" ref="L1648:P1651" si="968">ROUND(+$K1648*E1648,0)</f>
        <v>0</v>
      </c>
      <c r="M1648" s="36">
        <f t="shared" si="968"/>
        <v>9000</v>
      </c>
      <c r="N1648" s="36">
        <f t="shared" si="968"/>
        <v>0</v>
      </c>
      <c r="O1648" s="36">
        <f t="shared" si="968"/>
        <v>0</v>
      </c>
      <c r="P1648" s="268">
        <f t="shared" si="968"/>
        <v>0</v>
      </c>
      <c r="Q1648" s="281">
        <f>SUM(L1648:P1648)</f>
        <v>9000</v>
      </c>
      <c r="R1648" s="39"/>
      <c r="S1648" s="115"/>
      <c r="T1648" s="51"/>
    </row>
    <row r="1649" spans="1:20" x14ac:dyDescent="0.2">
      <c r="A1649" s="95">
        <v>11</v>
      </c>
      <c r="B1649" s="108" t="str">
        <f>IF(A1649&lt;&gt;0,INDEX(Coûts,'PA-Détails'!A1649, 2),)</f>
        <v>Atelier technique</v>
      </c>
      <c r="C1649" s="51"/>
      <c r="D1649" s="94" t="str">
        <f>IF(A1649&lt;&gt;0,INDEX(Coûts, 'PA-Détails'!A1649, 5),)</f>
        <v>Pers / j</v>
      </c>
      <c r="E1649" s="96"/>
      <c r="F1649" s="100">
        <v>100</v>
      </c>
      <c r="G1649" s="100"/>
      <c r="H1649" s="100"/>
      <c r="I1649" s="100"/>
      <c r="J1649" s="101">
        <f>SUM(E1649:I1649)</f>
        <v>100</v>
      </c>
      <c r="K1649" s="115">
        <f>IF(A1649&lt;&gt;0,INDEX(Coûts, 'PA-Détails'!A1649, 3),)</f>
        <v>70</v>
      </c>
      <c r="L1649" s="37">
        <f t="shared" si="968"/>
        <v>0</v>
      </c>
      <c r="M1649" s="36">
        <f t="shared" si="968"/>
        <v>7000</v>
      </c>
      <c r="N1649" s="36">
        <f t="shared" si="968"/>
        <v>0</v>
      </c>
      <c r="O1649" s="36">
        <f t="shared" si="968"/>
        <v>0</v>
      </c>
      <c r="P1649" s="268">
        <f t="shared" si="968"/>
        <v>0</v>
      </c>
      <c r="Q1649" s="281">
        <f>SUM(L1649:P1649)</f>
        <v>7000</v>
      </c>
      <c r="R1649" s="39"/>
      <c r="S1649" s="115"/>
      <c r="T1649" s="51"/>
    </row>
    <row r="1650" spans="1:20" x14ac:dyDescent="0.2">
      <c r="A1650" s="95">
        <v>5</v>
      </c>
      <c r="B1650" s="108" t="str">
        <f>IF(A1650&lt;&gt;0,INDEX(Coûts,'PA-Détails'!A1650, 2),)</f>
        <v>Atelier de validation</v>
      </c>
      <c r="C1650" s="51"/>
      <c r="D1650" s="94" t="str">
        <f>IF(A1650&lt;&gt;0,INDEX(Coûts, 'PA-Détails'!A1650, 5),)</f>
        <v>Pers / j</v>
      </c>
      <c r="E1650" s="96"/>
      <c r="F1650" s="100">
        <v>200</v>
      </c>
      <c r="G1650" s="100"/>
      <c r="H1650" s="100"/>
      <c r="I1650" s="100"/>
      <c r="J1650" s="101">
        <f>SUM(E1650:I1650)</f>
        <v>200</v>
      </c>
      <c r="K1650" s="115">
        <f>IF(A1650&lt;&gt;0,INDEX(Coûts, 'PA-Détails'!A1650, 3),)</f>
        <v>50</v>
      </c>
      <c r="L1650" s="37">
        <f t="shared" si="968"/>
        <v>0</v>
      </c>
      <c r="M1650" s="36">
        <f t="shared" si="968"/>
        <v>10000</v>
      </c>
      <c r="N1650" s="36">
        <f t="shared" si="968"/>
        <v>0</v>
      </c>
      <c r="O1650" s="36">
        <f t="shared" si="968"/>
        <v>0</v>
      </c>
      <c r="P1650" s="268">
        <f t="shared" si="968"/>
        <v>0</v>
      </c>
      <c r="Q1650" s="281">
        <f>SUM(L1650:P1650)</f>
        <v>10000</v>
      </c>
      <c r="R1650" s="39"/>
      <c r="S1650" s="115"/>
      <c r="T1650" s="51"/>
    </row>
    <row r="1651" spans="1:20" x14ac:dyDescent="0.2">
      <c r="A1651" s="17" t="s">
        <v>1348</v>
      </c>
      <c r="B1651" s="45"/>
      <c r="C1651" s="51"/>
      <c r="D1651" s="18"/>
      <c r="E1651" s="97"/>
      <c r="F1651" s="98"/>
      <c r="G1651" s="98"/>
      <c r="H1651" s="98"/>
      <c r="I1651" s="98"/>
      <c r="J1651" s="99"/>
      <c r="K1651" s="116"/>
      <c r="L1651" s="35">
        <f t="shared" si="968"/>
        <v>0</v>
      </c>
      <c r="M1651" s="34">
        <f t="shared" si="968"/>
        <v>0</v>
      </c>
      <c r="N1651" s="34">
        <f t="shared" si="968"/>
        <v>0</v>
      </c>
      <c r="O1651" s="34">
        <f t="shared" si="968"/>
        <v>0</v>
      </c>
      <c r="P1651" s="269">
        <f t="shared" si="968"/>
        <v>0</v>
      </c>
      <c r="Q1651" s="279"/>
      <c r="R1651" s="38"/>
      <c r="S1651" s="116"/>
      <c r="T1651" s="50"/>
    </row>
    <row r="1652" spans="1:20" x14ac:dyDescent="0.2">
      <c r="A1652" s="20" t="s">
        <v>1349</v>
      </c>
      <c r="B1652" s="46"/>
      <c r="C1652" s="51"/>
      <c r="D1652" s="21"/>
      <c r="E1652" s="96"/>
      <c r="F1652" s="100"/>
      <c r="G1652" s="100"/>
      <c r="H1652" s="100"/>
      <c r="I1652" s="100"/>
      <c r="J1652" s="101"/>
      <c r="K1652" s="115"/>
      <c r="L1652" s="161">
        <f t="shared" ref="L1652:Q1652" si="969">SUM(L1653:L1655)</f>
        <v>0</v>
      </c>
      <c r="M1652" s="157">
        <f t="shared" si="969"/>
        <v>26000</v>
      </c>
      <c r="N1652" s="157">
        <f t="shared" si="969"/>
        <v>0</v>
      </c>
      <c r="O1652" s="157">
        <f t="shared" si="969"/>
        <v>0</v>
      </c>
      <c r="P1652" s="270">
        <f t="shared" si="969"/>
        <v>0</v>
      </c>
      <c r="Q1652" s="284">
        <f t="shared" si="969"/>
        <v>26000</v>
      </c>
      <c r="R1652" s="39" t="s">
        <v>1142</v>
      </c>
      <c r="S1652" s="115" t="s">
        <v>590</v>
      </c>
      <c r="T1652" s="51"/>
    </row>
    <row r="1653" spans="1:20" x14ac:dyDescent="0.2">
      <c r="A1653" s="95">
        <v>2</v>
      </c>
      <c r="B1653" s="108" t="str">
        <f>IF(A1653&lt;&gt;0,INDEX(Coûts,'PA-Détails'!A1653, 2),)</f>
        <v>Assistance technique nationale (consultants)</v>
      </c>
      <c r="C1653" s="51"/>
      <c r="D1653" s="94" t="str">
        <f>IF(A1653&lt;&gt;0,INDEX(Coûts, 'PA-Détails'!A1653, 5),)</f>
        <v>Pers / j</v>
      </c>
      <c r="E1653" s="96"/>
      <c r="F1653" s="100">
        <v>30</v>
      </c>
      <c r="G1653" s="100"/>
      <c r="H1653" s="100"/>
      <c r="I1653" s="100"/>
      <c r="J1653" s="101">
        <f t="shared" ref="J1653:J1662" si="970">SUM(E1653:I1653)</f>
        <v>30</v>
      </c>
      <c r="K1653" s="115">
        <f>IF(A1653&lt;&gt;0,INDEX(Coûts, 'PA-Détails'!A1653, 3),)</f>
        <v>300</v>
      </c>
      <c r="L1653" s="37">
        <f t="shared" ref="L1653:P1655" si="971">ROUND(+$K1653*E1653,0)</f>
        <v>0</v>
      </c>
      <c r="M1653" s="36">
        <f t="shared" si="971"/>
        <v>9000</v>
      </c>
      <c r="N1653" s="36">
        <f t="shared" si="971"/>
        <v>0</v>
      </c>
      <c r="O1653" s="36">
        <f t="shared" si="971"/>
        <v>0</v>
      </c>
      <c r="P1653" s="268">
        <f t="shared" si="971"/>
        <v>0</v>
      </c>
      <c r="Q1653" s="281">
        <f>SUM(L1653:P1653)</f>
        <v>9000</v>
      </c>
      <c r="R1653" s="39"/>
      <c r="S1653" s="115"/>
      <c r="T1653" s="51"/>
    </row>
    <row r="1654" spans="1:20" x14ac:dyDescent="0.2">
      <c r="A1654" s="95">
        <v>11</v>
      </c>
      <c r="B1654" s="108" t="str">
        <f>IF(A1654&lt;&gt;0,INDEX(Coûts,'PA-Détails'!A1654, 2),)</f>
        <v>Atelier technique</v>
      </c>
      <c r="C1654" s="51"/>
      <c r="D1654" s="94" t="str">
        <f>IF(A1654&lt;&gt;0,INDEX(Coûts, 'PA-Détails'!A1654, 5),)</f>
        <v>Pers / j</v>
      </c>
      <c r="E1654" s="96"/>
      <c r="F1654" s="100">
        <v>100</v>
      </c>
      <c r="G1654" s="100"/>
      <c r="H1654" s="100"/>
      <c r="I1654" s="100"/>
      <c r="J1654" s="101">
        <f t="shared" si="970"/>
        <v>100</v>
      </c>
      <c r="K1654" s="115">
        <f>IF(A1654&lt;&gt;0,INDEX(Coûts, 'PA-Détails'!A1654, 3),)</f>
        <v>70</v>
      </c>
      <c r="L1654" s="37">
        <f t="shared" si="971"/>
        <v>0</v>
      </c>
      <c r="M1654" s="36">
        <f t="shared" si="971"/>
        <v>7000</v>
      </c>
      <c r="N1654" s="36">
        <f t="shared" si="971"/>
        <v>0</v>
      </c>
      <c r="O1654" s="36">
        <f t="shared" si="971"/>
        <v>0</v>
      </c>
      <c r="P1654" s="268">
        <f t="shared" si="971"/>
        <v>0</v>
      </c>
      <c r="Q1654" s="281">
        <f>SUM(L1654:P1654)</f>
        <v>7000</v>
      </c>
      <c r="R1654" s="39"/>
      <c r="S1654" s="115"/>
      <c r="T1654" s="51"/>
    </row>
    <row r="1655" spans="1:20" x14ac:dyDescent="0.2">
      <c r="A1655" s="95">
        <v>5</v>
      </c>
      <c r="B1655" s="108" t="str">
        <f>IF(A1655&lt;&gt;0,INDEX(Coûts,'PA-Détails'!A1655, 2),)</f>
        <v>Atelier de validation</v>
      </c>
      <c r="C1655" s="51"/>
      <c r="D1655" s="94" t="str">
        <f>IF(A1655&lt;&gt;0,INDEX(Coûts, 'PA-Détails'!A1655, 5),)</f>
        <v>Pers / j</v>
      </c>
      <c r="E1655" s="96"/>
      <c r="F1655" s="100">
        <v>200</v>
      </c>
      <c r="G1655" s="100"/>
      <c r="H1655" s="100"/>
      <c r="I1655" s="100"/>
      <c r="J1655" s="101">
        <f t="shared" si="970"/>
        <v>200</v>
      </c>
      <c r="K1655" s="115">
        <f>IF(A1655&lt;&gt;0,INDEX(Coûts, 'PA-Détails'!A1655, 3),)</f>
        <v>50</v>
      </c>
      <c r="L1655" s="37">
        <f t="shared" si="971"/>
        <v>0</v>
      </c>
      <c r="M1655" s="36">
        <f t="shared" si="971"/>
        <v>10000</v>
      </c>
      <c r="N1655" s="36">
        <f t="shared" si="971"/>
        <v>0</v>
      </c>
      <c r="O1655" s="36">
        <f t="shared" si="971"/>
        <v>0</v>
      </c>
      <c r="P1655" s="268">
        <f t="shared" si="971"/>
        <v>0</v>
      </c>
      <c r="Q1655" s="281">
        <f>SUM(L1655:P1655)</f>
        <v>10000</v>
      </c>
      <c r="R1655" s="39"/>
      <c r="S1655" s="115"/>
      <c r="T1655" s="51"/>
    </row>
    <row r="1656" spans="1:20" x14ac:dyDescent="0.2">
      <c r="A1656" s="20" t="s">
        <v>1350</v>
      </c>
      <c r="B1656" s="109"/>
      <c r="C1656" s="51"/>
      <c r="D1656" s="21"/>
      <c r="E1656" s="96"/>
      <c r="F1656" s="100"/>
      <c r="G1656" s="100"/>
      <c r="H1656" s="100"/>
      <c r="I1656" s="100"/>
      <c r="J1656" s="101">
        <f t="shared" si="970"/>
        <v>0</v>
      </c>
      <c r="K1656" s="115"/>
      <c r="L1656" s="161">
        <f t="shared" ref="L1656:Q1656" si="972">SUM(L1657:L1659)</f>
        <v>0</v>
      </c>
      <c r="M1656" s="157">
        <f t="shared" si="972"/>
        <v>71800</v>
      </c>
      <c r="N1656" s="157">
        <f t="shared" si="972"/>
        <v>71800</v>
      </c>
      <c r="O1656" s="157">
        <f t="shared" si="972"/>
        <v>71800</v>
      </c>
      <c r="P1656" s="270">
        <f t="shared" si="972"/>
        <v>0</v>
      </c>
      <c r="Q1656" s="284">
        <f t="shared" si="972"/>
        <v>215400</v>
      </c>
      <c r="R1656" s="39" t="s">
        <v>1142</v>
      </c>
      <c r="S1656" s="115" t="s">
        <v>590</v>
      </c>
      <c r="T1656" s="51"/>
    </row>
    <row r="1657" spans="1:20" x14ac:dyDescent="0.2">
      <c r="A1657" s="95">
        <v>81</v>
      </c>
      <c r="B1657" s="108" t="str">
        <f>IF(A1657&lt;&gt;0,INDEX(Coûts,'PA-Détails'!A1657, 2),)</f>
        <v>Production et diffusion de spots / sketchs audios</v>
      </c>
      <c r="C1657" s="51"/>
      <c r="D1657" s="94" t="str">
        <f>IF(A1657&lt;&gt;0,INDEX(Coûts, 'PA-Détails'!A1657, 5),)</f>
        <v>Unité</v>
      </c>
      <c r="E1657" s="96"/>
      <c r="F1657" s="100">
        <f>60*2</f>
        <v>120</v>
      </c>
      <c r="G1657" s="100">
        <f>F1657</f>
        <v>120</v>
      </c>
      <c r="H1657" s="100">
        <f>G1657</f>
        <v>120</v>
      </c>
      <c r="I1657" s="100"/>
      <c r="J1657" s="101">
        <f t="shared" si="970"/>
        <v>360</v>
      </c>
      <c r="K1657" s="115">
        <f>IF(A1657&lt;&gt;0,INDEX(Coûts, 'PA-Détails'!A1657, 3),)</f>
        <v>350</v>
      </c>
      <c r="L1657" s="37">
        <f t="shared" ref="L1657:P1659" si="973">ROUND(+$K1657*E1657,0)</f>
        <v>0</v>
      </c>
      <c r="M1657" s="36">
        <f t="shared" si="973"/>
        <v>42000</v>
      </c>
      <c r="N1657" s="36">
        <f t="shared" si="973"/>
        <v>42000</v>
      </c>
      <c r="O1657" s="36">
        <f t="shared" si="973"/>
        <v>42000</v>
      </c>
      <c r="P1657" s="268">
        <f t="shared" si="973"/>
        <v>0</v>
      </c>
      <c r="Q1657" s="281">
        <f>SUM(L1657:P1657)</f>
        <v>126000</v>
      </c>
      <c r="R1657" s="39"/>
      <c r="S1657" s="115"/>
      <c r="T1657" s="51"/>
    </row>
    <row r="1658" spans="1:20" x14ac:dyDescent="0.2">
      <c r="A1658" s="95">
        <v>82</v>
      </c>
      <c r="B1658" s="108" t="str">
        <f>IF(A1658&lt;&gt;0,INDEX(Coûts,'PA-Détails'!A1658, 2),)</f>
        <v>Support publicitaire : panneaux</v>
      </c>
      <c r="C1658" s="51"/>
      <c r="D1658" s="94" t="str">
        <f>IF(A1658&lt;&gt;0,INDEX(Coûts, 'PA-Détails'!A1658, 5),)</f>
        <v>Unité/mois</v>
      </c>
      <c r="E1658" s="96"/>
      <c r="F1658" s="100">
        <v>2</v>
      </c>
      <c r="G1658" s="100">
        <v>2</v>
      </c>
      <c r="H1658" s="100">
        <v>2</v>
      </c>
      <c r="I1658" s="100"/>
      <c r="J1658" s="101">
        <f t="shared" si="970"/>
        <v>6</v>
      </c>
      <c r="K1658" s="115">
        <f>IF(A1658&lt;&gt;0,INDEX(Coûts, 'PA-Détails'!A1658, 3),)</f>
        <v>2400</v>
      </c>
      <c r="L1658" s="37">
        <f t="shared" si="973"/>
        <v>0</v>
      </c>
      <c r="M1658" s="36">
        <f t="shared" si="973"/>
        <v>4800</v>
      </c>
      <c r="N1658" s="36">
        <f t="shared" si="973"/>
        <v>4800</v>
      </c>
      <c r="O1658" s="36">
        <f t="shared" si="973"/>
        <v>4800</v>
      </c>
      <c r="P1658" s="268">
        <f t="shared" si="973"/>
        <v>0</v>
      </c>
      <c r="Q1658" s="281">
        <f>SUM(L1658:P1658)</f>
        <v>14400</v>
      </c>
      <c r="R1658" s="39"/>
      <c r="S1658" s="115"/>
      <c r="T1658" s="51"/>
    </row>
    <row r="1659" spans="1:20" x14ac:dyDescent="0.2">
      <c r="A1659" s="95">
        <v>83</v>
      </c>
      <c r="B1659" s="108" t="str">
        <f>IF(A1659&lt;&gt;0,INDEX(Coûts,'PA-Détails'!A1659, 2),)</f>
        <v>Support publicitaire : affiches</v>
      </c>
      <c r="C1659" s="51"/>
      <c r="D1659" s="94" t="str">
        <f>IF(A1659&lt;&gt;0,INDEX(Coûts, 'PA-Détails'!A1659, 5),)</f>
        <v>Unité</v>
      </c>
      <c r="E1659" s="96"/>
      <c r="F1659" s="100">
        <v>1000</v>
      </c>
      <c r="G1659" s="100">
        <v>1000</v>
      </c>
      <c r="H1659" s="100">
        <v>1000</v>
      </c>
      <c r="I1659" s="100"/>
      <c r="J1659" s="101">
        <f t="shared" si="970"/>
        <v>3000</v>
      </c>
      <c r="K1659" s="115">
        <f>IF(A1659&lt;&gt;0,INDEX(Coûts, 'PA-Détails'!A1659, 3),)</f>
        <v>25</v>
      </c>
      <c r="L1659" s="37">
        <f t="shared" si="973"/>
        <v>0</v>
      </c>
      <c r="M1659" s="36">
        <f t="shared" si="973"/>
        <v>25000</v>
      </c>
      <c r="N1659" s="36">
        <f t="shared" si="973"/>
        <v>25000</v>
      </c>
      <c r="O1659" s="36">
        <f t="shared" si="973"/>
        <v>25000</v>
      </c>
      <c r="P1659" s="268">
        <f t="shared" si="973"/>
        <v>0</v>
      </c>
      <c r="Q1659" s="281">
        <f>SUM(L1659:P1659)</f>
        <v>75000</v>
      </c>
      <c r="R1659" s="39"/>
      <c r="S1659" s="115"/>
      <c r="T1659" s="51"/>
    </row>
    <row r="1660" spans="1:20" x14ac:dyDescent="0.2">
      <c r="A1660" s="20" t="s">
        <v>1351</v>
      </c>
      <c r="B1660" s="109"/>
      <c r="C1660" s="51"/>
      <c r="D1660" s="21"/>
      <c r="E1660" s="96"/>
      <c r="F1660" s="100"/>
      <c r="G1660" s="100"/>
      <c r="H1660" s="100"/>
      <c r="I1660" s="100"/>
      <c r="J1660" s="101">
        <f t="shared" si="970"/>
        <v>0</v>
      </c>
      <c r="K1660" s="115"/>
      <c r="L1660" s="161">
        <f t="shared" ref="L1660:Q1660" si="974">SUM(L1661:L1662)</f>
        <v>0</v>
      </c>
      <c r="M1660" s="157">
        <f t="shared" si="974"/>
        <v>90000</v>
      </c>
      <c r="N1660" s="157">
        <f t="shared" si="974"/>
        <v>52500</v>
      </c>
      <c r="O1660" s="157">
        <f t="shared" si="974"/>
        <v>52500</v>
      </c>
      <c r="P1660" s="270">
        <f t="shared" si="974"/>
        <v>52500</v>
      </c>
      <c r="Q1660" s="284">
        <f t="shared" si="974"/>
        <v>247500</v>
      </c>
      <c r="R1660" s="39" t="s">
        <v>1142</v>
      </c>
      <c r="S1660" s="115" t="s">
        <v>590</v>
      </c>
      <c r="T1660" s="51"/>
    </row>
    <row r="1661" spans="1:20" x14ac:dyDescent="0.2">
      <c r="A1661" s="95">
        <v>12</v>
      </c>
      <c r="B1661" s="108" t="str">
        <f>IF(A1661&lt;&gt;0,INDEX(Coûts,'PA-Détails'!A1661, 2),)</f>
        <v>Formation - Action et Formation de formateurs</v>
      </c>
      <c r="C1661" s="51"/>
      <c r="D1661" s="94" t="str">
        <f>IF(A1661&lt;&gt;0,INDEX(Coûts, 'PA-Détails'!A1661, 5),)</f>
        <v>Pers / j</v>
      </c>
      <c r="E1661" s="96"/>
      <c r="F1661" s="100">
        <v>250</v>
      </c>
      <c r="G1661" s="100"/>
      <c r="H1661" s="100"/>
      <c r="I1661" s="100"/>
      <c r="J1661" s="101">
        <f t="shared" si="970"/>
        <v>250</v>
      </c>
      <c r="K1661" s="115">
        <f>IF(A1661&lt;&gt;0,INDEX(Coûts, 'PA-Détails'!A1661, 3),)</f>
        <v>150</v>
      </c>
      <c r="L1661" s="37">
        <f t="shared" ref="L1661:P1663" si="975">ROUND(+$K1661*E1661,0)</f>
        <v>0</v>
      </c>
      <c r="M1661" s="36">
        <f t="shared" si="975"/>
        <v>37500</v>
      </c>
      <c r="N1661" s="36">
        <f t="shared" si="975"/>
        <v>0</v>
      </c>
      <c r="O1661" s="36">
        <f t="shared" si="975"/>
        <v>0</v>
      </c>
      <c r="P1661" s="268">
        <f t="shared" si="975"/>
        <v>0</v>
      </c>
      <c r="Q1661" s="281">
        <f>SUM(L1661:P1661)</f>
        <v>37500</v>
      </c>
      <c r="R1661" s="39"/>
      <c r="S1661" s="115"/>
      <c r="T1661" s="51"/>
    </row>
    <row r="1662" spans="1:20" x14ac:dyDescent="0.2">
      <c r="A1662" s="95">
        <v>84</v>
      </c>
      <c r="B1662" s="108" t="str">
        <f>IF(A1662&lt;&gt;0,INDEX(Coûts,'PA-Détails'!A1662, 2),)</f>
        <v>Campagne de sensibilisation</v>
      </c>
      <c r="C1662" s="51"/>
      <c r="D1662" s="94" t="str">
        <f>IF(A1662&lt;&gt;0,INDEX(Coûts, 'PA-Détails'!A1662, 5),)</f>
        <v>Unité</v>
      </c>
      <c r="E1662" s="96"/>
      <c r="F1662" s="100">
        <v>30</v>
      </c>
      <c r="G1662" s="100">
        <v>30</v>
      </c>
      <c r="H1662" s="100">
        <v>30</v>
      </c>
      <c r="I1662" s="100">
        <v>30</v>
      </c>
      <c r="J1662" s="101">
        <f t="shared" si="970"/>
        <v>120</v>
      </c>
      <c r="K1662" s="115">
        <f>IF(A1662&lt;&gt;0,INDEX(Coûts, 'PA-Détails'!A1662, 3),)</f>
        <v>1750</v>
      </c>
      <c r="L1662" s="37">
        <f t="shared" si="975"/>
        <v>0</v>
      </c>
      <c r="M1662" s="36">
        <f t="shared" si="975"/>
        <v>52500</v>
      </c>
      <c r="N1662" s="36">
        <f t="shared" si="975"/>
        <v>52500</v>
      </c>
      <c r="O1662" s="36">
        <f t="shared" si="975"/>
        <v>52500</v>
      </c>
      <c r="P1662" s="268">
        <f t="shared" si="975"/>
        <v>52500</v>
      </c>
      <c r="Q1662" s="281">
        <f>SUM(L1662:P1662)</f>
        <v>210000</v>
      </c>
      <c r="R1662" s="39"/>
      <c r="S1662" s="115"/>
      <c r="T1662" s="51"/>
    </row>
    <row r="1663" spans="1:20" x14ac:dyDescent="0.2">
      <c r="A1663" s="17" t="s">
        <v>1352</v>
      </c>
      <c r="B1663" s="45"/>
      <c r="C1663" s="51"/>
      <c r="D1663" s="18"/>
      <c r="E1663" s="97"/>
      <c r="F1663" s="98"/>
      <c r="G1663" s="98"/>
      <c r="H1663" s="98"/>
      <c r="I1663" s="98"/>
      <c r="J1663" s="99"/>
      <c r="K1663" s="116"/>
      <c r="L1663" s="35">
        <f t="shared" si="975"/>
        <v>0</v>
      </c>
      <c r="M1663" s="34">
        <f t="shared" si="975"/>
        <v>0</v>
      </c>
      <c r="N1663" s="34">
        <f t="shared" si="975"/>
        <v>0</v>
      </c>
      <c r="O1663" s="34">
        <f t="shared" si="975"/>
        <v>0</v>
      </c>
      <c r="P1663" s="269">
        <f t="shared" si="975"/>
        <v>0</v>
      </c>
      <c r="Q1663" s="279"/>
      <c r="R1663" s="38"/>
      <c r="S1663" s="116"/>
      <c r="T1663" s="50"/>
    </row>
    <row r="1664" spans="1:20" x14ac:dyDescent="0.2">
      <c r="A1664" s="20" t="s">
        <v>1353</v>
      </c>
      <c r="B1664" s="46"/>
      <c r="C1664" s="51"/>
      <c r="D1664" s="21"/>
      <c r="E1664" s="96"/>
      <c r="F1664" s="100"/>
      <c r="G1664" s="100"/>
      <c r="H1664" s="100"/>
      <c r="I1664" s="100"/>
      <c r="J1664" s="101"/>
      <c r="K1664" s="115"/>
      <c r="L1664" s="161">
        <f t="shared" ref="L1664:Q1664" si="976">SUM(L1665:L1666)</f>
        <v>0</v>
      </c>
      <c r="M1664" s="157">
        <f t="shared" si="976"/>
        <v>13000</v>
      </c>
      <c r="N1664" s="157">
        <f t="shared" si="976"/>
        <v>0</v>
      </c>
      <c r="O1664" s="157">
        <f t="shared" si="976"/>
        <v>0</v>
      </c>
      <c r="P1664" s="270">
        <f t="shared" si="976"/>
        <v>0</v>
      </c>
      <c r="Q1664" s="284">
        <f t="shared" si="976"/>
        <v>13000</v>
      </c>
      <c r="R1664" s="39" t="s">
        <v>1141</v>
      </c>
      <c r="S1664" s="115" t="s">
        <v>590</v>
      </c>
      <c r="T1664" s="51"/>
    </row>
    <row r="1665" spans="1:26" x14ac:dyDescent="0.2">
      <c r="A1665" s="95">
        <v>2</v>
      </c>
      <c r="B1665" s="108" t="str">
        <f>IF(A1665&lt;&gt;0,INDEX(Coûts,'PA-Détails'!A1665, 2),)</f>
        <v>Assistance technique nationale (consultants)</v>
      </c>
      <c r="C1665" s="51"/>
      <c r="D1665" s="94" t="str">
        <f>IF(A1665&lt;&gt;0,INDEX(Coûts, 'PA-Détails'!A1665, 5),)</f>
        <v>Pers / j</v>
      </c>
      <c r="E1665" s="96"/>
      <c r="F1665" s="100">
        <v>10</v>
      </c>
      <c r="G1665" s="100"/>
      <c r="H1665" s="100"/>
      <c r="I1665" s="100"/>
      <c r="J1665" s="101">
        <f>SUM(E1665:I1665)</f>
        <v>10</v>
      </c>
      <c r="K1665" s="115">
        <f>IF(A1665&lt;&gt;0,INDEX(Coûts, 'PA-Détails'!A1665, 3),)</f>
        <v>300</v>
      </c>
      <c r="L1665" s="37">
        <f t="shared" ref="L1665:P1666" si="977">ROUND(+$K1665*E1665,0)</f>
        <v>0</v>
      </c>
      <c r="M1665" s="36">
        <f t="shared" si="977"/>
        <v>3000</v>
      </c>
      <c r="N1665" s="36">
        <f t="shared" si="977"/>
        <v>0</v>
      </c>
      <c r="O1665" s="36">
        <f t="shared" si="977"/>
        <v>0</v>
      </c>
      <c r="P1665" s="268">
        <f t="shared" si="977"/>
        <v>0</v>
      </c>
      <c r="Q1665" s="281">
        <f>SUM(L1665:P1665)</f>
        <v>3000</v>
      </c>
      <c r="R1665" s="39"/>
      <c r="S1665" s="115"/>
      <c r="T1665" s="51"/>
    </row>
    <row r="1666" spans="1:26" x14ac:dyDescent="0.2">
      <c r="A1666" s="95">
        <v>5</v>
      </c>
      <c r="B1666" s="108" t="str">
        <f>IF(A1666&lt;&gt;0,INDEX(Coûts,'PA-Détails'!A1666, 2),)</f>
        <v>Atelier de validation</v>
      </c>
      <c r="C1666" s="51"/>
      <c r="D1666" s="94" t="str">
        <f>IF(A1666&lt;&gt;0,INDEX(Coûts, 'PA-Détails'!A1666, 5),)</f>
        <v>Pers / j</v>
      </c>
      <c r="E1666" s="96"/>
      <c r="F1666" s="100">
        <v>200</v>
      </c>
      <c r="G1666" s="100"/>
      <c r="H1666" s="100"/>
      <c r="I1666" s="100"/>
      <c r="J1666" s="101">
        <f>SUM(E1666:I1666)</f>
        <v>200</v>
      </c>
      <c r="K1666" s="115">
        <f>IF(A1666&lt;&gt;0,INDEX(Coûts, 'PA-Détails'!A1666, 3),)</f>
        <v>50</v>
      </c>
      <c r="L1666" s="37">
        <f t="shared" si="977"/>
        <v>0</v>
      </c>
      <c r="M1666" s="36">
        <f t="shared" si="977"/>
        <v>10000</v>
      </c>
      <c r="N1666" s="36">
        <f t="shared" si="977"/>
        <v>0</v>
      </c>
      <c r="O1666" s="36">
        <f t="shared" si="977"/>
        <v>0</v>
      </c>
      <c r="P1666" s="268">
        <f t="shared" si="977"/>
        <v>0</v>
      </c>
      <c r="Q1666" s="281">
        <f>SUM(L1666:P1666)</f>
        <v>10000</v>
      </c>
      <c r="R1666" s="39"/>
      <c r="S1666" s="115"/>
      <c r="T1666" s="51"/>
    </row>
    <row r="1667" spans="1:26" x14ac:dyDescent="0.2">
      <c r="A1667" s="20" t="s">
        <v>1354</v>
      </c>
      <c r="B1667" s="46"/>
      <c r="C1667" s="51" t="s">
        <v>591</v>
      </c>
      <c r="D1667" s="147"/>
      <c r="E1667" s="96"/>
      <c r="F1667" s="100"/>
      <c r="G1667" s="100"/>
      <c r="H1667" s="100"/>
      <c r="I1667" s="100"/>
      <c r="J1667" s="101"/>
      <c r="K1667" s="115"/>
      <c r="L1667" s="161">
        <f t="shared" ref="L1667:Q1667" si="978">SUM(L1668:L1669)</f>
        <v>0</v>
      </c>
      <c r="M1667" s="157">
        <f t="shared" si="978"/>
        <v>114500</v>
      </c>
      <c r="N1667" s="157">
        <f t="shared" si="978"/>
        <v>110000</v>
      </c>
      <c r="O1667" s="157">
        <f t="shared" si="978"/>
        <v>110000</v>
      </c>
      <c r="P1667" s="270">
        <f t="shared" si="978"/>
        <v>110000</v>
      </c>
      <c r="Q1667" s="284">
        <f t="shared" si="978"/>
        <v>444500</v>
      </c>
      <c r="R1667" s="39" t="s">
        <v>1141</v>
      </c>
      <c r="S1667" s="115" t="s">
        <v>590</v>
      </c>
      <c r="T1667" s="51"/>
    </row>
    <row r="1668" spans="1:26" x14ac:dyDescent="0.2">
      <c r="A1668" s="95">
        <v>12</v>
      </c>
      <c r="B1668" s="108" t="str">
        <f>IF(A1668&lt;&gt;0,INDEX(Coûts,'PA-Détails'!A1668, 2),)</f>
        <v>Formation - Action et Formation de formateurs</v>
      </c>
      <c r="C1668" s="51"/>
      <c r="D1668" s="94" t="str">
        <f>IF(A1668&lt;&gt;0,INDEX(Coûts, 'PA-Détails'!A1668, 5),)</f>
        <v>Pers / j</v>
      </c>
      <c r="E1668" s="96"/>
      <c r="F1668" s="100">
        <v>30</v>
      </c>
      <c r="G1668" s="100"/>
      <c r="H1668" s="100"/>
      <c r="I1668" s="100"/>
      <c r="J1668" s="101">
        <f>SUM(E1668:I1668)</f>
        <v>30</v>
      </c>
      <c r="K1668" s="115">
        <f>IF(A1668&lt;&gt;0,INDEX(Coûts, 'PA-Détails'!A1668, 3),)</f>
        <v>150</v>
      </c>
      <c r="L1668" s="37">
        <f t="shared" ref="L1668:P1695" si="979">ROUND(+$K1668*E1668,0)</f>
        <v>0</v>
      </c>
      <c r="M1668" s="36">
        <f t="shared" si="979"/>
        <v>4500</v>
      </c>
      <c r="N1668" s="36">
        <f t="shared" si="979"/>
        <v>0</v>
      </c>
      <c r="O1668" s="36">
        <f t="shared" si="979"/>
        <v>0</v>
      </c>
      <c r="P1668" s="268">
        <f t="shared" si="979"/>
        <v>0</v>
      </c>
      <c r="Q1668" s="281">
        <f>SUM(L1668:P1668)</f>
        <v>4500</v>
      </c>
      <c r="R1668" s="39"/>
      <c r="S1668" s="115"/>
      <c r="T1668" s="51"/>
    </row>
    <row r="1669" spans="1:26" x14ac:dyDescent="0.2">
      <c r="A1669" s="95">
        <v>8</v>
      </c>
      <c r="B1669" s="108" t="str">
        <f>IF(A1669&lt;&gt;0,INDEX(Coûts,'PA-Détails'!A1669, 2),)</f>
        <v>Formation</v>
      </c>
      <c r="C1669" s="51"/>
      <c r="D1669" s="94" t="str">
        <f>IF(A1669&lt;&gt;0,INDEX(Coûts, 'PA-Détails'!A1669, 5),)</f>
        <v>Pers / j</v>
      </c>
      <c r="E1669" s="96"/>
      <c r="F1669" s="100">
        <v>1000</v>
      </c>
      <c r="G1669" s="100">
        <v>1000</v>
      </c>
      <c r="H1669" s="100">
        <v>1000</v>
      </c>
      <c r="I1669" s="100">
        <v>1000</v>
      </c>
      <c r="J1669" s="101">
        <f>SUM(E1669:I1669)</f>
        <v>4000</v>
      </c>
      <c r="K1669" s="115">
        <f>IF(A1669&lt;&gt;0,INDEX(Coûts, 'PA-Détails'!A1669, 3),)</f>
        <v>110</v>
      </c>
      <c r="L1669" s="37">
        <f t="shared" si="979"/>
        <v>0</v>
      </c>
      <c r="M1669" s="36">
        <f t="shared" si="979"/>
        <v>110000</v>
      </c>
      <c r="N1669" s="36">
        <f t="shared" si="979"/>
        <v>110000</v>
      </c>
      <c r="O1669" s="36">
        <f t="shared" si="979"/>
        <v>110000</v>
      </c>
      <c r="P1669" s="268">
        <f t="shared" si="979"/>
        <v>110000</v>
      </c>
      <c r="Q1669" s="281">
        <f>SUM(L1669:P1669)</f>
        <v>440000</v>
      </c>
      <c r="R1669" s="39"/>
      <c r="S1669" s="115"/>
      <c r="T1669" s="51"/>
    </row>
    <row r="1670" spans="1:26" s="162" customFormat="1" x14ac:dyDescent="0.2">
      <c r="A1670" s="122" t="s">
        <v>1394</v>
      </c>
      <c r="B1670" s="152"/>
      <c r="C1670" s="153"/>
      <c r="D1670" s="155"/>
      <c r="E1670" s="156"/>
      <c r="F1670" s="157"/>
      <c r="G1670" s="157"/>
      <c r="H1670" s="157"/>
      <c r="I1670" s="157"/>
      <c r="J1670" s="158">
        <f>SUM(E1670:I1670)</f>
        <v>0</v>
      </c>
      <c r="K1670" s="208"/>
      <c r="L1670" s="161">
        <f>ROUND(+$K1670*E1670,0)</f>
        <v>0</v>
      </c>
      <c r="M1670" s="157">
        <f>ROUND(+$K1670*F1670,0)</f>
        <v>0</v>
      </c>
      <c r="N1670" s="157">
        <f>ROUND(+$K1670*G1670,0)</f>
        <v>0</v>
      </c>
      <c r="O1670" s="157">
        <f>ROUND(+$K1670*H1670,0)</f>
        <v>0</v>
      </c>
      <c r="P1670" s="270">
        <f>ROUND(+$K1670*I1670,0)</f>
        <v>0</v>
      </c>
      <c r="Q1670" s="284">
        <f>SUM(L1670:P1670)</f>
        <v>0</v>
      </c>
      <c r="R1670" s="159"/>
      <c r="S1670" s="208"/>
      <c r="T1670" s="154"/>
      <c r="U1670" s="653"/>
      <c r="V1670" s="572"/>
      <c r="W1670" s="572"/>
      <c r="X1670" s="572"/>
      <c r="Y1670" s="572"/>
      <c r="Z1670" s="572"/>
    </row>
    <row r="1671" spans="1:26" s="162" customFormat="1" x14ac:dyDescent="0.2">
      <c r="A1671" s="123" t="s">
        <v>1395</v>
      </c>
      <c r="B1671" s="152"/>
      <c r="C1671" s="153"/>
      <c r="D1671" s="155"/>
      <c r="E1671" s="156"/>
      <c r="F1671" s="157"/>
      <c r="G1671" s="157"/>
      <c r="H1671" s="157"/>
      <c r="I1671" s="157"/>
      <c r="J1671" s="158"/>
      <c r="K1671" s="208"/>
      <c r="L1671" s="161">
        <f t="shared" ref="L1671:Q1671" si="980">SUM(L1672:L1674)</f>
        <v>72000</v>
      </c>
      <c r="M1671" s="157">
        <f t="shared" si="980"/>
        <v>27000</v>
      </c>
      <c r="N1671" s="157">
        <f t="shared" si="980"/>
        <v>27000</v>
      </c>
      <c r="O1671" s="157">
        <f t="shared" si="980"/>
        <v>27000</v>
      </c>
      <c r="P1671" s="270">
        <f t="shared" si="980"/>
        <v>27000</v>
      </c>
      <c r="Q1671" s="284">
        <f t="shared" si="980"/>
        <v>180000</v>
      </c>
      <c r="R1671" s="169" t="s">
        <v>778</v>
      </c>
      <c r="S1671" s="208"/>
      <c r="T1671" s="154"/>
      <c r="U1671" s="653"/>
      <c r="V1671" s="572"/>
      <c r="W1671" s="572"/>
      <c r="X1671" s="572"/>
      <c r="Y1671" s="572"/>
      <c r="Z1671" s="572"/>
    </row>
    <row r="1672" spans="1:26" s="162" customFormat="1" x14ac:dyDescent="0.2">
      <c r="A1672" s="95">
        <v>2</v>
      </c>
      <c r="B1672" s="163" t="str">
        <f>IF(A1672&lt;&gt;0,INDEX(Coûts,'PA-Détails'!A1672, 2),)</f>
        <v>Assistance technique nationale (consultants)</v>
      </c>
      <c r="C1672" s="153"/>
      <c r="D1672" s="94" t="str">
        <f>IF(A1672&lt;&gt;0,INDEX(Coûts, 'PA-Détails'!A1672, 5),)</f>
        <v>Pers / j</v>
      </c>
      <c r="E1672" s="96">
        <v>15</v>
      </c>
      <c r="F1672" s="100"/>
      <c r="G1672" s="100"/>
      <c r="H1672" s="100"/>
      <c r="I1672" s="100"/>
      <c r="J1672" s="101">
        <f>SUM(E1672:I1672)</f>
        <v>15</v>
      </c>
      <c r="K1672" s="94">
        <f>IF(A1672&lt;&gt;0,INDEX(Coûts, 'PA-Détails'!A1672, 3),)</f>
        <v>300</v>
      </c>
      <c r="L1672" s="167">
        <f t="shared" ref="L1672:P1675" si="981">ROUND(+$K1672*E1672,0)</f>
        <v>4500</v>
      </c>
      <c r="M1672" s="168">
        <f t="shared" si="981"/>
        <v>0</v>
      </c>
      <c r="N1672" s="168">
        <f t="shared" si="981"/>
        <v>0</v>
      </c>
      <c r="O1672" s="168">
        <f t="shared" si="981"/>
        <v>0</v>
      </c>
      <c r="P1672" s="271">
        <f t="shared" si="981"/>
        <v>0</v>
      </c>
      <c r="Q1672" s="283">
        <f>SUM(L1672:P1672)</f>
        <v>4500</v>
      </c>
      <c r="R1672" s="169"/>
      <c r="S1672" s="94"/>
      <c r="T1672" s="153"/>
      <c r="U1672" s="653"/>
      <c r="V1672" s="572"/>
      <c r="W1672" s="572"/>
      <c r="X1672" s="572"/>
      <c r="Y1672" s="572"/>
      <c r="Z1672" s="572"/>
    </row>
    <row r="1673" spans="1:26" s="162" customFormat="1" x14ac:dyDescent="0.2">
      <c r="A1673" s="95">
        <v>12</v>
      </c>
      <c r="B1673" s="163" t="str">
        <f>IF(A1673&lt;&gt;0,INDEX(Coûts,'PA-Détails'!A1673, 2),)</f>
        <v>Formation - Action et Formation de formateurs</v>
      </c>
      <c r="C1673" s="153"/>
      <c r="D1673" s="94" t="str">
        <f>IF(A1673&lt;&gt;0,INDEX(Coûts, 'PA-Détails'!A1673, 5),)</f>
        <v>Pers / j</v>
      </c>
      <c r="E1673" s="96">
        <f>3*30*5</f>
        <v>450</v>
      </c>
      <c r="F1673" s="100"/>
      <c r="G1673" s="100"/>
      <c r="H1673" s="100"/>
      <c r="I1673" s="100"/>
      <c r="J1673" s="101">
        <f>SUM(E1673:I1673)</f>
        <v>450</v>
      </c>
      <c r="K1673" s="94">
        <f>IF(A1673&lt;&gt;0,INDEX(Coûts, 'PA-Détails'!A1673, 3),)</f>
        <v>150</v>
      </c>
      <c r="L1673" s="167">
        <f t="shared" si="981"/>
        <v>67500</v>
      </c>
      <c r="M1673" s="168">
        <f t="shared" si="981"/>
        <v>0</v>
      </c>
      <c r="N1673" s="168">
        <f t="shared" si="981"/>
        <v>0</v>
      </c>
      <c r="O1673" s="168">
        <f t="shared" si="981"/>
        <v>0</v>
      </c>
      <c r="P1673" s="271">
        <f t="shared" si="981"/>
        <v>0</v>
      </c>
      <c r="Q1673" s="283">
        <f>SUM(L1673:P1673)</f>
        <v>67500</v>
      </c>
      <c r="R1673" s="169"/>
      <c r="S1673" s="94"/>
      <c r="T1673" s="153"/>
      <c r="U1673" s="653"/>
      <c r="V1673" s="572"/>
      <c r="W1673" s="572"/>
      <c r="X1673" s="572"/>
      <c r="Y1673" s="572"/>
      <c r="Z1673" s="572"/>
    </row>
    <row r="1674" spans="1:26" s="162" customFormat="1" x14ac:dyDescent="0.2">
      <c r="A1674" s="95">
        <v>13</v>
      </c>
      <c r="B1674" s="163" t="str">
        <f>IF(A1674&lt;&gt;0,INDEX(Coûts,'PA-Détails'!A1674, 2),)</f>
        <v>Formation au niveau local</v>
      </c>
      <c r="C1674" s="153"/>
      <c r="D1674" s="94" t="str">
        <f>IF(A1674&lt;&gt;0,INDEX(Coûts, 'PA-Détails'!A1674, 5),)</f>
        <v>Pers / j</v>
      </c>
      <c r="E1674" s="96"/>
      <c r="F1674" s="100">
        <f>360*5</f>
        <v>1800</v>
      </c>
      <c r="G1674" s="100">
        <f>F1674</f>
        <v>1800</v>
      </c>
      <c r="H1674" s="100">
        <f>G1674</f>
        <v>1800</v>
      </c>
      <c r="I1674" s="100">
        <f>H1674</f>
        <v>1800</v>
      </c>
      <c r="J1674" s="101">
        <f>SUM(E1674:I1674)</f>
        <v>7200</v>
      </c>
      <c r="K1674" s="94">
        <f>IF(A1674&lt;&gt;0,INDEX(Coûts, 'PA-Détails'!A1674, 3),)</f>
        <v>15</v>
      </c>
      <c r="L1674" s="167">
        <f t="shared" si="981"/>
        <v>0</v>
      </c>
      <c r="M1674" s="168">
        <f t="shared" si="981"/>
        <v>27000</v>
      </c>
      <c r="N1674" s="168">
        <f t="shared" si="981"/>
        <v>27000</v>
      </c>
      <c r="O1674" s="168">
        <f t="shared" si="981"/>
        <v>27000</v>
      </c>
      <c r="P1674" s="271">
        <f t="shared" si="981"/>
        <v>27000</v>
      </c>
      <c r="Q1674" s="283">
        <f>SUM(L1674:P1674)</f>
        <v>108000</v>
      </c>
      <c r="R1674" s="169"/>
      <c r="S1674" s="94"/>
      <c r="T1674" s="153"/>
      <c r="U1674" s="653"/>
      <c r="V1674" s="572"/>
      <c r="W1674" s="572"/>
      <c r="X1674" s="572"/>
      <c r="Y1674" s="572"/>
      <c r="Z1674" s="572"/>
    </row>
    <row r="1675" spans="1:26" s="162" customFormat="1" x14ac:dyDescent="0.2">
      <c r="A1675" s="122" t="s">
        <v>1396</v>
      </c>
      <c r="B1675" s="202"/>
      <c r="C1675" s="153"/>
      <c r="D1675" s="94" t="s">
        <v>1134</v>
      </c>
      <c r="E1675" s="96"/>
      <c r="F1675" s="100"/>
      <c r="G1675" s="100"/>
      <c r="H1675" s="100"/>
      <c r="I1675" s="100"/>
      <c r="J1675" s="101"/>
      <c r="K1675" s="94"/>
      <c r="L1675" s="167">
        <f t="shared" si="981"/>
        <v>0</v>
      </c>
      <c r="M1675" s="168">
        <f t="shared" si="981"/>
        <v>0</v>
      </c>
      <c r="N1675" s="168">
        <f t="shared" si="981"/>
        <v>0</v>
      </c>
      <c r="O1675" s="168">
        <f t="shared" si="981"/>
        <v>0</v>
      </c>
      <c r="P1675" s="271">
        <f t="shared" si="981"/>
        <v>0</v>
      </c>
      <c r="Q1675" s="283"/>
      <c r="R1675" s="169"/>
      <c r="S1675" s="94"/>
      <c r="T1675" s="153"/>
      <c r="U1675" s="653"/>
      <c r="V1675" s="572"/>
      <c r="W1675" s="572"/>
      <c r="X1675" s="572"/>
      <c r="Y1675" s="572"/>
      <c r="Z1675" s="572"/>
    </row>
    <row r="1676" spans="1:26" s="162" customFormat="1" x14ac:dyDescent="0.2">
      <c r="A1676" s="123" t="s">
        <v>1397</v>
      </c>
      <c r="B1676" s="202"/>
      <c r="C1676" s="153"/>
      <c r="D1676" s="203"/>
      <c r="E1676" s="96"/>
      <c r="F1676" s="100"/>
      <c r="G1676" s="100"/>
      <c r="H1676" s="100"/>
      <c r="I1676" s="100"/>
      <c r="J1676" s="101"/>
      <c r="K1676" s="94"/>
      <c r="L1676" s="161">
        <f t="shared" ref="L1676:Q1676" si="982">SUM(L1677:L1677)</f>
        <v>17500</v>
      </c>
      <c r="M1676" s="157">
        <f t="shared" si="982"/>
        <v>17500</v>
      </c>
      <c r="N1676" s="157">
        <f t="shared" si="982"/>
        <v>17500</v>
      </c>
      <c r="O1676" s="157">
        <f t="shared" si="982"/>
        <v>17500</v>
      </c>
      <c r="P1676" s="270">
        <f t="shared" si="982"/>
        <v>17500</v>
      </c>
      <c r="Q1676" s="284">
        <f t="shared" si="982"/>
        <v>87500</v>
      </c>
      <c r="R1676" s="169" t="s">
        <v>778</v>
      </c>
      <c r="S1676" s="94"/>
      <c r="T1676" s="153"/>
      <c r="U1676" s="653"/>
      <c r="V1676" s="572"/>
      <c r="W1676" s="572"/>
      <c r="X1676" s="572"/>
      <c r="Y1676" s="572"/>
      <c r="Z1676" s="572"/>
    </row>
    <row r="1677" spans="1:26" s="162" customFormat="1" x14ac:dyDescent="0.2">
      <c r="A1677" s="95">
        <v>84</v>
      </c>
      <c r="B1677" s="163" t="str">
        <f>IF(A1677&lt;&gt;0,INDEX(Coûts,'PA-Détails'!A1677, 2),)</f>
        <v>Campagne de sensibilisation</v>
      </c>
      <c r="C1677" s="153"/>
      <c r="D1677" s="94" t="str">
        <f>IF(A1677&lt;&gt;0,INDEX(Coûts, 'PA-Détails'!A1677, 5),)</f>
        <v>Unité</v>
      </c>
      <c r="E1677" s="96">
        <v>10</v>
      </c>
      <c r="F1677" s="100">
        <v>10</v>
      </c>
      <c r="G1677" s="100">
        <v>10</v>
      </c>
      <c r="H1677" s="100">
        <v>10</v>
      </c>
      <c r="I1677" s="100">
        <v>10</v>
      </c>
      <c r="J1677" s="101">
        <f>SUM(E1677:I1677)</f>
        <v>50</v>
      </c>
      <c r="K1677" s="94">
        <f>IF(A1677&lt;&gt;0,INDEX(Coûts, 'PA-Détails'!A1677, 3),)</f>
        <v>1750</v>
      </c>
      <c r="L1677" s="167">
        <f>ROUND(+$K1677*E1677,0)</f>
        <v>17500</v>
      </c>
      <c r="M1677" s="168">
        <f>ROUND(+$K1677*F1677,0)</f>
        <v>17500</v>
      </c>
      <c r="N1677" s="168">
        <f>ROUND(+$K1677*G1677,0)</f>
        <v>17500</v>
      </c>
      <c r="O1677" s="168">
        <f>ROUND(+$K1677*H1677,0)</f>
        <v>17500</v>
      </c>
      <c r="P1677" s="271">
        <f>ROUND(+$K1677*I1677,0)</f>
        <v>17500</v>
      </c>
      <c r="Q1677" s="283">
        <f>SUM(L1677:P1677)</f>
        <v>87500</v>
      </c>
      <c r="R1677" s="169"/>
      <c r="S1677" s="94"/>
      <c r="T1677" s="153"/>
      <c r="U1677" s="653"/>
      <c r="V1677" s="572"/>
      <c r="W1677" s="572"/>
      <c r="X1677" s="572"/>
      <c r="Y1677" s="572"/>
      <c r="Z1677" s="572"/>
    </row>
    <row r="1678" spans="1:26" x14ac:dyDescent="0.2">
      <c r="A1678" s="14" t="s">
        <v>1505</v>
      </c>
      <c r="B1678" s="44"/>
      <c r="C1678" s="112"/>
      <c r="D1678" s="15"/>
      <c r="E1678" s="102"/>
      <c r="F1678" s="103"/>
      <c r="G1678" s="103"/>
      <c r="H1678" s="103"/>
      <c r="I1678" s="103"/>
      <c r="J1678" s="104">
        <f>SUM(E1678:I1678)</f>
        <v>0</v>
      </c>
      <c r="K1678" s="145"/>
      <c r="L1678" s="33">
        <f t="shared" si="979"/>
        <v>0</v>
      </c>
      <c r="M1678" s="32">
        <f t="shared" si="979"/>
        <v>0</v>
      </c>
      <c r="N1678" s="32">
        <f t="shared" si="979"/>
        <v>0</v>
      </c>
      <c r="O1678" s="32">
        <f t="shared" si="979"/>
        <v>0</v>
      </c>
      <c r="P1678" s="267">
        <f t="shared" si="979"/>
        <v>0</v>
      </c>
      <c r="Q1678" s="278">
        <f>SUM(L1678:P1678)</f>
        <v>0</v>
      </c>
      <c r="R1678" s="40"/>
      <c r="S1678" s="145"/>
      <c r="T1678" s="49">
        <v>3</v>
      </c>
    </row>
    <row r="1679" spans="1:26" x14ac:dyDescent="0.2">
      <c r="A1679" s="17" t="s">
        <v>1403</v>
      </c>
      <c r="B1679" s="45"/>
      <c r="C1679" s="51"/>
      <c r="D1679" s="18"/>
      <c r="E1679" s="97"/>
      <c r="F1679" s="98"/>
      <c r="G1679" s="98"/>
      <c r="H1679" s="98"/>
      <c r="I1679" s="98"/>
      <c r="J1679" s="99"/>
      <c r="K1679" s="116"/>
      <c r="L1679" s="35">
        <f t="shared" ref="L1679" si="983">ROUND(+$K1679*E1679,0)</f>
        <v>0</v>
      </c>
      <c r="M1679" s="34">
        <f t="shared" ref="M1679" si="984">ROUND(+$K1679*F1679,0)</f>
        <v>0</v>
      </c>
      <c r="N1679" s="34">
        <f t="shared" ref="N1679" si="985">ROUND(+$K1679*G1679,0)</f>
        <v>0</v>
      </c>
      <c r="O1679" s="34">
        <f t="shared" ref="O1679" si="986">ROUND(+$K1679*H1679,0)</f>
        <v>0</v>
      </c>
      <c r="P1679" s="269">
        <f t="shared" ref="P1679" si="987">ROUND(+$K1679*I1679,0)</f>
        <v>0</v>
      </c>
      <c r="Q1679" s="279"/>
      <c r="R1679" s="38"/>
      <c r="S1679" s="116"/>
      <c r="T1679" s="50"/>
    </row>
    <row r="1680" spans="1:26" x14ac:dyDescent="0.2">
      <c r="A1680" s="20" t="s">
        <v>1355</v>
      </c>
      <c r="B1680" s="46"/>
      <c r="C1680" s="51"/>
      <c r="D1680" s="21"/>
      <c r="E1680" s="96"/>
      <c r="F1680" s="100"/>
      <c r="G1680" s="100"/>
      <c r="H1680" s="100"/>
      <c r="I1680" s="100"/>
      <c r="J1680" s="101">
        <f>SUM(E1680:I1680)</f>
        <v>0</v>
      </c>
      <c r="K1680" s="115"/>
      <c r="L1680" s="161">
        <f t="shared" ref="L1680:Q1680" si="988">SUM(L1681:L1682)</f>
        <v>3016000</v>
      </c>
      <c r="M1680" s="157">
        <f t="shared" si="988"/>
        <v>3020000</v>
      </c>
      <c r="N1680" s="157">
        <f t="shared" si="988"/>
        <v>2772000</v>
      </c>
      <c r="O1680" s="157">
        <f t="shared" si="988"/>
        <v>3024000</v>
      </c>
      <c r="P1680" s="270">
        <f t="shared" si="988"/>
        <v>3276000</v>
      </c>
      <c r="Q1680" s="284">
        <f t="shared" si="988"/>
        <v>15108000</v>
      </c>
      <c r="R1680" s="39" t="s">
        <v>1137</v>
      </c>
      <c r="S1680" s="115" t="s">
        <v>665</v>
      </c>
      <c r="T1680" s="51"/>
    </row>
    <row r="1681" spans="1:20" x14ac:dyDescent="0.2">
      <c r="A1681" s="95">
        <v>129</v>
      </c>
      <c r="B1681" s="108" t="str">
        <f>IF(A1681&lt;&gt;0,INDEX(Coûts,'PA-Détails'!A1681, 2),)</f>
        <v>Budget d'installation de SPACE (construction/réhabilitation et équipement)</v>
      </c>
      <c r="C1681" s="51"/>
      <c r="D1681" s="94" t="str">
        <f>IF(A1681&lt;&gt;0,INDEX(Coûts, 'PA-Détails'!A1681, 5),)</f>
        <v>Forfait</v>
      </c>
      <c r="E1681" s="511">
        <v>1</v>
      </c>
      <c r="F1681" s="140">
        <v>0.5</v>
      </c>
      <c r="G1681" s="140"/>
      <c r="H1681" s="140"/>
      <c r="I1681" s="140"/>
      <c r="J1681" s="101">
        <f>SUM(E1681:I1681)</f>
        <v>1.5</v>
      </c>
      <c r="K1681" s="115">
        <f>IF(A1681&lt;&gt;0,INDEX(Coûts, 'PA-Détails'!A1681, 3),)</f>
        <v>1000000</v>
      </c>
      <c r="L1681" s="37">
        <f t="shared" ref="L1681:L1682" si="989">ROUND(+$K1681*E1681,0)</f>
        <v>1000000</v>
      </c>
      <c r="M1681" s="36">
        <f t="shared" ref="M1681:M1682" si="990">ROUND(+$K1681*F1681,0)</f>
        <v>500000</v>
      </c>
      <c r="N1681" s="36">
        <f t="shared" ref="N1681:N1682" si="991">ROUND(+$K1681*G1681,0)</f>
        <v>0</v>
      </c>
      <c r="O1681" s="36">
        <f t="shared" ref="O1681:O1682" si="992">ROUND(+$K1681*H1681,0)</f>
        <v>0</v>
      </c>
      <c r="P1681" s="268">
        <f t="shared" ref="P1681:P1682" si="993">ROUND(+$K1681*I1681,0)</f>
        <v>0</v>
      </c>
      <c r="Q1681" s="281">
        <f>SUM(L1681:P1681)</f>
        <v>1500000</v>
      </c>
      <c r="R1681" s="39"/>
      <c r="S1681" s="115"/>
      <c r="T1681" s="51"/>
    </row>
    <row r="1682" spans="1:20" x14ac:dyDescent="0.2">
      <c r="A1682" s="95">
        <v>130</v>
      </c>
      <c r="B1682" s="108" t="str">
        <f>IF(A1682&lt;&gt;0,INDEX(Coûts,'PA-Détails'!A1682, 2),)</f>
        <v>Budget de fonctionnement de SPACE</v>
      </c>
      <c r="C1682" s="51"/>
      <c r="D1682" s="94" t="str">
        <f>IF(A1682&lt;&gt;0,INDEX(Coûts, 'PA-Détails'!A1682, 5),)</f>
        <v>Forfait/an</v>
      </c>
      <c r="E1682" s="511">
        <v>0.8</v>
      </c>
      <c r="F1682" s="140">
        <v>1</v>
      </c>
      <c r="G1682" s="140">
        <v>1.1000000000000001</v>
      </c>
      <c r="H1682" s="140">
        <v>1.2</v>
      </c>
      <c r="I1682" s="140">
        <v>1.3</v>
      </c>
      <c r="J1682" s="101">
        <f>SUM(E1682:I1682)</f>
        <v>5.4</v>
      </c>
      <c r="K1682" s="115">
        <f>IF(A1682&lt;&gt;0,INDEX(Coûts, 'PA-Détails'!A1682, 3),)</f>
        <v>2520000</v>
      </c>
      <c r="L1682" s="37">
        <f t="shared" si="989"/>
        <v>2016000</v>
      </c>
      <c r="M1682" s="36">
        <f t="shared" si="990"/>
        <v>2520000</v>
      </c>
      <c r="N1682" s="36">
        <f t="shared" si="991"/>
        <v>2772000</v>
      </c>
      <c r="O1682" s="36">
        <f t="shared" si="992"/>
        <v>3024000</v>
      </c>
      <c r="P1682" s="268">
        <f t="shared" si="993"/>
        <v>3276000</v>
      </c>
      <c r="Q1682" s="281">
        <f>SUM(L1682:P1682)</f>
        <v>13608000</v>
      </c>
      <c r="R1682" s="39"/>
      <c r="S1682" s="115"/>
      <c r="T1682" s="51"/>
    </row>
    <row r="1683" spans="1:20" x14ac:dyDescent="0.2">
      <c r="A1683" s="20" t="s">
        <v>1356</v>
      </c>
      <c r="B1683" s="108"/>
      <c r="C1683" s="51"/>
      <c r="D1683" s="94"/>
      <c r="E1683" s="96"/>
      <c r="F1683" s="100"/>
      <c r="G1683" s="100"/>
      <c r="H1683" s="100"/>
      <c r="I1683" s="100"/>
      <c r="J1683" s="101"/>
      <c r="K1683" s="115"/>
      <c r="L1683" s="161">
        <f>SUM(L1684:L1690)</f>
        <v>793600</v>
      </c>
      <c r="M1683" s="157">
        <f t="shared" ref="M1683:Q1683" si="994">SUM(M1684:M1690)</f>
        <v>793600</v>
      </c>
      <c r="N1683" s="157">
        <f t="shared" si="994"/>
        <v>593600</v>
      </c>
      <c r="O1683" s="157">
        <f t="shared" si="994"/>
        <v>593600</v>
      </c>
      <c r="P1683" s="270">
        <f t="shared" si="994"/>
        <v>593600</v>
      </c>
      <c r="Q1683" s="284">
        <f t="shared" si="994"/>
        <v>3368000</v>
      </c>
      <c r="R1683" s="39" t="str">
        <f>+R1680</f>
        <v>SPACE</v>
      </c>
      <c r="S1683" s="115" t="s">
        <v>665</v>
      </c>
      <c r="T1683" s="51"/>
    </row>
    <row r="1684" spans="1:20" x14ac:dyDescent="0.2">
      <c r="A1684" s="95">
        <v>1</v>
      </c>
      <c r="B1684" s="108" t="str">
        <f>IF(A1684&lt;&gt;0,INDEX(Coûts,'PA-Détails'!A1684, 2),)</f>
        <v>Assistance technique internationale (consultants)</v>
      </c>
      <c r="C1684" s="51"/>
      <c r="D1684" s="94" t="str">
        <f>IF(A1684&lt;&gt;0,INDEX(Coûts, 'PA-Détails'!A1684, 5),)</f>
        <v>Pers / j</v>
      </c>
      <c r="E1684" s="96">
        <f>4*2*25</f>
        <v>200</v>
      </c>
      <c r="F1684" s="100">
        <f>+E1684</f>
        <v>200</v>
      </c>
      <c r="G1684" s="100">
        <f t="shared" ref="G1684:I1684" si="995">+F1684</f>
        <v>200</v>
      </c>
      <c r="H1684" s="100">
        <f t="shared" si="995"/>
        <v>200</v>
      </c>
      <c r="I1684" s="100">
        <f t="shared" si="995"/>
        <v>200</v>
      </c>
      <c r="J1684" s="101">
        <f>SUM(E1684:I1684)</f>
        <v>1000</v>
      </c>
      <c r="K1684" s="115">
        <f>IF(A1684&lt;&gt;0,INDEX(Coûts, 'PA-Détails'!A1684, 3),)</f>
        <v>1150</v>
      </c>
      <c r="L1684" s="37">
        <f t="shared" ref="L1684" si="996">ROUND(+$K1684*E1684,0)</f>
        <v>230000</v>
      </c>
      <c r="M1684" s="37">
        <f t="shared" ref="M1684" si="997">ROUND(+$K1684*F1684,0)</f>
        <v>230000</v>
      </c>
      <c r="N1684" s="36">
        <f t="shared" ref="N1684" si="998">ROUND(+$K1684*G1684,0)</f>
        <v>230000</v>
      </c>
      <c r="O1684" s="36">
        <f t="shared" ref="O1684" si="999">ROUND(+$K1684*H1684,0)</f>
        <v>230000</v>
      </c>
      <c r="P1684" s="268">
        <f t="shared" ref="P1684" si="1000">ROUND(+$K1684*I1684,0)</f>
        <v>230000</v>
      </c>
      <c r="Q1684" s="281">
        <f>SUM(L1684:P1684)</f>
        <v>1150000</v>
      </c>
      <c r="R1684" s="39"/>
      <c r="S1684" s="115"/>
      <c r="T1684" s="51"/>
    </row>
    <row r="1685" spans="1:20" x14ac:dyDescent="0.2">
      <c r="A1685" s="95">
        <v>2</v>
      </c>
      <c r="B1685" s="108" t="str">
        <f>IF(A1685&lt;&gt;0,INDEX(Coûts,'PA-Détails'!A1685, 2),)</f>
        <v>Assistance technique nationale (consultants)</v>
      </c>
      <c r="C1685" s="51"/>
      <c r="D1685" s="94" t="str">
        <f>IF(A1685&lt;&gt;0,INDEX(Coûts, 'PA-Détails'!A1685, 5),)</f>
        <v>Pers / j</v>
      </c>
      <c r="E1685" s="96">
        <f>+E1684*2</f>
        <v>400</v>
      </c>
      <c r="F1685" s="100">
        <f t="shared" ref="F1685:I1685" si="1001">+F1684*2</f>
        <v>400</v>
      </c>
      <c r="G1685" s="100">
        <f t="shared" si="1001"/>
        <v>400</v>
      </c>
      <c r="H1685" s="100">
        <f t="shared" si="1001"/>
        <v>400</v>
      </c>
      <c r="I1685" s="100">
        <f t="shared" si="1001"/>
        <v>400</v>
      </c>
      <c r="J1685" s="101">
        <f t="shared" ref="J1685:J1687" si="1002">SUM(E1685:I1685)</f>
        <v>2000</v>
      </c>
      <c r="K1685" s="115">
        <f>IF(A1685&lt;&gt;0,INDEX(Coûts, 'PA-Détails'!A1685, 3),)</f>
        <v>300</v>
      </c>
      <c r="L1685" s="37">
        <f t="shared" ref="L1685:L1687" si="1003">ROUND(+$K1685*E1685,0)</f>
        <v>120000</v>
      </c>
      <c r="M1685" s="37">
        <f t="shared" ref="M1685:M1687" si="1004">ROUND(+$K1685*F1685,0)</f>
        <v>120000</v>
      </c>
      <c r="N1685" s="36">
        <f t="shared" ref="N1685:N1687" si="1005">ROUND(+$K1685*G1685,0)</f>
        <v>120000</v>
      </c>
      <c r="O1685" s="36">
        <f t="shared" ref="O1685:O1687" si="1006">ROUND(+$K1685*H1685,0)</f>
        <v>120000</v>
      </c>
      <c r="P1685" s="268">
        <f t="shared" ref="P1685:P1687" si="1007">ROUND(+$K1685*I1685,0)</f>
        <v>120000</v>
      </c>
      <c r="Q1685" s="281">
        <f t="shared" ref="Q1685:Q1687" si="1008">SUM(L1685:P1685)</f>
        <v>600000</v>
      </c>
      <c r="R1685" s="39"/>
      <c r="S1685" s="115"/>
      <c r="T1685" s="51"/>
    </row>
    <row r="1686" spans="1:20" x14ac:dyDescent="0.2">
      <c r="A1686" s="95">
        <v>12</v>
      </c>
      <c r="B1686" s="108" t="str">
        <f>IF(A1686&lt;&gt;0,INDEX(Coûts,'PA-Détails'!A1686, 2),)</f>
        <v>Formation - Action et Formation de formateurs</v>
      </c>
      <c r="C1686" s="51"/>
      <c r="D1686" s="94" t="str">
        <f>IF(A1686&lt;&gt;0,INDEX(Coûts, 'PA-Détails'!A1686, 5),)</f>
        <v>Pers / j</v>
      </c>
      <c r="E1686" s="96">
        <f>4*10*4</f>
        <v>160</v>
      </c>
      <c r="F1686" s="100">
        <f>+E1686</f>
        <v>160</v>
      </c>
      <c r="G1686" s="100">
        <f t="shared" ref="G1686:I1687" si="1009">+F1686</f>
        <v>160</v>
      </c>
      <c r="H1686" s="100">
        <f t="shared" si="1009"/>
        <v>160</v>
      </c>
      <c r="I1686" s="100">
        <f t="shared" si="1009"/>
        <v>160</v>
      </c>
      <c r="J1686" s="101">
        <f t="shared" si="1002"/>
        <v>800</v>
      </c>
      <c r="K1686" s="115">
        <f>IF(A1686&lt;&gt;0,INDEX(Coûts, 'PA-Détails'!A1686, 3),)</f>
        <v>150</v>
      </c>
      <c r="L1686" s="37">
        <f t="shared" si="1003"/>
        <v>24000</v>
      </c>
      <c r="M1686" s="37">
        <f t="shared" si="1004"/>
        <v>24000</v>
      </c>
      <c r="N1686" s="36">
        <f t="shared" si="1005"/>
        <v>24000</v>
      </c>
      <c r="O1686" s="36">
        <f t="shared" si="1006"/>
        <v>24000</v>
      </c>
      <c r="P1686" s="268">
        <f t="shared" si="1007"/>
        <v>24000</v>
      </c>
      <c r="Q1686" s="281">
        <f t="shared" si="1008"/>
        <v>120000</v>
      </c>
      <c r="R1686" s="39"/>
      <c r="S1686" s="115"/>
      <c r="T1686" s="51"/>
    </row>
    <row r="1687" spans="1:20" x14ac:dyDescent="0.2">
      <c r="A1687" s="95">
        <v>134</v>
      </c>
      <c r="B1687" s="108" t="str">
        <f>IF(A1687&lt;&gt;0,INDEX(Coûts,'PA-Détails'!A1687, 2),)</f>
        <v>Enveloppe pour équipement des structures clés de mise en œuvre du Plan sectoriel</v>
      </c>
      <c r="C1687" s="51"/>
      <c r="D1687" s="94" t="str">
        <f>IF(A1687&lt;&gt;0,INDEX(Coûts, 'PA-Détails'!A1687, 5),)</f>
        <v>Forfait/Structure</v>
      </c>
      <c r="E1687" s="96">
        <v>5</v>
      </c>
      <c r="F1687" s="100">
        <v>5</v>
      </c>
      <c r="G1687" s="100">
        <v>1</v>
      </c>
      <c r="H1687" s="100">
        <f t="shared" si="1009"/>
        <v>1</v>
      </c>
      <c r="I1687" s="100">
        <f t="shared" si="1009"/>
        <v>1</v>
      </c>
      <c r="J1687" s="101">
        <f t="shared" si="1002"/>
        <v>13</v>
      </c>
      <c r="K1687" s="115">
        <f>IF(A1687&lt;&gt;0,INDEX(Coûts, 'PA-Détails'!A1687, 3),)</f>
        <v>50000</v>
      </c>
      <c r="L1687" s="37">
        <f t="shared" si="1003"/>
        <v>250000</v>
      </c>
      <c r="M1687" s="37">
        <f t="shared" si="1004"/>
        <v>250000</v>
      </c>
      <c r="N1687" s="36">
        <f t="shared" si="1005"/>
        <v>50000</v>
      </c>
      <c r="O1687" s="36">
        <f t="shared" si="1006"/>
        <v>50000</v>
      </c>
      <c r="P1687" s="268">
        <f t="shared" si="1007"/>
        <v>50000</v>
      </c>
      <c r="Q1687" s="281">
        <f t="shared" si="1008"/>
        <v>650000</v>
      </c>
      <c r="R1687" s="39"/>
      <c r="S1687" s="115"/>
      <c r="T1687" s="51"/>
    </row>
    <row r="1688" spans="1:20" x14ac:dyDescent="0.2">
      <c r="A1688" s="95">
        <v>221</v>
      </c>
      <c r="B1688" s="108" t="str">
        <f>IF(A1688&lt;&gt;0,INDEX(Coûts,'PA-Détails'!A1688, 2),)</f>
        <v>Mission en province des services centraux</v>
      </c>
      <c r="C1688" s="51"/>
      <c r="D1688" s="94" t="str">
        <f>IF(A1688&lt;&gt;0,INDEX(Coûts, 'PA-Détails'!A1688, 5),)</f>
        <v>P/j</v>
      </c>
      <c r="E1688" s="96">
        <f>4*10*10</f>
        <v>400</v>
      </c>
      <c r="F1688" s="100">
        <f t="shared" ref="F1688:I1688" si="1010">+E1688</f>
        <v>400</v>
      </c>
      <c r="G1688" s="100">
        <f t="shared" si="1010"/>
        <v>400</v>
      </c>
      <c r="H1688" s="100">
        <f t="shared" si="1010"/>
        <v>400</v>
      </c>
      <c r="I1688" s="100">
        <f t="shared" si="1010"/>
        <v>400</v>
      </c>
      <c r="J1688" s="101">
        <f t="shared" ref="J1688:J1689" si="1011">SUM(E1688:I1688)</f>
        <v>2000</v>
      </c>
      <c r="K1688" s="115">
        <f>IF(A1688&lt;&gt;0,INDEX(Coûts, 'PA-Détails'!A1688, 3),)</f>
        <v>240</v>
      </c>
      <c r="L1688" s="37">
        <f t="shared" ref="L1688:L1689" si="1012">ROUND(+$K1688*E1688,0)</f>
        <v>96000</v>
      </c>
      <c r="M1688" s="37">
        <f t="shared" ref="M1688:M1689" si="1013">ROUND(+$K1688*F1688,0)</f>
        <v>96000</v>
      </c>
      <c r="N1688" s="36">
        <f t="shared" ref="N1688:N1689" si="1014">ROUND(+$K1688*G1688,0)</f>
        <v>96000</v>
      </c>
      <c r="O1688" s="36">
        <f t="shared" ref="O1688:O1689" si="1015">ROUND(+$K1688*H1688,0)</f>
        <v>96000</v>
      </c>
      <c r="P1688" s="268">
        <f t="shared" ref="P1688:P1689" si="1016">ROUND(+$K1688*I1688,0)</f>
        <v>96000</v>
      </c>
      <c r="Q1688" s="281">
        <f t="shared" ref="Q1688:Q1689" si="1017">SUM(L1688:P1688)</f>
        <v>480000</v>
      </c>
      <c r="R1688" s="39"/>
      <c r="S1688" s="115"/>
      <c r="T1688" s="51"/>
    </row>
    <row r="1689" spans="1:20" x14ac:dyDescent="0.2">
      <c r="A1689" s="95">
        <v>222</v>
      </c>
      <c r="B1689" s="108" t="str">
        <f>IF(A1689&lt;&gt;0,INDEX(Coûts,'PA-Détails'!A1689, 2),)</f>
        <v>Mission en province des services déconcentrés</v>
      </c>
      <c r="C1689" s="51"/>
      <c r="D1689" s="94" t="str">
        <f>IF(A1689&lt;&gt;0,INDEX(Coûts, 'PA-Détails'!A1689, 5),)</f>
        <v>P/j</v>
      </c>
      <c r="E1689" s="96">
        <f>4*10*20</f>
        <v>800</v>
      </c>
      <c r="F1689" s="100">
        <f t="shared" ref="F1689:I1689" si="1018">+E1689</f>
        <v>800</v>
      </c>
      <c r="G1689" s="100">
        <f t="shared" si="1018"/>
        <v>800</v>
      </c>
      <c r="H1689" s="100">
        <f t="shared" si="1018"/>
        <v>800</v>
      </c>
      <c r="I1689" s="100">
        <f t="shared" si="1018"/>
        <v>800</v>
      </c>
      <c r="J1689" s="101">
        <f t="shared" si="1011"/>
        <v>4000</v>
      </c>
      <c r="K1689" s="115">
        <f>IF(A1689&lt;&gt;0,INDEX(Coûts, 'PA-Détails'!A1689, 3),)</f>
        <v>50</v>
      </c>
      <c r="L1689" s="37">
        <f t="shared" si="1012"/>
        <v>40000</v>
      </c>
      <c r="M1689" s="37">
        <f t="shared" si="1013"/>
        <v>40000</v>
      </c>
      <c r="N1689" s="36">
        <f t="shared" si="1014"/>
        <v>40000</v>
      </c>
      <c r="O1689" s="36">
        <f t="shared" si="1015"/>
        <v>40000</v>
      </c>
      <c r="P1689" s="268">
        <f t="shared" si="1016"/>
        <v>40000</v>
      </c>
      <c r="Q1689" s="281">
        <f t="shared" si="1017"/>
        <v>200000</v>
      </c>
      <c r="R1689" s="39"/>
      <c r="S1689" s="115"/>
      <c r="T1689" s="51"/>
    </row>
    <row r="1690" spans="1:20" x14ac:dyDescent="0.2">
      <c r="A1690" s="95">
        <v>11</v>
      </c>
      <c r="B1690" s="108" t="str">
        <f>IF(A1690&lt;&gt;0,INDEX(Coûts,'PA-Détails'!A1690, 2),)</f>
        <v>Atelier technique</v>
      </c>
      <c r="C1690" s="51"/>
      <c r="D1690" s="94" t="str">
        <f>IF(A1690&lt;&gt;0,INDEX(Coûts, 'PA-Détails'!A1690, 5),)</f>
        <v>Pers / j</v>
      </c>
      <c r="E1690" s="96">
        <f>12*10*4</f>
        <v>480</v>
      </c>
      <c r="F1690" s="100">
        <f>+E1690</f>
        <v>480</v>
      </c>
      <c r="G1690" s="100">
        <f t="shared" ref="G1690:I1690" si="1019">+F1690</f>
        <v>480</v>
      </c>
      <c r="H1690" s="100">
        <f t="shared" si="1019"/>
        <v>480</v>
      </c>
      <c r="I1690" s="100">
        <f t="shared" si="1019"/>
        <v>480</v>
      </c>
      <c r="J1690" s="101">
        <f t="shared" ref="J1690" si="1020">SUM(E1690:I1690)</f>
        <v>2400</v>
      </c>
      <c r="K1690" s="115">
        <f>IF(A1690&lt;&gt;0,INDEX(Coûts, 'PA-Détails'!A1690, 3),)</f>
        <v>70</v>
      </c>
      <c r="L1690" s="37">
        <f t="shared" ref="L1690:L1691" si="1021">ROUND(+$K1690*E1690,0)</f>
        <v>33600</v>
      </c>
      <c r="M1690" s="37">
        <f t="shared" ref="M1690:M1691" si="1022">ROUND(+$K1690*F1690,0)</f>
        <v>33600</v>
      </c>
      <c r="N1690" s="36">
        <f t="shared" ref="N1690:N1691" si="1023">ROUND(+$K1690*G1690,0)</f>
        <v>33600</v>
      </c>
      <c r="O1690" s="36">
        <f t="shared" ref="O1690:O1691" si="1024">ROUND(+$K1690*H1690,0)</f>
        <v>33600</v>
      </c>
      <c r="P1690" s="268">
        <f t="shared" ref="P1690:P1691" si="1025">ROUND(+$K1690*I1690,0)</f>
        <v>33600</v>
      </c>
      <c r="Q1690" s="281">
        <f t="shared" ref="Q1690" si="1026">SUM(L1690:P1690)</f>
        <v>168000</v>
      </c>
      <c r="R1690" s="39"/>
      <c r="S1690" s="115"/>
      <c r="T1690" s="51"/>
    </row>
    <row r="1691" spans="1:20" x14ac:dyDescent="0.2">
      <c r="A1691" s="17" t="s">
        <v>1398</v>
      </c>
      <c r="B1691" s="45"/>
      <c r="C1691" s="51"/>
      <c r="D1691" s="18"/>
      <c r="E1691" s="97"/>
      <c r="F1691" s="98"/>
      <c r="G1691" s="98"/>
      <c r="H1691" s="98"/>
      <c r="I1691" s="98"/>
      <c r="J1691" s="99"/>
      <c r="K1691" s="116"/>
      <c r="L1691" s="35">
        <f t="shared" si="1021"/>
        <v>0</v>
      </c>
      <c r="M1691" s="34">
        <f t="shared" si="1022"/>
        <v>0</v>
      </c>
      <c r="N1691" s="34">
        <f t="shared" si="1023"/>
        <v>0</v>
      </c>
      <c r="O1691" s="34">
        <f t="shared" si="1024"/>
        <v>0</v>
      </c>
      <c r="P1691" s="269">
        <f t="shared" si="1025"/>
        <v>0</v>
      </c>
      <c r="Q1691" s="279"/>
      <c r="R1691" s="38"/>
      <c r="S1691" s="116"/>
      <c r="T1691" s="50"/>
    </row>
    <row r="1692" spans="1:20" x14ac:dyDescent="0.2">
      <c r="A1692" s="20" t="s">
        <v>1399</v>
      </c>
      <c r="B1692" s="46"/>
      <c r="C1692" s="51"/>
      <c r="D1692" s="21"/>
      <c r="E1692" s="96"/>
      <c r="F1692" s="100"/>
      <c r="G1692" s="100"/>
      <c r="H1692" s="100"/>
      <c r="I1692" s="100"/>
      <c r="J1692" s="101">
        <f>SUM(E1692:I1692)</f>
        <v>0</v>
      </c>
      <c r="K1692" s="115"/>
      <c r="L1692" s="161">
        <f t="shared" ref="L1692:Q1692" si="1027">SUM(L1693:L1694)</f>
        <v>457500</v>
      </c>
      <c r="M1692" s="157">
        <f t="shared" si="1027"/>
        <v>457500</v>
      </c>
      <c r="N1692" s="157">
        <f t="shared" si="1027"/>
        <v>457500</v>
      </c>
      <c r="O1692" s="157">
        <f t="shared" si="1027"/>
        <v>457500</v>
      </c>
      <c r="P1692" s="270">
        <f t="shared" si="1027"/>
        <v>457500</v>
      </c>
      <c r="Q1692" s="284">
        <f t="shared" si="1027"/>
        <v>2287500</v>
      </c>
      <c r="R1692" s="39" t="s">
        <v>1137</v>
      </c>
      <c r="S1692" s="115" t="s">
        <v>665</v>
      </c>
      <c r="T1692" s="51"/>
    </row>
    <row r="1693" spans="1:20" x14ac:dyDescent="0.2">
      <c r="A1693" s="95">
        <v>1</v>
      </c>
      <c r="B1693" s="108" t="str">
        <f>IF(A1693&lt;&gt;0,INDEX(Coûts,'PA-Détails'!A1693, 2),)</f>
        <v>Assistance technique internationale (consultants)</v>
      </c>
      <c r="C1693" s="51"/>
      <c r="D1693" s="94" t="str">
        <f>IF(A1693&lt;&gt;0,INDEX(Coûts, 'PA-Détails'!A1693, 5),)</f>
        <v>Pers / j</v>
      </c>
      <c r="E1693" s="96">
        <v>50</v>
      </c>
      <c r="F1693" s="100">
        <f>+E1693</f>
        <v>50</v>
      </c>
      <c r="G1693" s="100">
        <f t="shared" ref="G1693:I1693" si="1028">+F1693</f>
        <v>50</v>
      </c>
      <c r="H1693" s="100">
        <f t="shared" si="1028"/>
        <v>50</v>
      </c>
      <c r="I1693" s="100">
        <f t="shared" si="1028"/>
        <v>50</v>
      </c>
      <c r="J1693" s="101">
        <f>SUM(E1693:I1693)</f>
        <v>250</v>
      </c>
      <c r="K1693" s="115">
        <f>IF(A1693&lt;&gt;0,INDEX(Coûts, 'PA-Détails'!A1693, 3),)</f>
        <v>1150</v>
      </c>
      <c r="L1693" s="37">
        <f t="shared" ref="L1693:L1694" si="1029">ROUND(+$K1693*E1693,0)</f>
        <v>57500</v>
      </c>
      <c r="M1693" s="36">
        <f t="shared" ref="M1693:M1694" si="1030">ROUND(+$K1693*F1693,0)</f>
        <v>57500</v>
      </c>
      <c r="N1693" s="36">
        <f t="shared" ref="N1693:N1694" si="1031">ROUND(+$K1693*G1693,0)</f>
        <v>57500</v>
      </c>
      <c r="O1693" s="36">
        <f t="shared" ref="O1693:O1694" si="1032">ROUND(+$K1693*H1693,0)</f>
        <v>57500</v>
      </c>
      <c r="P1693" s="268">
        <f t="shared" ref="P1693:P1694" si="1033">ROUND(+$K1693*I1693,0)</f>
        <v>57500</v>
      </c>
      <c r="Q1693" s="281">
        <f>SUM(L1693:P1693)</f>
        <v>287500</v>
      </c>
      <c r="R1693" s="39"/>
      <c r="S1693" s="115"/>
      <c r="T1693" s="51"/>
    </row>
    <row r="1694" spans="1:20" x14ac:dyDescent="0.2">
      <c r="A1694" s="95">
        <v>100</v>
      </c>
      <c r="B1694" s="108" t="str">
        <f>IF(A1694&lt;&gt;0,INDEX(Coûts,'PA-Détails'!A1694, 2),)</f>
        <v>Budget d'organisation et de tenue d'une Revue conjointe</v>
      </c>
      <c r="C1694" s="51"/>
      <c r="D1694" s="94" t="str">
        <f>IF(A1694&lt;&gt;0,INDEX(Coûts, 'PA-Détails'!A1694, 5),)</f>
        <v>Forfait</v>
      </c>
      <c r="E1694" s="96">
        <v>2</v>
      </c>
      <c r="F1694" s="100">
        <v>2</v>
      </c>
      <c r="G1694" s="100">
        <f>+F1694</f>
        <v>2</v>
      </c>
      <c r="H1694" s="100">
        <f t="shared" ref="H1694:I1694" si="1034">+G1694</f>
        <v>2</v>
      </c>
      <c r="I1694" s="100">
        <f t="shared" si="1034"/>
        <v>2</v>
      </c>
      <c r="J1694" s="101">
        <f>SUM(E1694:I1694)</f>
        <v>10</v>
      </c>
      <c r="K1694" s="115">
        <f>IF(A1694&lt;&gt;0,INDEX(Coûts, 'PA-Détails'!A1694, 3),)</f>
        <v>200000</v>
      </c>
      <c r="L1694" s="37">
        <f t="shared" si="1029"/>
        <v>400000</v>
      </c>
      <c r="M1694" s="36">
        <f t="shared" si="1030"/>
        <v>400000</v>
      </c>
      <c r="N1694" s="36">
        <f t="shared" si="1031"/>
        <v>400000</v>
      </c>
      <c r="O1694" s="36">
        <f t="shared" si="1032"/>
        <v>400000</v>
      </c>
      <c r="P1694" s="268">
        <f t="shared" si="1033"/>
        <v>400000</v>
      </c>
      <c r="Q1694" s="281">
        <f>SUM(L1694:P1694)</f>
        <v>2000000</v>
      </c>
      <c r="R1694" s="39"/>
      <c r="S1694" s="115"/>
      <c r="T1694" s="51"/>
    </row>
    <row r="1695" spans="1:20" x14ac:dyDescent="0.2">
      <c r="A1695" s="17" t="s">
        <v>1400</v>
      </c>
      <c r="B1695" s="45"/>
      <c r="C1695" s="51"/>
      <c r="D1695" s="18"/>
      <c r="E1695" s="97"/>
      <c r="F1695" s="98"/>
      <c r="G1695" s="98"/>
      <c r="H1695" s="98"/>
      <c r="I1695" s="98"/>
      <c r="J1695" s="99"/>
      <c r="K1695" s="116"/>
      <c r="L1695" s="35">
        <f t="shared" si="979"/>
        <v>0</v>
      </c>
      <c r="M1695" s="34">
        <f t="shared" si="979"/>
        <v>0</v>
      </c>
      <c r="N1695" s="34">
        <f t="shared" si="979"/>
        <v>0</v>
      </c>
      <c r="O1695" s="34">
        <f t="shared" si="979"/>
        <v>0</v>
      </c>
      <c r="P1695" s="269">
        <f t="shared" si="979"/>
        <v>0</v>
      </c>
      <c r="Q1695" s="279"/>
      <c r="R1695" s="38"/>
      <c r="S1695" s="116"/>
      <c r="T1695" s="50"/>
    </row>
    <row r="1696" spans="1:20" x14ac:dyDescent="0.2">
      <c r="A1696" s="20" t="s">
        <v>1401</v>
      </c>
      <c r="B1696" s="46"/>
      <c r="C1696" s="51"/>
      <c r="D1696" s="21"/>
      <c r="E1696" s="96"/>
      <c r="F1696" s="100"/>
      <c r="G1696" s="100"/>
      <c r="H1696" s="100"/>
      <c r="I1696" s="100"/>
      <c r="J1696" s="101">
        <f>SUM(E1696:I1696)</f>
        <v>0</v>
      </c>
      <c r="K1696" s="115"/>
      <c r="L1696" s="161">
        <f t="shared" ref="L1696:Q1696" si="1035">SUM(L1697:L1698)</f>
        <v>9500</v>
      </c>
      <c r="M1696" s="157">
        <f t="shared" si="1035"/>
        <v>0</v>
      </c>
      <c r="N1696" s="157">
        <f t="shared" si="1035"/>
        <v>0</v>
      </c>
      <c r="O1696" s="157">
        <f t="shared" si="1035"/>
        <v>0</v>
      </c>
      <c r="P1696" s="270">
        <f t="shared" si="1035"/>
        <v>0</v>
      </c>
      <c r="Q1696" s="284">
        <f t="shared" si="1035"/>
        <v>9500</v>
      </c>
      <c r="R1696" s="39" t="str">
        <f>+R1683</f>
        <v>SPACE</v>
      </c>
      <c r="S1696" s="115" t="s">
        <v>665</v>
      </c>
      <c r="T1696" s="51"/>
    </row>
    <row r="1697" spans="1:27" x14ac:dyDescent="0.2">
      <c r="A1697" s="95">
        <v>2</v>
      </c>
      <c r="B1697" s="108" t="str">
        <f>IF(A1697&lt;&gt;0,INDEX(Coûts,'PA-Détails'!A1697, 2),)</f>
        <v>Assistance technique nationale (consultants)</v>
      </c>
      <c r="C1697" s="51"/>
      <c r="D1697" s="94" t="str">
        <f>IF(A1697&lt;&gt;0,INDEX(Coûts, 'PA-Détails'!A1697, 5),)</f>
        <v>Pers / j</v>
      </c>
      <c r="E1697" s="96">
        <v>15</v>
      </c>
      <c r="F1697" s="100"/>
      <c r="G1697" s="100"/>
      <c r="H1697" s="100"/>
      <c r="I1697" s="100"/>
      <c r="J1697" s="101">
        <f>SUM(E1697:I1697)</f>
        <v>15</v>
      </c>
      <c r="K1697" s="115">
        <f>IF(A1697&lt;&gt;0,INDEX(Coûts, 'PA-Détails'!A1697, 3),)</f>
        <v>300</v>
      </c>
      <c r="L1697" s="37">
        <f t="shared" ref="L1697:P1698" si="1036">ROUND(+$K1697*E1697,0)</f>
        <v>4500</v>
      </c>
      <c r="M1697" s="36">
        <f t="shared" si="1036"/>
        <v>0</v>
      </c>
      <c r="N1697" s="36">
        <f t="shared" si="1036"/>
        <v>0</v>
      </c>
      <c r="O1697" s="36">
        <f t="shared" si="1036"/>
        <v>0</v>
      </c>
      <c r="P1697" s="268">
        <f t="shared" si="1036"/>
        <v>0</v>
      </c>
      <c r="Q1697" s="281">
        <f>SUM(L1697:P1697)</f>
        <v>4500</v>
      </c>
      <c r="R1697" s="39"/>
      <c r="S1697" s="115"/>
      <c r="T1697" s="51"/>
    </row>
    <row r="1698" spans="1:27" x14ac:dyDescent="0.2">
      <c r="A1698" s="95">
        <v>5</v>
      </c>
      <c r="B1698" s="108" t="str">
        <f>IF(A1698&lt;&gt;0,INDEX(Coûts,'PA-Détails'!A1698, 2),)</f>
        <v>Atelier de validation</v>
      </c>
      <c r="C1698" s="51"/>
      <c r="D1698" s="94" t="str">
        <f>IF(A1698&lt;&gt;0,INDEX(Coûts, 'PA-Détails'!A1698, 5),)</f>
        <v>Pers / j</v>
      </c>
      <c r="E1698" s="96">
        <v>100</v>
      </c>
      <c r="F1698" s="100"/>
      <c r="G1698" s="100"/>
      <c r="H1698" s="100"/>
      <c r="I1698" s="100"/>
      <c r="J1698" s="101">
        <f>SUM(E1698:I1698)</f>
        <v>100</v>
      </c>
      <c r="K1698" s="115">
        <f>IF(A1698&lt;&gt;0,INDEX(Coûts, 'PA-Détails'!A1698, 3),)</f>
        <v>50</v>
      </c>
      <c r="L1698" s="37">
        <f t="shared" si="1036"/>
        <v>5000</v>
      </c>
      <c r="M1698" s="36">
        <f t="shared" si="1036"/>
        <v>0</v>
      </c>
      <c r="N1698" s="36">
        <f t="shared" si="1036"/>
        <v>0</v>
      </c>
      <c r="O1698" s="36">
        <f t="shared" si="1036"/>
        <v>0</v>
      </c>
      <c r="P1698" s="268">
        <f t="shared" si="1036"/>
        <v>0</v>
      </c>
      <c r="Q1698" s="281">
        <f>SUM(L1698:P1698)</f>
        <v>5000</v>
      </c>
      <c r="R1698" s="39"/>
      <c r="S1698" s="115"/>
      <c r="T1698" s="51"/>
    </row>
    <row r="1699" spans="1:27" x14ac:dyDescent="0.2">
      <c r="A1699" s="20" t="s">
        <v>1402</v>
      </c>
      <c r="B1699" s="108"/>
      <c r="C1699" s="51"/>
      <c r="D1699" s="94"/>
      <c r="E1699" s="96"/>
      <c r="F1699" s="100"/>
      <c r="G1699" s="100"/>
      <c r="H1699" s="100"/>
      <c r="I1699" s="100"/>
      <c r="J1699" s="101"/>
      <c r="K1699" s="115"/>
      <c r="L1699" s="161">
        <f t="shared" ref="L1699:Q1699" si="1037">SUM(L1700:L1700)</f>
        <v>10000</v>
      </c>
      <c r="M1699" s="157">
        <f t="shared" si="1037"/>
        <v>10000</v>
      </c>
      <c r="N1699" s="157">
        <f t="shared" si="1037"/>
        <v>10000</v>
      </c>
      <c r="O1699" s="157">
        <f t="shared" si="1037"/>
        <v>10000</v>
      </c>
      <c r="P1699" s="270">
        <f t="shared" si="1037"/>
        <v>10000</v>
      </c>
      <c r="Q1699" s="284">
        <f t="shared" si="1037"/>
        <v>50000</v>
      </c>
      <c r="R1699" s="39" t="str">
        <f>+R1696</f>
        <v>SPACE</v>
      </c>
      <c r="S1699" s="115" t="s">
        <v>665</v>
      </c>
      <c r="T1699" s="51"/>
    </row>
    <row r="1700" spans="1:27" ht="12" thickBot="1" x14ac:dyDescent="0.25">
      <c r="A1700" s="95">
        <v>251</v>
      </c>
      <c r="B1700" s="108" t="str">
        <f>IF(A1700&lt;&gt;0,INDEX(Coûts,'PA-Détails'!A1700, 2),)</f>
        <v xml:space="preserve">Frais de fonctionnement d'un comité scientifique/cadre de coordination </v>
      </c>
      <c r="C1700" s="51"/>
      <c r="D1700" s="94" t="str">
        <f>IF(A1700&lt;&gt;0,INDEX(Coûts, 'PA-Détails'!A1700, 5),)</f>
        <v>Forfait</v>
      </c>
      <c r="E1700" s="96">
        <v>1</v>
      </c>
      <c r="F1700" s="100">
        <v>1</v>
      </c>
      <c r="G1700" s="100">
        <v>1</v>
      </c>
      <c r="H1700" s="100">
        <v>1</v>
      </c>
      <c r="I1700" s="100">
        <v>1</v>
      </c>
      <c r="J1700" s="101">
        <f>SUM(E1700:I1700)</f>
        <v>5</v>
      </c>
      <c r="K1700" s="115">
        <f>IF(A1700&lt;&gt;0,INDEX(Coûts, 'PA-Détails'!A1700, 3),)</f>
        <v>10000</v>
      </c>
      <c r="L1700" s="37">
        <f t="shared" ref="L1700:P1700" si="1038">ROUND(+$K1700*E1700,0)</f>
        <v>10000</v>
      </c>
      <c r="M1700" s="37">
        <f t="shared" si="1038"/>
        <v>10000</v>
      </c>
      <c r="N1700" s="36">
        <f t="shared" si="1038"/>
        <v>10000</v>
      </c>
      <c r="O1700" s="36">
        <f t="shared" si="1038"/>
        <v>10000</v>
      </c>
      <c r="P1700" s="268">
        <f t="shared" si="1038"/>
        <v>10000</v>
      </c>
      <c r="Q1700" s="281">
        <f>SUM(L1700:P1700)</f>
        <v>50000</v>
      </c>
      <c r="R1700" s="39"/>
      <c r="S1700" s="115"/>
      <c r="T1700" s="51"/>
    </row>
    <row r="1701" spans="1:27" s="259" customFormat="1" ht="15.75" customHeight="1" thickTop="1" thickBot="1" x14ac:dyDescent="0.25">
      <c r="A1701" s="260" t="s">
        <v>963</v>
      </c>
      <c r="B1701" s="261"/>
      <c r="C1701" s="261"/>
      <c r="D1701" s="261"/>
      <c r="E1701" s="261"/>
      <c r="F1701" s="261"/>
      <c r="G1701" s="261"/>
      <c r="H1701" s="261"/>
      <c r="I1701" s="261"/>
      <c r="J1701" s="261"/>
      <c r="K1701" s="262"/>
      <c r="L1701" s="258">
        <f t="shared" ref="L1701:Q1701" si="1039">SUM(L7:L1700)/2</f>
        <v>1239553062.6433907</v>
      </c>
      <c r="M1701" s="258">
        <f t="shared" si="1039"/>
        <v>1461511674.9240301</v>
      </c>
      <c r="N1701" s="258">
        <f t="shared" si="1039"/>
        <v>1635857423.8635354</v>
      </c>
      <c r="O1701" s="258">
        <f t="shared" si="1039"/>
        <v>1742951377.3052254</v>
      </c>
      <c r="P1701" s="275">
        <f t="shared" si="1039"/>
        <v>1883244382.2925677</v>
      </c>
      <c r="Q1701" s="287">
        <f t="shared" si="1039"/>
        <v>7963117921.0287485</v>
      </c>
      <c r="R1701" s="263"/>
      <c r="S1701" s="263"/>
      <c r="T1701" s="264"/>
      <c r="U1701" s="653"/>
      <c r="V1701" s="607"/>
      <c r="W1701" s="607"/>
      <c r="X1701" s="607"/>
      <c r="Y1701" s="607"/>
      <c r="Z1701" s="607"/>
    </row>
    <row r="1702" spans="1:27" ht="12" thickTop="1" x14ac:dyDescent="0.2">
      <c r="L1702" s="148">
        <f t="shared" ref="L1702:Q1702" si="1040">L1701-L2515</f>
        <v>0</v>
      </c>
      <c r="M1702" s="148">
        <f t="shared" si="1040"/>
        <v>0</v>
      </c>
      <c r="N1702" s="148">
        <f t="shared" si="1040"/>
        <v>0</v>
      </c>
      <c r="O1702" s="148">
        <f t="shared" si="1040"/>
        <v>0</v>
      </c>
      <c r="P1702" s="148">
        <f t="shared" si="1040"/>
        <v>0</v>
      </c>
      <c r="Q1702" s="148">
        <f t="shared" si="1040"/>
        <v>0</v>
      </c>
    </row>
    <row r="1703" spans="1:27" x14ac:dyDescent="0.2">
      <c r="L1703" s="148">
        <f>+L1702*2</f>
        <v>0</v>
      </c>
      <c r="M1703" s="148"/>
      <c r="N1703" s="148"/>
      <c r="O1703" s="148"/>
      <c r="P1703" s="148"/>
      <c r="Q1703" s="148"/>
    </row>
    <row r="1704" spans="1:27" ht="12" x14ac:dyDescent="0.2">
      <c r="A1704" s="308" t="str">
        <f>A1</f>
        <v>Plan d'action de la Stratégie sectorielle de l’éducation et de la formation 2016-2025</v>
      </c>
      <c r="L1704" s="148"/>
      <c r="M1704" s="148"/>
      <c r="N1704" s="148"/>
      <c r="O1704" s="148"/>
      <c r="P1704" s="148"/>
      <c r="Q1704" s="148"/>
    </row>
    <row r="1705" spans="1:27" x14ac:dyDescent="0.2">
      <c r="A1705" s="309" t="str">
        <f>A3</f>
        <v>Estimation détaillée</v>
      </c>
      <c r="J1705" s="1">
        <f>L1705*2</f>
        <v>0</v>
      </c>
      <c r="L1705" s="148"/>
      <c r="M1705" s="148"/>
      <c r="N1705" s="148"/>
      <c r="O1705" s="148"/>
      <c r="P1705" s="148"/>
      <c r="Q1705" s="148"/>
    </row>
    <row r="1706" spans="1:27" ht="12" thickBot="1" x14ac:dyDescent="0.25">
      <c r="A1706" s="310" t="s">
        <v>970</v>
      </c>
      <c r="L1706" s="148"/>
      <c r="M1706" s="148"/>
      <c r="N1706" s="148"/>
      <c r="O1706" s="148"/>
      <c r="P1706" s="148"/>
      <c r="Q1706" s="148"/>
    </row>
    <row r="1707" spans="1:27" ht="16.5" thickTop="1" x14ac:dyDescent="0.25">
      <c r="A1707" s="300" t="s">
        <v>0</v>
      </c>
      <c r="B1707" s="42"/>
      <c r="C1707" s="301"/>
      <c r="D1707" s="336" t="s">
        <v>1015</v>
      </c>
      <c r="E1707" s="337"/>
      <c r="F1707" s="338"/>
      <c r="G1707" s="338"/>
      <c r="H1707" s="338"/>
      <c r="I1707" s="351"/>
      <c r="J1707" s="362" t="s">
        <v>1017</v>
      </c>
      <c r="K1707" s="363" t="s">
        <v>5</v>
      </c>
      <c r="L1707" s="670" t="s">
        <v>3</v>
      </c>
      <c r="M1707" s="673"/>
      <c r="N1707" s="673"/>
      <c r="O1707" s="673"/>
      <c r="P1707" s="673"/>
      <c r="Q1707" s="674"/>
      <c r="R1707" s="184" t="s">
        <v>4</v>
      </c>
      <c r="S1707" s="185" t="s">
        <v>5</v>
      </c>
      <c r="T1707" s="53" t="s">
        <v>139</v>
      </c>
    </row>
    <row r="1708" spans="1:27" ht="12" thickBot="1" x14ac:dyDescent="0.25">
      <c r="A1708" s="303" t="s">
        <v>7</v>
      </c>
      <c r="B1708" s="304"/>
      <c r="C1708" s="305"/>
      <c r="D1708" s="358">
        <f>L1708</f>
        <v>2016</v>
      </c>
      <c r="E1708" s="358">
        <f>D1708+1</f>
        <v>2017</v>
      </c>
      <c r="F1708" s="358">
        <f>E1708+1</f>
        <v>2018</v>
      </c>
      <c r="G1708" s="358">
        <f>F1708+1</f>
        <v>2019</v>
      </c>
      <c r="H1708" s="358">
        <f>G1708+1</f>
        <v>2020</v>
      </c>
      <c r="I1708" s="359" t="s">
        <v>8</v>
      </c>
      <c r="J1708" s="354" t="s">
        <v>4</v>
      </c>
      <c r="K1708" s="355" t="s">
        <v>10</v>
      </c>
      <c r="L1708" s="23">
        <f>L5</f>
        <v>2016</v>
      </c>
      <c r="M1708" s="9">
        <f>L1708+1</f>
        <v>2017</v>
      </c>
      <c r="N1708" s="9">
        <f>M1708+1</f>
        <v>2018</v>
      </c>
      <c r="O1708" s="9">
        <f>N1708+1</f>
        <v>2019</v>
      </c>
      <c r="P1708" s="9">
        <f>O1708+1</f>
        <v>2020</v>
      </c>
      <c r="Q1708" s="10" t="s">
        <v>8</v>
      </c>
      <c r="R1708" s="186"/>
      <c r="S1708" s="187" t="s">
        <v>10</v>
      </c>
      <c r="T1708" s="5"/>
    </row>
    <row r="1709" spans="1:27" ht="12" thickTop="1" x14ac:dyDescent="0.2">
      <c r="A1709" s="11" t="str">
        <f>A6</f>
        <v>1. Enseignement préscolaire : Développer une préscolarisation de qualité, particulièrement en milieu rural</v>
      </c>
      <c r="B1709" s="13"/>
      <c r="C1709" s="295"/>
      <c r="D1709" s="356">
        <f t="shared" ref="D1709:D1772" si="1041">L1709/1000</f>
        <v>11113.45</v>
      </c>
      <c r="E1709" s="356">
        <f t="shared" ref="E1709:E1772" si="1042">M1709/1000</f>
        <v>15231.4</v>
      </c>
      <c r="F1709" s="356">
        <f t="shared" ref="F1709:F1772" si="1043">N1709/1000</f>
        <v>32451.5</v>
      </c>
      <c r="G1709" s="356">
        <f t="shared" ref="G1709:G1772" si="1044">O1709/1000</f>
        <v>37042</v>
      </c>
      <c r="H1709" s="356">
        <f t="shared" ref="H1709:H1772" si="1045">P1709/1000</f>
        <v>41716.199999999997</v>
      </c>
      <c r="I1709" s="357">
        <f t="shared" ref="I1709:I1772" si="1046">Q1709/1000</f>
        <v>137554.54999999999</v>
      </c>
      <c r="J1709" s="352">
        <f t="shared" ref="J1709:J1772" si="1047">R1709</f>
        <v>0</v>
      </c>
      <c r="K1709" s="353">
        <f t="shared" ref="K1709:K1772" si="1048">S1709</f>
        <v>0</v>
      </c>
      <c r="L1709" s="30">
        <f t="shared" ref="L1709:Q1709" si="1049">L1710+L1716+L1725+L1731+L1737+L1744</f>
        <v>11113450</v>
      </c>
      <c r="M1709" s="29">
        <f t="shared" si="1049"/>
        <v>15231400</v>
      </c>
      <c r="N1709" s="29">
        <f t="shared" si="1049"/>
        <v>32451500</v>
      </c>
      <c r="O1709" s="29">
        <f t="shared" si="1049"/>
        <v>37042000</v>
      </c>
      <c r="P1709" s="29">
        <f t="shared" si="1049"/>
        <v>41716200</v>
      </c>
      <c r="Q1709" s="24">
        <f t="shared" si="1049"/>
        <v>137554550</v>
      </c>
      <c r="R1709" s="516">
        <f>R6</f>
        <v>0</v>
      </c>
      <c r="S1709" s="177">
        <f>S6</f>
        <v>0</v>
      </c>
      <c r="T1709" s="48">
        <f>T6</f>
        <v>0</v>
      </c>
      <c r="W1709" s="608">
        <f t="shared" ref="W1709:W1772" si="1050">SUM(L1709:P1709)</f>
        <v>137554550</v>
      </c>
      <c r="X1709" s="608">
        <f t="shared" ref="X1709:X1772" si="1051">W1709-Q1709</f>
        <v>0</v>
      </c>
      <c r="Z1709" s="572">
        <f t="shared" ref="Z1709:Z1736" si="1052">IF($Y1709="P",$I1709,)</f>
        <v>0</v>
      </c>
      <c r="AA1709" s="1">
        <f t="shared" ref="AA1709:AA1736" si="1053">IF($Y1709="G",$I1709,)</f>
        <v>0</v>
      </c>
    </row>
    <row r="1710" spans="1:27" x14ac:dyDescent="0.2">
      <c r="A1710" s="14" t="str">
        <f>A7</f>
        <v>1.1 Espaces Communautaires d'Éveil : Susciter et encourager les initiatives communautaires</v>
      </c>
      <c r="B1710" s="44"/>
      <c r="C1710" s="296"/>
      <c r="D1710" s="217">
        <f t="shared" si="1041"/>
        <v>365.5</v>
      </c>
      <c r="E1710" s="217">
        <f t="shared" si="1042"/>
        <v>248.3</v>
      </c>
      <c r="F1710" s="217">
        <f t="shared" si="1043"/>
        <v>122.3</v>
      </c>
      <c r="G1710" s="217">
        <f t="shared" si="1044"/>
        <v>170</v>
      </c>
      <c r="H1710" s="217">
        <f t="shared" si="1045"/>
        <v>65</v>
      </c>
      <c r="I1710" s="273">
        <f t="shared" si="1046"/>
        <v>971.1</v>
      </c>
      <c r="J1710" s="345">
        <f t="shared" si="1047"/>
        <v>0</v>
      </c>
      <c r="K1710" s="346">
        <f t="shared" si="1048"/>
        <v>0</v>
      </c>
      <c r="L1710" s="33">
        <f t="shared" ref="L1710:S1710" si="1054">L1711</f>
        <v>365500</v>
      </c>
      <c r="M1710" s="32">
        <f t="shared" si="1054"/>
        <v>248300</v>
      </c>
      <c r="N1710" s="32">
        <f t="shared" si="1054"/>
        <v>122300</v>
      </c>
      <c r="O1710" s="32">
        <f t="shared" si="1054"/>
        <v>170000</v>
      </c>
      <c r="P1710" s="32">
        <f t="shared" si="1054"/>
        <v>65000</v>
      </c>
      <c r="Q1710" s="25">
        <f t="shared" si="1054"/>
        <v>971100</v>
      </c>
      <c r="R1710" s="517">
        <f t="shared" si="1054"/>
        <v>0</v>
      </c>
      <c r="S1710" s="179">
        <f t="shared" si="1054"/>
        <v>0</v>
      </c>
      <c r="T1710" s="49">
        <f>T7</f>
        <v>1</v>
      </c>
      <c r="W1710" s="608">
        <f t="shared" si="1050"/>
        <v>971100</v>
      </c>
      <c r="X1710" s="608">
        <f t="shared" si="1051"/>
        <v>0</v>
      </c>
      <c r="Z1710" s="572">
        <f t="shared" si="1052"/>
        <v>0</v>
      </c>
      <c r="AA1710" s="1">
        <f t="shared" si="1053"/>
        <v>0</v>
      </c>
    </row>
    <row r="1711" spans="1:27" x14ac:dyDescent="0.2">
      <c r="A1711" s="17" t="str">
        <f>A8</f>
        <v>1.1.1 Sensibilisation des communautés à la création d'Espaces Communautaires d'Éveil</v>
      </c>
      <c r="B1711" s="45"/>
      <c r="C1711" s="297" t="str">
        <f>C8</f>
        <v>Les ECE accueillent 20% des élèves du préscolaire en 2025</v>
      </c>
      <c r="D1711" s="157">
        <f t="shared" si="1041"/>
        <v>365.5</v>
      </c>
      <c r="E1711" s="157">
        <f t="shared" si="1042"/>
        <v>248.3</v>
      </c>
      <c r="F1711" s="157">
        <f t="shared" si="1043"/>
        <v>122.3</v>
      </c>
      <c r="G1711" s="157">
        <f t="shared" si="1044"/>
        <v>170</v>
      </c>
      <c r="H1711" s="157">
        <f t="shared" si="1045"/>
        <v>65</v>
      </c>
      <c r="I1711" s="270">
        <f t="shared" si="1046"/>
        <v>971.1</v>
      </c>
      <c r="J1711" s="347">
        <f t="shared" si="1047"/>
        <v>0</v>
      </c>
      <c r="K1711" s="348">
        <f t="shared" si="1048"/>
        <v>0</v>
      </c>
      <c r="L1711" s="35">
        <f t="shared" ref="L1711:Q1711" si="1055">SUM(L1712:L1715)</f>
        <v>365500</v>
      </c>
      <c r="M1711" s="34">
        <f t="shared" si="1055"/>
        <v>248300</v>
      </c>
      <c r="N1711" s="34">
        <f t="shared" si="1055"/>
        <v>122300</v>
      </c>
      <c r="O1711" s="34">
        <f t="shared" si="1055"/>
        <v>170000</v>
      </c>
      <c r="P1711" s="34">
        <f t="shared" si="1055"/>
        <v>65000</v>
      </c>
      <c r="Q1711" s="26">
        <f t="shared" si="1055"/>
        <v>971100</v>
      </c>
      <c r="R1711" s="518">
        <f t="shared" ref="R1711:S1711" si="1056">SUM(R1712:R1715)</f>
        <v>0</v>
      </c>
      <c r="S1711" s="181">
        <f t="shared" si="1056"/>
        <v>0</v>
      </c>
      <c r="T1711" s="50">
        <f>T8</f>
        <v>0</v>
      </c>
      <c r="W1711" s="608">
        <f t="shared" si="1050"/>
        <v>971100</v>
      </c>
      <c r="X1711" s="608">
        <f t="shared" si="1051"/>
        <v>0</v>
      </c>
      <c r="Z1711" s="572">
        <f t="shared" si="1052"/>
        <v>0</v>
      </c>
      <c r="AA1711" s="1">
        <f t="shared" si="1053"/>
        <v>0</v>
      </c>
    </row>
    <row r="1712" spans="1:27" x14ac:dyDescent="0.2">
      <c r="A1712" s="20" t="str">
        <f>A9</f>
        <v>1.1.1.1 Évaluation de l'expérience des ECE et définition des possibilités de son extension</v>
      </c>
      <c r="B1712" s="46"/>
      <c r="C1712" s="297">
        <f>C9</f>
        <v>0</v>
      </c>
      <c r="D1712" s="168">
        <f t="shared" si="1041"/>
        <v>20.5</v>
      </c>
      <c r="E1712" s="168">
        <f t="shared" si="1042"/>
        <v>0</v>
      </c>
      <c r="F1712" s="168">
        <f t="shared" si="1043"/>
        <v>0</v>
      </c>
      <c r="G1712" s="168">
        <f t="shared" si="1044"/>
        <v>0</v>
      </c>
      <c r="H1712" s="168">
        <f t="shared" si="1045"/>
        <v>0</v>
      </c>
      <c r="I1712" s="271">
        <f t="shared" si="1046"/>
        <v>20.5</v>
      </c>
      <c r="J1712" s="349" t="str">
        <f t="shared" si="1047"/>
        <v>EPS-CGC</v>
      </c>
      <c r="K1712" s="350" t="str">
        <f t="shared" si="1048"/>
        <v>GVT</v>
      </c>
      <c r="L1712" s="37">
        <f t="shared" ref="L1712:Q1712" si="1057">L9</f>
        <v>20500</v>
      </c>
      <c r="M1712" s="36">
        <f t="shared" si="1057"/>
        <v>0</v>
      </c>
      <c r="N1712" s="36">
        <f t="shared" si="1057"/>
        <v>0</v>
      </c>
      <c r="O1712" s="36">
        <f t="shared" si="1057"/>
        <v>0</v>
      </c>
      <c r="P1712" s="36">
        <f t="shared" si="1057"/>
        <v>0</v>
      </c>
      <c r="Q1712" s="236">
        <f t="shared" si="1057"/>
        <v>20500</v>
      </c>
      <c r="R1712" s="205" t="str">
        <f t="shared" ref="R1712:S1712" si="1058">R9</f>
        <v>EPS-CGC</v>
      </c>
      <c r="S1712" s="183" t="str">
        <f t="shared" si="1058"/>
        <v>GVT</v>
      </c>
      <c r="T1712" s="51">
        <f>T9</f>
        <v>0</v>
      </c>
      <c r="W1712" s="608">
        <f t="shared" si="1050"/>
        <v>20500</v>
      </c>
      <c r="X1712" s="608">
        <f t="shared" si="1051"/>
        <v>0</v>
      </c>
      <c r="Z1712" s="572">
        <f t="shared" si="1052"/>
        <v>0</v>
      </c>
      <c r="AA1712" s="1">
        <f t="shared" si="1053"/>
        <v>0</v>
      </c>
    </row>
    <row r="1713" spans="1:27" x14ac:dyDescent="0.2">
      <c r="A1713" s="20" t="str">
        <f>A12</f>
        <v>1.1.1.2 Définir un plan de communication</v>
      </c>
      <c r="B1713" s="46"/>
      <c r="C1713" s="297">
        <f>C12</f>
        <v>0</v>
      </c>
      <c r="D1713" s="168">
        <f t="shared" si="1041"/>
        <v>6.7</v>
      </c>
      <c r="E1713" s="168">
        <f t="shared" si="1042"/>
        <v>0</v>
      </c>
      <c r="F1713" s="168">
        <f t="shared" si="1043"/>
        <v>0</v>
      </c>
      <c r="G1713" s="168">
        <f t="shared" si="1044"/>
        <v>0</v>
      </c>
      <c r="H1713" s="168">
        <f t="shared" si="1045"/>
        <v>0</v>
      </c>
      <c r="I1713" s="271">
        <f t="shared" si="1046"/>
        <v>6.7</v>
      </c>
      <c r="J1713" s="349" t="str">
        <f t="shared" si="1047"/>
        <v>EPS-CGC</v>
      </c>
      <c r="K1713" s="350" t="str">
        <f t="shared" si="1048"/>
        <v>GVT</v>
      </c>
      <c r="L1713" s="37">
        <f t="shared" ref="L1713:Q1713" si="1059">L12</f>
        <v>6700</v>
      </c>
      <c r="M1713" s="36">
        <f t="shared" si="1059"/>
        <v>0</v>
      </c>
      <c r="N1713" s="36">
        <f t="shared" si="1059"/>
        <v>0</v>
      </c>
      <c r="O1713" s="36">
        <f t="shared" si="1059"/>
        <v>0</v>
      </c>
      <c r="P1713" s="36">
        <f t="shared" si="1059"/>
        <v>0</v>
      </c>
      <c r="Q1713" s="236">
        <f t="shared" si="1059"/>
        <v>6700</v>
      </c>
      <c r="R1713" s="205" t="str">
        <f t="shared" ref="R1713:S1713" si="1060">R12</f>
        <v>EPS-CGC</v>
      </c>
      <c r="S1713" s="183" t="str">
        <f t="shared" si="1060"/>
        <v>GVT</v>
      </c>
      <c r="T1713" s="51">
        <f>T12</f>
        <v>0</v>
      </c>
      <c r="W1713" s="608">
        <f t="shared" si="1050"/>
        <v>6700</v>
      </c>
      <c r="X1713" s="608">
        <f t="shared" si="1051"/>
        <v>0</v>
      </c>
      <c r="Z1713" s="572">
        <f t="shared" si="1052"/>
        <v>0</v>
      </c>
      <c r="AA1713" s="1">
        <f t="shared" si="1053"/>
        <v>0</v>
      </c>
    </row>
    <row r="1714" spans="1:27" x14ac:dyDescent="0.2">
      <c r="A1714" s="20" t="str">
        <f>A15</f>
        <v>1.1.1.3 Développer des outils et des supports</v>
      </c>
      <c r="B1714" s="109"/>
      <c r="C1714" s="297">
        <f>C15</f>
        <v>0</v>
      </c>
      <c r="D1714" s="168">
        <f t="shared" si="1041"/>
        <v>38.299999999999997</v>
      </c>
      <c r="E1714" s="168">
        <f t="shared" si="1042"/>
        <v>38.299999999999997</v>
      </c>
      <c r="F1714" s="168">
        <f t="shared" si="1043"/>
        <v>17.3</v>
      </c>
      <c r="G1714" s="168">
        <f t="shared" si="1044"/>
        <v>12.5</v>
      </c>
      <c r="H1714" s="168">
        <f t="shared" si="1045"/>
        <v>12.5</v>
      </c>
      <c r="I1714" s="271">
        <f t="shared" si="1046"/>
        <v>118.9</v>
      </c>
      <c r="J1714" s="349" t="str">
        <f t="shared" si="1047"/>
        <v>EPS-CGC</v>
      </c>
      <c r="K1714" s="350" t="str">
        <f t="shared" si="1048"/>
        <v>GVT</v>
      </c>
      <c r="L1714" s="37">
        <f t="shared" ref="L1714:Q1714" si="1061">L15</f>
        <v>38300</v>
      </c>
      <c r="M1714" s="36">
        <f t="shared" si="1061"/>
        <v>38300</v>
      </c>
      <c r="N1714" s="36">
        <f t="shared" si="1061"/>
        <v>17300</v>
      </c>
      <c r="O1714" s="36">
        <f t="shared" si="1061"/>
        <v>12500</v>
      </c>
      <c r="P1714" s="36">
        <f t="shared" si="1061"/>
        <v>12500</v>
      </c>
      <c r="Q1714" s="236">
        <f t="shared" si="1061"/>
        <v>118900</v>
      </c>
      <c r="R1714" s="205" t="str">
        <f t="shared" ref="R1714:S1714" si="1062">R15</f>
        <v>EPS-CGC</v>
      </c>
      <c r="S1714" s="183" t="str">
        <f t="shared" si="1062"/>
        <v>GVT</v>
      </c>
      <c r="T1714" s="51">
        <f>T15</f>
        <v>0</v>
      </c>
      <c r="W1714" s="608">
        <f t="shared" si="1050"/>
        <v>118900</v>
      </c>
      <c r="X1714" s="608">
        <f t="shared" si="1051"/>
        <v>0</v>
      </c>
      <c r="Z1714" s="572">
        <f t="shared" si="1052"/>
        <v>0</v>
      </c>
      <c r="AA1714" s="1">
        <f t="shared" si="1053"/>
        <v>0</v>
      </c>
    </row>
    <row r="1715" spans="1:27" x14ac:dyDescent="0.2">
      <c r="A1715" s="20" t="str">
        <f>A19</f>
        <v>1.1.1.4 Assurer des campagnes IEC</v>
      </c>
      <c r="B1715" s="109"/>
      <c r="C1715" s="297">
        <f>C19</f>
        <v>0</v>
      </c>
      <c r="D1715" s="168">
        <f t="shared" si="1041"/>
        <v>300</v>
      </c>
      <c r="E1715" s="168">
        <f t="shared" si="1042"/>
        <v>210</v>
      </c>
      <c r="F1715" s="168">
        <f t="shared" si="1043"/>
        <v>105</v>
      </c>
      <c r="G1715" s="168">
        <f t="shared" si="1044"/>
        <v>157.5</v>
      </c>
      <c r="H1715" s="168">
        <f t="shared" si="1045"/>
        <v>52.5</v>
      </c>
      <c r="I1715" s="271">
        <f t="shared" si="1046"/>
        <v>825</v>
      </c>
      <c r="J1715" s="349" t="str">
        <f t="shared" si="1047"/>
        <v>EPS-CGC</v>
      </c>
      <c r="K1715" s="350" t="str">
        <f t="shared" si="1048"/>
        <v>GVT</v>
      </c>
      <c r="L1715" s="37">
        <f t="shared" ref="L1715:Q1715" si="1063">L19</f>
        <v>300000</v>
      </c>
      <c r="M1715" s="36">
        <f t="shared" si="1063"/>
        <v>210000</v>
      </c>
      <c r="N1715" s="36">
        <f t="shared" si="1063"/>
        <v>105000</v>
      </c>
      <c r="O1715" s="36">
        <f t="shared" si="1063"/>
        <v>157500</v>
      </c>
      <c r="P1715" s="36">
        <f t="shared" si="1063"/>
        <v>52500</v>
      </c>
      <c r="Q1715" s="236">
        <f t="shared" si="1063"/>
        <v>825000</v>
      </c>
      <c r="R1715" s="205" t="str">
        <f t="shared" ref="R1715:S1715" si="1064">R19</f>
        <v>EPS-CGC</v>
      </c>
      <c r="S1715" s="183" t="str">
        <f t="shared" si="1064"/>
        <v>GVT</v>
      </c>
      <c r="T1715" s="51">
        <f>T19</f>
        <v>0</v>
      </c>
      <c r="W1715" s="608">
        <f t="shared" si="1050"/>
        <v>825000</v>
      </c>
      <c r="X1715" s="608">
        <f t="shared" si="1051"/>
        <v>0</v>
      </c>
      <c r="Z1715" s="572">
        <f t="shared" si="1052"/>
        <v>0</v>
      </c>
      <c r="AA1715" s="1">
        <f t="shared" si="1053"/>
        <v>0</v>
      </c>
    </row>
    <row r="1716" spans="1:27" x14ac:dyDescent="0.2">
      <c r="A1716" s="14" t="str">
        <f>A22</f>
        <v>1.2 Classes préparatoires dans les écoles primaires : développer la préscolarisation des enfants de 5 ans</v>
      </c>
      <c r="B1716" s="110"/>
      <c r="C1716" s="296">
        <f>C22</f>
        <v>0</v>
      </c>
      <c r="D1716" s="217">
        <f t="shared" si="1041"/>
        <v>258.60000000000002</v>
      </c>
      <c r="E1716" s="217">
        <f t="shared" si="1042"/>
        <v>1055</v>
      </c>
      <c r="F1716" s="217">
        <f t="shared" si="1043"/>
        <v>13110</v>
      </c>
      <c r="G1716" s="217">
        <f t="shared" si="1044"/>
        <v>15110</v>
      </c>
      <c r="H1716" s="217">
        <f t="shared" si="1045"/>
        <v>17110</v>
      </c>
      <c r="I1716" s="273">
        <f t="shared" si="1046"/>
        <v>46643.6</v>
      </c>
      <c r="J1716" s="345">
        <f t="shared" si="1047"/>
        <v>0</v>
      </c>
      <c r="K1716" s="346">
        <f t="shared" si="1048"/>
        <v>0</v>
      </c>
      <c r="L1716" s="33">
        <f t="shared" ref="L1716:Q1716" si="1065">L1717+L1719+L1722</f>
        <v>258600</v>
      </c>
      <c r="M1716" s="32">
        <f t="shared" si="1065"/>
        <v>1055000</v>
      </c>
      <c r="N1716" s="32">
        <f t="shared" si="1065"/>
        <v>13110000</v>
      </c>
      <c r="O1716" s="32">
        <f t="shared" si="1065"/>
        <v>15110000</v>
      </c>
      <c r="P1716" s="32">
        <f t="shared" si="1065"/>
        <v>17110000</v>
      </c>
      <c r="Q1716" s="25">
        <f t="shared" si="1065"/>
        <v>46643600</v>
      </c>
      <c r="R1716" s="517">
        <f t="shared" ref="R1716:S1716" si="1066">R1717+R1719+R1722</f>
        <v>0</v>
      </c>
      <c r="S1716" s="179">
        <f t="shared" si="1066"/>
        <v>0</v>
      </c>
      <c r="T1716" s="49">
        <f>T22</f>
        <v>1</v>
      </c>
      <c r="W1716" s="608">
        <f t="shared" si="1050"/>
        <v>46643600</v>
      </c>
      <c r="X1716" s="608">
        <f t="shared" si="1051"/>
        <v>0</v>
      </c>
      <c r="Z1716" s="572">
        <f t="shared" si="1052"/>
        <v>0</v>
      </c>
      <c r="AA1716" s="1">
        <f t="shared" si="1053"/>
        <v>0</v>
      </c>
    </row>
    <row r="1717" spans="1:27" x14ac:dyDescent="0.2">
      <c r="A1717" s="17" t="str">
        <f>A23</f>
        <v>1.2.1 Étude de faisabilité d'une classe préparatoire dans les écoles primaires</v>
      </c>
      <c r="B1717" s="111"/>
      <c r="C1717" s="297" t="str">
        <f>C23</f>
        <v>Une étude de faisabilité a été réalisée en 2014</v>
      </c>
      <c r="D1717" s="157">
        <f t="shared" si="1041"/>
        <v>0</v>
      </c>
      <c r="E1717" s="157">
        <f t="shared" si="1042"/>
        <v>0</v>
      </c>
      <c r="F1717" s="157">
        <f t="shared" si="1043"/>
        <v>0</v>
      </c>
      <c r="G1717" s="157">
        <f t="shared" si="1044"/>
        <v>0</v>
      </c>
      <c r="H1717" s="157">
        <f t="shared" si="1045"/>
        <v>0</v>
      </c>
      <c r="I1717" s="270">
        <f t="shared" si="1046"/>
        <v>0</v>
      </c>
      <c r="J1717" s="347">
        <f t="shared" si="1047"/>
        <v>0</v>
      </c>
      <c r="K1717" s="348">
        <f t="shared" si="1048"/>
        <v>0</v>
      </c>
      <c r="L1717" s="35">
        <f t="shared" ref="L1717:S1717" si="1067">SUM(L1718:L1718)</f>
        <v>0</v>
      </c>
      <c r="M1717" s="34">
        <f t="shared" si="1067"/>
        <v>0</v>
      </c>
      <c r="N1717" s="34">
        <f t="shared" si="1067"/>
        <v>0</v>
      </c>
      <c r="O1717" s="34">
        <f t="shared" si="1067"/>
        <v>0</v>
      </c>
      <c r="P1717" s="34">
        <f t="shared" si="1067"/>
        <v>0</v>
      </c>
      <c r="Q1717" s="26">
        <f t="shared" si="1067"/>
        <v>0</v>
      </c>
      <c r="R1717" s="518">
        <f t="shared" si="1067"/>
        <v>0</v>
      </c>
      <c r="S1717" s="181">
        <f t="shared" si="1067"/>
        <v>0</v>
      </c>
      <c r="T1717" s="50">
        <f>T23</f>
        <v>0</v>
      </c>
      <c r="W1717" s="608">
        <f t="shared" si="1050"/>
        <v>0</v>
      </c>
      <c r="X1717" s="608">
        <f t="shared" si="1051"/>
        <v>0</v>
      </c>
      <c r="Z1717" s="572">
        <f t="shared" si="1052"/>
        <v>0</v>
      </c>
      <c r="AA1717" s="1">
        <f t="shared" si="1053"/>
        <v>0</v>
      </c>
    </row>
    <row r="1718" spans="1:27" x14ac:dyDescent="0.2">
      <c r="A1718" s="20" t="str">
        <f>A24</f>
        <v>1.2.1.1 Réalisation et validation d'une étude de faisabilité</v>
      </c>
      <c r="B1718" s="109"/>
      <c r="C1718" s="297" t="str">
        <f>C24</f>
        <v>Étude réalisée</v>
      </c>
      <c r="D1718" s="168">
        <f t="shared" si="1041"/>
        <v>0</v>
      </c>
      <c r="E1718" s="168">
        <f t="shared" si="1042"/>
        <v>0</v>
      </c>
      <c r="F1718" s="168">
        <f t="shared" si="1043"/>
        <v>0</v>
      </c>
      <c r="G1718" s="168">
        <f t="shared" si="1044"/>
        <v>0</v>
      </c>
      <c r="H1718" s="168">
        <f t="shared" si="1045"/>
        <v>0</v>
      </c>
      <c r="I1718" s="271">
        <f t="shared" si="1046"/>
        <v>0</v>
      </c>
      <c r="J1718" s="349">
        <f t="shared" si="1047"/>
        <v>0</v>
      </c>
      <c r="K1718" s="350">
        <f t="shared" si="1048"/>
        <v>0</v>
      </c>
      <c r="L1718" s="37">
        <f t="shared" ref="L1718:Q1718" si="1068">L24</f>
        <v>0</v>
      </c>
      <c r="M1718" s="36">
        <f t="shared" si="1068"/>
        <v>0</v>
      </c>
      <c r="N1718" s="36">
        <f t="shared" si="1068"/>
        <v>0</v>
      </c>
      <c r="O1718" s="36">
        <f t="shared" si="1068"/>
        <v>0</v>
      </c>
      <c r="P1718" s="36">
        <f t="shared" si="1068"/>
        <v>0</v>
      </c>
      <c r="Q1718" s="27">
        <f t="shared" si="1068"/>
        <v>0</v>
      </c>
      <c r="R1718" s="205">
        <f t="shared" ref="R1718:S1718" si="1069">R24</f>
        <v>0</v>
      </c>
      <c r="S1718" s="183">
        <f t="shared" si="1069"/>
        <v>0</v>
      </c>
      <c r="T1718" s="51">
        <f>T24</f>
        <v>0</v>
      </c>
      <c r="W1718" s="608">
        <f t="shared" si="1050"/>
        <v>0</v>
      </c>
      <c r="X1718" s="608">
        <f t="shared" si="1051"/>
        <v>0</v>
      </c>
      <c r="Z1718" s="572">
        <f t="shared" si="1052"/>
        <v>0</v>
      </c>
      <c r="AA1718" s="1">
        <f t="shared" si="1053"/>
        <v>0</v>
      </c>
    </row>
    <row r="1719" spans="1:27" x14ac:dyDescent="0.2">
      <c r="A1719" s="17" t="str">
        <f>A25</f>
        <v>1.2.2 Expérimentation de la classe préparatoire</v>
      </c>
      <c r="B1719" s="111"/>
      <c r="C1719" s="297" t="str">
        <f>C25</f>
        <v>Une expérimentation sur 100 écoles en 2015-16 et une évaluation est menée en 2016</v>
      </c>
      <c r="D1719" s="157">
        <f t="shared" si="1041"/>
        <v>220</v>
      </c>
      <c r="E1719" s="157">
        <f t="shared" si="1042"/>
        <v>0</v>
      </c>
      <c r="F1719" s="157">
        <f t="shared" si="1043"/>
        <v>0</v>
      </c>
      <c r="G1719" s="157">
        <f t="shared" si="1044"/>
        <v>0</v>
      </c>
      <c r="H1719" s="157">
        <f t="shared" si="1045"/>
        <v>0</v>
      </c>
      <c r="I1719" s="270">
        <f t="shared" si="1046"/>
        <v>220</v>
      </c>
      <c r="J1719" s="347">
        <f t="shared" si="1047"/>
        <v>0</v>
      </c>
      <c r="K1719" s="348">
        <f t="shared" si="1048"/>
        <v>0</v>
      </c>
      <c r="L1719" s="35">
        <f t="shared" ref="L1719:Q1719" si="1070">SUM(L1720:L1721)</f>
        <v>220000</v>
      </c>
      <c r="M1719" s="34">
        <f t="shared" si="1070"/>
        <v>0</v>
      </c>
      <c r="N1719" s="34">
        <f t="shared" si="1070"/>
        <v>0</v>
      </c>
      <c r="O1719" s="34">
        <f t="shared" si="1070"/>
        <v>0</v>
      </c>
      <c r="P1719" s="34">
        <f t="shared" si="1070"/>
        <v>0</v>
      </c>
      <c r="Q1719" s="26">
        <f t="shared" si="1070"/>
        <v>220000</v>
      </c>
      <c r="R1719" s="518">
        <f t="shared" ref="R1719:S1719" si="1071">SUM(R1720:R1721)</f>
        <v>0</v>
      </c>
      <c r="S1719" s="181">
        <f t="shared" si="1071"/>
        <v>0</v>
      </c>
      <c r="T1719" s="50">
        <f>T25</f>
        <v>0</v>
      </c>
      <c r="W1719" s="608">
        <f t="shared" si="1050"/>
        <v>220000</v>
      </c>
      <c r="X1719" s="608">
        <f t="shared" si="1051"/>
        <v>0</v>
      </c>
      <c r="Z1719" s="572">
        <f t="shared" si="1052"/>
        <v>0</v>
      </c>
      <c r="AA1719" s="1">
        <f t="shared" si="1053"/>
        <v>0</v>
      </c>
    </row>
    <row r="1720" spans="1:27" x14ac:dyDescent="0.2">
      <c r="A1720" s="20" t="str">
        <f>A26</f>
        <v>1.2.2.1 Assurer le fonctionnement de la phase pilote de la classe préparatoire</v>
      </c>
      <c r="B1720" s="109"/>
      <c r="C1720" s="297">
        <f>C26</f>
        <v>0</v>
      </c>
      <c r="D1720" s="168">
        <f t="shared" si="1041"/>
        <v>200</v>
      </c>
      <c r="E1720" s="168">
        <f t="shared" si="1042"/>
        <v>0</v>
      </c>
      <c r="F1720" s="168">
        <f t="shared" si="1043"/>
        <v>0</v>
      </c>
      <c r="G1720" s="168">
        <f t="shared" si="1044"/>
        <v>0</v>
      </c>
      <c r="H1720" s="168">
        <f t="shared" si="1045"/>
        <v>0</v>
      </c>
      <c r="I1720" s="271">
        <f t="shared" si="1046"/>
        <v>200</v>
      </c>
      <c r="J1720" s="349" t="str">
        <f t="shared" si="1047"/>
        <v>EPS-IG</v>
      </c>
      <c r="K1720" s="350" t="str">
        <f t="shared" si="1048"/>
        <v>UNICEF</v>
      </c>
      <c r="L1720" s="37">
        <f t="shared" ref="L1720:Q1720" si="1072">L26</f>
        <v>200000</v>
      </c>
      <c r="M1720" s="36">
        <f t="shared" si="1072"/>
        <v>0</v>
      </c>
      <c r="N1720" s="36">
        <f t="shared" si="1072"/>
        <v>0</v>
      </c>
      <c r="O1720" s="36">
        <f t="shared" si="1072"/>
        <v>0</v>
      </c>
      <c r="P1720" s="36">
        <f t="shared" si="1072"/>
        <v>0</v>
      </c>
      <c r="Q1720" s="236">
        <f t="shared" si="1072"/>
        <v>200000</v>
      </c>
      <c r="R1720" s="205" t="str">
        <f t="shared" ref="R1720:S1720" si="1073">R26</f>
        <v>EPS-IG</v>
      </c>
      <c r="S1720" s="183" t="str">
        <f t="shared" si="1073"/>
        <v>UNICEF</v>
      </c>
      <c r="T1720" s="51">
        <f>T26</f>
        <v>0</v>
      </c>
      <c r="W1720" s="608">
        <f t="shared" si="1050"/>
        <v>200000</v>
      </c>
      <c r="X1720" s="608">
        <f t="shared" si="1051"/>
        <v>0</v>
      </c>
      <c r="Z1720" s="572">
        <f t="shared" si="1052"/>
        <v>0</v>
      </c>
      <c r="AA1720" s="1">
        <f t="shared" si="1053"/>
        <v>0</v>
      </c>
    </row>
    <row r="1721" spans="1:27" x14ac:dyDescent="0.2">
      <c r="A1721" s="20" t="str">
        <f>A28</f>
        <v>1.2.2.2 Évaluer l'expérience pilote</v>
      </c>
      <c r="B1721" s="109"/>
      <c r="C1721" s="297">
        <f>C28</f>
        <v>0</v>
      </c>
      <c r="D1721" s="168">
        <f t="shared" si="1041"/>
        <v>20</v>
      </c>
      <c r="E1721" s="168">
        <f t="shared" si="1042"/>
        <v>0</v>
      </c>
      <c r="F1721" s="168">
        <f t="shared" si="1043"/>
        <v>0</v>
      </c>
      <c r="G1721" s="168">
        <f t="shared" si="1044"/>
        <v>0</v>
      </c>
      <c r="H1721" s="168">
        <f t="shared" si="1045"/>
        <v>0</v>
      </c>
      <c r="I1721" s="271">
        <f t="shared" si="1046"/>
        <v>20</v>
      </c>
      <c r="J1721" s="349" t="str">
        <f t="shared" si="1047"/>
        <v>EPS-IG</v>
      </c>
      <c r="K1721" s="350" t="str">
        <f t="shared" si="1048"/>
        <v>UNICEF</v>
      </c>
      <c r="L1721" s="37">
        <f t="shared" ref="L1721:Q1721" si="1074">L28</f>
        <v>20000</v>
      </c>
      <c r="M1721" s="36">
        <f t="shared" si="1074"/>
        <v>0</v>
      </c>
      <c r="N1721" s="36">
        <f t="shared" si="1074"/>
        <v>0</v>
      </c>
      <c r="O1721" s="36">
        <f t="shared" si="1074"/>
        <v>0</v>
      </c>
      <c r="P1721" s="36">
        <f t="shared" si="1074"/>
        <v>0</v>
      </c>
      <c r="Q1721" s="236">
        <f t="shared" si="1074"/>
        <v>20000</v>
      </c>
      <c r="R1721" s="205" t="str">
        <f t="shared" ref="R1721:S1721" si="1075">R28</f>
        <v>EPS-IG</v>
      </c>
      <c r="S1721" s="183" t="str">
        <f t="shared" si="1075"/>
        <v>UNICEF</v>
      </c>
      <c r="T1721" s="51">
        <f>T28</f>
        <v>0</v>
      </c>
      <c r="W1721" s="608">
        <f t="shared" si="1050"/>
        <v>20000</v>
      </c>
      <c r="X1721" s="608">
        <f t="shared" si="1051"/>
        <v>0</v>
      </c>
      <c r="Z1721" s="572">
        <f t="shared" si="1052"/>
        <v>0</v>
      </c>
      <c r="AA1721" s="1">
        <f t="shared" si="1053"/>
        <v>0</v>
      </c>
    </row>
    <row r="1722" spans="1:27" x14ac:dyDescent="0.2">
      <c r="A1722" s="17" t="str">
        <f>A32</f>
        <v>1.2.3 Préparation et mise en œuvre de la classe préparatoire</v>
      </c>
      <c r="B1722" s="111"/>
      <c r="C1722" s="297" t="str">
        <f>C32</f>
        <v>Le programme de développement de la classe préparatoire est élaboré</v>
      </c>
      <c r="D1722" s="157">
        <f t="shared" si="1041"/>
        <v>38.6</v>
      </c>
      <c r="E1722" s="157">
        <f t="shared" si="1042"/>
        <v>1055</v>
      </c>
      <c r="F1722" s="157">
        <f t="shared" si="1043"/>
        <v>13110</v>
      </c>
      <c r="G1722" s="157">
        <f t="shared" si="1044"/>
        <v>15110</v>
      </c>
      <c r="H1722" s="157">
        <f t="shared" si="1045"/>
        <v>17110</v>
      </c>
      <c r="I1722" s="270">
        <f t="shared" si="1046"/>
        <v>46423.6</v>
      </c>
      <c r="J1722" s="347">
        <f t="shared" si="1047"/>
        <v>0</v>
      </c>
      <c r="K1722" s="348">
        <f t="shared" si="1048"/>
        <v>0</v>
      </c>
      <c r="L1722" s="35">
        <f t="shared" ref="L1722:Q1722" si="1076">SUM(L1723:L1724)</f>
        <v>38600</v>
      </c>
      <c r="M1722" s="34">
        <f t="shared" si="1076"/>
        <v>1055000</v>
      </c>
      <c r="N1722" s="34">
        <f t="shared" si="1076"/>
        <v>13110000</v>
      </c>
      <c r="O1722" s="34">
        <f t="shared" si="1076"/>
        <v>15110000</v>
      </c>
      <c r="P1722" s="34">
        <f t="shared" si="1076"/>
        <v>17110000</v>
      </c>
      <c r="Q1722" s="26">
        <f t="shared" si="1076"/>
        <v>46423600</v>
      </c>
      <c r="R1722" s="514">
        <f t="shared" ref="R1722:S1722" si="1077">SUM(R1723:R1724)</f>
        <v>0</v>
      </c>
      <c r="S1722" s="181">
        <f t="shared" si="1077"/>
        <v>0</v>
      </c>
      <c r="T1722" s="50">
        <f>T32</f>
        <v>0</v>
      </c>
      <c r="W1722" s="608">
        <f t="shared" si="1050"/>
        <v>46423600</v>
      </c>
      <c r="X1722" s="608">
        <f t="shared" si="1051"/>
        <v>0</v>
      </c>
      <c r="Z1722" s="572">
        <f t="shared" si="1052"/>
        <v>0</v>
      </c>
      <c r="AA1722" s="1">
        <f t="shared" si="1053"/>
        <v>0</v>
      </c>
    </row>
    <row r="1723" spans="1:27" x14ac:dyDescent="0.2">
      <c r="A1723" s="20" t="str">
        <f>A33</f>
        <v>1.2.3.1 Préparation du programme de développement : Recensement et formation</v>
      </c>
      <c r="B1723" s="109"/>
      <c r="C1723" s="297">
        <f>C33</f>
        <v>0</v>
      </c>
      <c r="D1723" s="168">
        <f t="shared" si="1041"/>
        <v>38.6</v>
      </c>
      <c r="E1723" s="168">
        <f t="shared" si="1042"/>
        <v>55</v>
      </c>
      <c r="F1723" s="168">
        <f t="shared" si="1043"/>
        <v>110</v>
      </c>
      <c r="G1723" s="168">
        <f t="shared" si="1044"/>
        <v>110</v>
      </c>
      <c r="H1723" s="168">
        <f t="shared" si="1045"/>
        <v>110</v>
      </c>
      <c r="I1723" s="271">
        <f t="shared" si="1046"/>
        <v>423.6</v>
      </c>
      <c r="J1723" s="349" t="str">
        <f t="shared" si="1047"/>
        <v>EPS-DEP-SERNAFOR</v>
      </c>
      <c r="K1723" s="350" t="str">
        <f t="shared" si="1048"/>
        <v>UNICEF</v>
      </c>
      <c r="L1723" s="37">
        <f t="shared" ref="L1723:Q1723" si="1078">L33</f>
        <v>38600</v>
      </c>
      <c r="M1723" s="36">
        <f t="shared" si="1078"/>
        <v>55000</v>
      </c>
      <c r="N1723" s="36">
        <f t="shared" si="1078"/>
        <v>110000</v>
      </c>
      <c r="O1723" s="36">
        <f t="shared" si="1078"/>
        <v>110000</v>
      </c>
      <c r="P1723" s="36">
        <f t="shared" si="1078"/>
        <v>110000</v>
      </c>
      <c r="Q1723" s="236">
        <f t="shared" si="1078"/>
        <v>423600</v>
      </c>
      <c r="R1723" s="205" t="str">
        <f t="shared" ref="R1723:S1723" si="1079">R33</f>
        <v>EPS-DEP-SERNAFOR</v>
      </c>
      <c r="S1723" s="183" t="str">
        <f t="shared" si="1079"/>
        <v>UNICEF</v>
      </c>
      <c r="T1723" s="51">
        <f>T33</f>
        <v>0</v>
      </c>
      <c r="W1723" s="608">
        <f t="shared" si="1050"/>
        <v>423600</v>
      </c>
      <c r="X1723" s="608">
        <f t="shared" si="1051"/>
        <v>0</v>
      </c>
      <c r="Z1723" s="572">
        <f t="shared" si="1052"/>
        <v>0</v>
      </c>
      <c r="AA1723" s="1">
        <f t="shared" si="1053"/>
        <v>0</v>
      </c>
    </row>
    <row r="1724" spans="1:27" x14ac:dyDescent="0.2">
      <c r="A1724" s="20" t="str">
        <f>A37</f>
        <v>1.2.3.2 Mise en place de la classe préparatoire (objectif 7000 en 2020)</v>
      </c>
      <c r="B1724" s="109"/>
      <c r="C1724" s="297">
        <f>C37</f>
        <v>0</v>
      </c>
      <c r="D1724" s="168">
        <f t="shared" si="1041"/>
        <v>0</v>
      </c>
      <c r="E1724" s="168">
        <f t="shared" si="1042"/>
        <v>1000</v>
      </c>
      <c r="F1724" s="168">
        <f t="shared" si="1043"/>
        <v>13000</v>
      </c>
      <c r="G1724" s="168">
        <f t="shared" si="1044"/>
        <v>15000</v>
      </c>
      <c r="H1724" s="168">
        <f t="shared" si="1045"/>
        <v>17000</v>
      </c>
      <c r="I1724" s="271">
        <f t="shared" si="1046"/>
        <v>46000</v>
      </c>
      <c r="J1724" s="349" t="str">
        <f t="shared" si="1047"/>
        <v>EPS-DEP-SERNAFOR</v>
      </c>
      <c r="K1724" s="350">
        <f t="shared" si="1048"/>
        <v>0</v>
      </c>
      <c r="L1724" s="37">
        <f t="shared" ref="L1724:Q1724" si="1080">L37</f>
        <v>0</v>
      </c>
      <c r="M1724" s="36">
        <f t="shared" si="1080"/>
        <v>1000000</v>
      </c>
      <c r="N1724" s="36">
        <f t="shared" si="1080"/>
        <v>13000000</v>
      </c>
      <c r="O1724" s="36">
        <f t="shared" si="1080"/>
        <v>15000000</v>
      </c>
      <c r="P1724" s="36">
        <f t="shared" si="1080"/>
        <v>17000000</v>
      </c>
      <c r="Q1724" s="236">
        <f t="shared" si="1080"/>
        <v>46000000</v>
      </c>
      <c r="R1724" s="205" t="str">
        <f t="shared" ref="R1724:S1724" si="1081">R37</f>
        <v>EPS-DEP-SERNAFOR</v>
      </c>
      <c r="S1724" s="183">
        <f t="shared" si="1081"/>
        <v>0</v>
      </c>
      <c r="T1724" s="51">
        <f>T37</f>
        <v>0</v>
      </c>
      <c r="W1724" s="608">
        <f t="shared" si="1050"/>
        <v>46000000</v>
      </c>
      <c r="X1724" s="608">
        <f t="shared" si="1051"/>
        <v>0</v>
      </c>
      <c r="Z1724" s="572">
        <f t="shared" si="1052"/>
        <v>0</v>
      </c>
      <c r="AA1724" s="1">
        <f t="shared" si="1053"/>
        <v>0</v>
      </c>
    </row>
    <row r="1725" spans="1:27" x14ac:dyDescent="0.2">
      <c r="A1725" s="14" t="str">
        <f>A40</f>
        <v>1.3 Expansion de l'offre publique d'écoles maternelles : accroitre l'offre publique d'enseignement maternel</v>
      </c>
      <c r="B1725" s="44"/>
      <c r="C1725" s="296">
        <f>C40</f>
        <v>0</v>
      </c>
      <c r="D1725" s="217">
        <f t="shared" si="1041"/>
        <v>9242.1</v>
      </c>
      <c r="E1725" s="217">
        <f t="shared" si="1042"/>
        <v>11746.6</v>
      </c>
      <c r="F1725" s="217">
        <f t="shared" si="1043"/>
        <v>16810.7</v>
      </c>
      <c r="G1725" s="217">
        <f t="shared" si="1044"/>
        <v>19305.5</v>
      </c>
      <c r="H1725" s="217">
        <f t="shared" si="1045"/>
        <v>21886.7</v>
      </c>
      <c r="I1725" s="273">
        <f t="shared" si="1046"/>
        <v>78991.600000000006</v>
      </c>
      <c r="J1725" s="345">
        <f t="shared" si="1047"/>
        <v>0</v>
      </c>
      <c r="K1725" s="346">
        <f t="shared" si="1048"/>
        <v>0</v>
      </c>
      <c r="L1725" s="33">
        <f t="shared" ref="L1725:Q1725" si="1082">L1726+L1729</f>
        <v>9242100</v>
      </c>
      <c r="M1725" s="32">
        <f t="shared" si="1082"/>
        <v>11746600</v>
      </c>
      <c r="N1725" s="32">
        <f t="shared" si="1082"/>
        <v>16810700</v>
      </c>
      <c r="O1725" s="32">
        <f t="shared" si="1082"/>
        <v>19305500</v>
      </c>
      <c r="P1725" s="32">
        <f t="shared" si="1082"/>
        <v>21886700</v>
      </c>
      <c r="Q1725" s="25">
        <f t="shared" si="1082"/>
        <v>78991600</v>
      </c>
      <c r="R1725" s="517">
        <f t="shared" ref="R1725:S1725" si="1083">R1726+R1729</f>
        <v>0</v>
      </c>
      <c r="S1725" s="179">
        <f t="shared" si="1083"/>
        <v>0</v>
      </c>
      <c r="T1725" s="49">
        <f>T40</f>
        <v>1</v>
      </c>
      <c r="W1725" s="608">
        <f t="shared" si="1050"/>
        <v>78991600</v>
      </c>
      <c r="X1725" s="608">
        <f t="shared" si="1051"/>
        <v>0</v>
      </c>
      <c r="Z1725" s="572">
        <f t="shared" si="1052"/>
        <v>0</v>
      </c>
      <c r="AA1725" s="1">
        <f t="shared" si="1053"/>
        <v>0</v>
      </c>
    </row>
    <row r="1726" spans="1:27" x14ac:dyDescent="0.2">
      <c r="A1726" s="17" t="str">
        <f>A41</f>
        <v>1.3.1 Rémunération du personnel</v>
      </c>
      <c r="B1726" s="45"/>
      <c r="C1726" s="297" t="str">
        <f>C41</f>
        <v>50% des enseignants pris en charge par l'État</v>
      </c>
      <c r="D1726" s="157">
        <f t="shared" si="1041"/>
        <v>9242.1</v>
      </c>
      <c r="E1726" s="157">
        <f t="shared" si="1042"/>
        <v>10146.6</v>
      </c>
      <c r="F1726" s="157">
        <f t="shared" si="1043"/>
        <v>13610.7</v>
      </c>
      <c r="G1726" s="157">
        <f t="shared" si="1044"/>
        <v>16105.5</v>
      </c>
      <c r="H1726" s="157">
        <f t="shared" si="1045"/>
        <v>18686.7</v>
      </c>
      <c r="I1726" s="270">
        <f t="shared" si="1046"/>
        <v>67791.600000000006</v>
      </c>
      <c r="J1726" s="347">
        <f t="shared" si="1047"/>
        <v>0</v>
      </c>
      <c r="K1726" s="348">
        <f t="shared" si="1048"/>
        <v>0</v>
      </c>
      <c r="L1726" s="35">
        <f t="shared" ref="L1726:Q1726" si="1084">SUM(L1727:L1728)</f>
        <v>9242100</v>
      </c>
      <c r="M1726" s="34">
        <f t="shared" si="1084"/>
        <v>10146600</v>
      </c>
      <c r="N1726" s="34">
        <f t="shared" si="1084"/>
        <v>13610700</v>
      </c>
      <c r="O1726" s="34">
        <f t="shared" si="1084"/>
        <v>16105500</v>
      </c>
      <c r="P1726" s="34">
        <f t="shared" si="1084"/>
        <v>18686700</v>
      </c>
      <c r="Q1726" s="26">
        <f t="shared" si="1084"/>
        <v>67791600</v>
      </c>
      <c r="R1726" s="518">
        <f t="shared" ref="R1726:S1726" si="1085">SUM(R1727:R1728)</f>
        <v>0</v>
      </c>
      <c r="S1726" s="181">
        <f t="shared" si="1085"/>
        <v>0</v>
      </c>
      <c r="T1726" s="50">
        <f>T41</f>
        <v>0</v>
      </c>
      <c r="W1726" s="608">
        <f t="shared" si="1050"/>
        <v>67791600</v>
      </c>
      <c r="X1726" s="608">
        <f t="shared" si="1051"/>
        <v>0</v>
      </c>
      <c r="Z1726" s="572">
        <f t="shared" si="1052"/>
        <v>0</v>
      </c>
      <c r="AA1726" s="1">
        <f t="shared" si="1053"/>
        <v>0</v>
      </c>
    </row>
    <row r="1727" spans="1:27" x14ac:dyDescent="0.2">
      <c r="A1727" s="20" t="str">
        <f>A42</f>
        <v>1.3.1.1 Recenser les enseignants de la classe préparatoire</v>
      </c>
      <c r="B1727" s="46"/>
      <c r="C1727" s="297">
        <f>C42</f>
        <v>0</v>
      </c>
      <c r="D1727" s="168">
        <f t="shared" si="1041"/>
        <v>18.899999999999999</v>
      </c>
      <c r="E1727" s="168">
        <f t="shared" si="1042"/>
        <v>37.799999999999997</v>
      </c>
      <c r="F1727" s="168">
        <f t="shared" si="1043"/>
        <v>56.7</v>
      </c>
      <c r="G1727" s="168">
        <f t="shared" si="1044"/>
        <v>56.7</v>
      </c>
      <c r="H1727" s="168">
        <f t="shared" si="1045"/>
        <v>56.7</v>
      </c>
      <c r="I1727" s="271">
        <f t="shared" si="1046"/>
        <v>226.8</v>
      </c>
      <c r="J1727" s="349" t="str">
        <f t="shared" si="1047"/>
        <v>EPS-SECOPE</v>
      </c>
      <c r="K1727" s="350" t="str">
        <f t="shared" si="1048"/>
        <v>GVT</v>
      </c>
      <c r="L1727" s="37">
        <f t="shared" ref="L1727:Q1727" si="1086">L42</f>
        <v>18900</v>
      </c>
      <c r="M1727" s="36">
        <f t="shared" si="1086"/>
        <v>37800</v>
      </c>
      <c r="N1727" s="36">
        <f t="shared" si="1086"/>
        <v>56700</v>
      </c>
      <c r="O1727" s="36">
        <f t="shared" si="1086"/>
        <v>56700</v>
      </c>
      <c r="P1727" s="36">
        <f t="shared" si="1086"/>
        <v>56700</v>
      </c>
      <c r="Q1727" s="236">
        <f t="shared" si="1086"/>
        <v>226800</v>
      </c>
      <c r="R1727" s="205" t="str">
        <f t="shared" ref="R1727:S1727" si="1087">R42</f>
        <v>EPS-SECOPE</v>
      </c>
      <c r="S1727" s="183" t="str">
        <f t="shared" si="1087"/>
        <v>GVT</v>
      </c>
      <c r="T1727" s="51">
        <f>T42</f>
        <v>0</v>
      </c>
      <c r="W1727" s="608">
        <f t="shared" si="1050"/>
        <v>226800</v>
      </c>
      <c r="X1727" s="608">
        <f t="shared" si="1051"/>
        <v>0</v>
      </c>
      <c r="Z1727" s="572">
        <f t="shared" si="1052"/>
        <v>0</v>
      </c>
      <c r="AA1727" s="1">
        <f t="shared" si="1053"/>
        <v>0</v>
      </c>
    </row>
    <row r="1728" spans="1:27" x14ac:dyDescent="0.2">
      <c r="A1728" s="20" t="str">
        <f>A45</f>
        <v>1.3.1.2 Paiement des enseignants (préscolaire yc préparatoire)</v>
      </c>
      <c r="B1728" s="46"/>
      <c r="C1728" s="297">
        <f>C45</f>
        <v>0</v>
      </c>
      <c r="D1728" s="168">
        <f t="shared" si="1041"/>
        <v>9223.2000000000007</v>
      </c>
      <c r="E1728" s="168">
        <f t="shared" si="1042"/>
        <v>10108.799999999999</v>
      </c>
      <c r="F1728" s="168">
        <f t="shared" si="1043"/>
        <v>13554</v>
      </c>
      <c r="G1728" s="168">
        <f t="shared" si="1044"/>
        <v>16048.8</v>
      </c>
      <c r="H1728" s="168">
        <f t="shared" si="1045"/>
        <v>18630</v>
      </c>
      <c r="I1728" s="271">
        <f t="shared" si="1046"/>
        <v>67564.800000000003</v>
      </c>
      <c r="J1728" s="349" t="str">
        <f t="shared" si="1047"/>
        <v>EPS-SECOPE</v>
      </c>
      <c r="K1728" s="350" t="str">
        <f t="shared" si="1048"/>
        <v>GVT</v>
      </c>
      <c r="L1728" s="37">
        <f t="shared" ref="L1728:Q1728" si="1088">L45</f>
        <v>9223200</v>
      </c>
      <c r="M1728" s="36">
        <f t="shared" si="1088"/>
        <v>10108800</v>
      </c>
      <c r="N1728" s="36">
        <f t="shared" si="1088"/>
        <v>13554000</v>
      </c>
      <c r="O1728" s="36">
        <f t="shared" si="1088"/>
        <v>16048800</v>
      </c>
      <c r="P1728" s="36">
        <f t="shared" si="1088"/>
        <v>18630000</v>
      </c>
      <c r="Q1728" s="236">
        <f t="shared" si="1088"/>
        <v>67564800</v>
      </c>
      <c r="R1728" s="205" t="str">
        <f t="shared" ref="R1728:S1728" si="1089">R45</f>
        <v>EPS-SECOPE</v>
      </c>
      <c r="S1728" s="183" t="str">
        <f t="shared" si="1089"/>
        <v>GVT</v>
      </c>
      <c r="T1728" s="51">
        <f>T45</f>
        <v>0</v>
      </c>
      <c r="W1728" s="608">
        <f t="shared" si="1050"/>
        <v>67564800</v>
      </c>
      <c r="X1728" s="608">
        <f t="shared" si="1051"/>
        <v>0</v>
      </c>
      <c r="Z1728" s="572">
        <f t="shared" si="1052"/>
        <v>0</v>
      </c>
      <c r="AA1728" s="1">
        <f t="shared" si="1053"/>
        <v>0</v>
      </c>
    </row>
    <row r="1729" spans="1:27" x14ac:dyDescent="0.2">
      <c r="A1729" s="17" t="str">
        <f>A48</f>
        <v>1.3.2 Construction de structures publiques</v>
      </c>
      <c r="B1729" s="45"/>
      <c r="C1729" s="297" t="str">
        <f>C48</f>
        <v>1100 salles de classe supplémentaires construites d'ici 2025</v>
      </c>
      <c r="D1729" s="157">
        <f t="shared" si="1041"/>
        <v>0</v>
      </c>
      <c r="E1729" s="157">
        <f t="shared" si="1042"/>
        <v>1600</v>
      </c>
      <c r="F1729" s="157">
        <f t="shared" si="1043"/>
        <v>3200</v>
      </c>
      <c r="G1729" s="157">
        <f t="shared" si="1044"/>
        <v>3200</v>
      </c>
      <c r="H1729" s="157">
        <f t="shared" si="1045"/>
        <v>3200</v>
      </c>
      <c r="I1729" s="270">
        <f t="shared" si="1046"/>
        <v>11200</v>
      </c>
      <c r="J1729" s="347">
        <f t="shared" si="1047"/>
        <v>0</v>
      </c>
      <c r="K1729" s="348">
        <f t="shared" si="1048"/>
        <v>0</v>
      </c>
      <c r="L1729" s="35">
        <f t="shared" ref="L1729:S1729" si="1090">SUM(L1730:L1730)</f>
        <v>0</v>
      </c>
      <c r="M1729" s="34">
        <f t="shared" si="1090"/>
        <v>1600000</v>
      </c>
      <c r="N1729" s="34">
        <f t="shared" si="1090"/>
        <v>3200000</v>
      </c>
      <c r="O1729" s="34">
        <f t="shared" si="1090"/>
        <v>3200000</v>
      </c>
      <c r="P1729" s="34">
        <f t="shared" si="1090"/>
        <v>3200000</v>
      </c>
      <c r="Q1729" s="26">
        <f t="shared" si="1090"/>
        <v>11200000</v>
      </c>
      <c r="R1729" s="518">
        <f t="shared" si="1090"/>
        <v>0</v>
      </c>
      <c r="S1729" s="181">
        <f t="shared" si="1090"/>
        <v>0</v>
      </c>
      <c r="T1729" s="50">
        <f>T48</f>
        <v>0</v>
      </c>
      <c r="W1729" s="608">
        <f t="shared" si="1050"/>
        <v>11200000</v>
      </c>
      <c r="X1729" s="608">
        <f t="shared" si="1051"/>
        <v>0</v>
      </c>
      <c r="Z1729" s="572">
        <f t="shared" si="1052"/>
        <v>0</v>
      </c>
      <c r="AA1729" s="1">
        <f t="shared" si="1053"/>
        <v>0</v>
      </c>
    </row>
    <row r="1730" spans="1:27" x14ac:dyDescent="0.2">
      <c r="A1730" s="20" t="str">
        <f>A49</f>
        <v>1.3.2.1 Construction de salles de classe pour le préprimaire</v>
      </c>
      <c r="B1730" s="46"/>
      <c r="C1730" s="297">
        <f>C49</f>
        <v>0</v>
      </c>
      <c r="D1730" s="168">
        <f t="shared" si="1041"/>
        <v>0</v>
      </c>
      <c r="E1730" s="168">
        <f t="shared" si="1042"/>
        <v>1600</v>
      </c>
      <c r="F1730" s="168">
        <f t="shared" si="1043"/>
        <v>3200</v>
      </c>
      <c r="G1730" s="168">
        <f t="shared" si="1044"/>
        <v>3200</v>
      </c>
      <c r="H1730" s="168">
        <f t="shared" si="1045"/>
        <v>3200</v>
      </c>
      <c r="I1730" s="271">
        <f t="shared" si="1046"/>
        <v>11200</v>
      </c>
      <c r="J1730" s="349" t="str">
        <f t="shared" si="1047"/>
        <v>EPS-DIS</v>
      </c>
      <c r="K1730" s="350" t="str">
        <f t="shared" si="1048"/>
        <v>GVT</v>
      </c>
      <c r="L1730" s="37">
        <f t="shared" ref="L1730:Q1730" si="1091">L49</f>
        <v>0</v>
      </c>
      <c r="M1730" s="36">
        <f t="shared" si="1091"/>
        <v>1600000</v>
      </c>
      <c r="N1730" s="36">
        <f t="shared" si="1091"/>
        <v>3200000</v>
      </c>
      <c r="O1730" s="36">
        <f t="shared" si="1091"/>
        <v>3200000</v>
      </c>
      <c r="P1730" s="36">
        <f t="shared" si="1091"/>
        <v>3200000</v>
      </c>
      <c r="Q1730" s="236">
        <f t="shared" si="1091"/>
        <v>11200000</v>
      </c>
      <c r="R1730" s="205" t="str">
        <f t="shared" ref="R1730:S1730" si="1092">R49</f>
        <v>EPS-DIS</v>
      </c>
      <c r="S1730" s="183" t="str">
        <f t="shared" si="1092"/>
        <v>GVT</v>
      </c>
      <c r="T1730" s="51">
        <f>T49</f>
        <v>0</v>
      </c>
      <c r="W1730" s="608">
        <f t="shared" si="1050"/>
        <v>11200000</v>
      </c>
      <c r="X1730" s="608">
        <f t="shared" si="1051"/>
        <v>0</v>
      </c>
      <c r="Z1730" s="572">
        <f t="shared" si="1052"/>
        <v>0</v>
      </c>
      <c r="AA1730" s="1">
        <f t="shared" si="1053"/>
        <v>0</v>
      </c>
    </row>
    <row r="1731" spans="1:27" x14ac:dyDescent="0.2">
      <c r="A1731" s="14" t="str">
        <f>A51</f>
        <v>1.4 Équipement des structures : Équiper les écoles maternelles en matériels didactiques</v>
      </c>
      <c r="B1731" s="44"/>
      <c r="C1731" s="296">
        <f>C51</f>
        <v>0</v>
      </c>
      <c r="D1731" s="217">
        <f t="shared" si="1041"/>
        <v>363.75</v>
      </c>
      <c r="E1731" s="217">
        <f t="shared" si="1042"/>
        <v>344</v>
      </c>
      <c r="F1731" s="217">
        <f t="shared" si="1043"/>
        <v>324</v>
      </c>
      <c r="G1731" s="217">
        <f t="shared" si="1044"/>
        <v>324</v>
      </c>
      <c r="H1731" s="217">
        <f t="shared" si="1045"/>
        <v>324</v>
      </c>
      <c r="I1731" s="273">
        <f t="shared" si="1046"/>
        <v>1679.75</v>
      </c>
      <c r="J1731" s="345">
        <f t="shared" si="1047"/>
        <v>0</v>
      </c>
      <c r="K1731" s="346">
        <f t="shared" si="1048"/>
        <v>0</v>
      </c>
      <c r="L1731" s="33">
        <f t="shared" ref="L1731:Q1731" si="1093">L1732+L1734</f>
        <v>363750</v>
      </c>
      <c r="M1731" s="32">
        <f t="shared" si="1093"/>
        <v>344000</v>
      </c>
      <c r="N1731" s="32">
        <f t="shared" si="1093"/>
        <v>324000</v>
      </c>
      <c r="O1731" s="32">
        <f t="shared" si="1093"/>
        <v>324000</v>
      </c>
      <c r="P1731" s="32">
        <f t="shared" si="1093"/>
        <v>324000</v>
      </c>
      <c r="Q1731" s="25">
        <f t="shared" si="1093"/>
        <v>1679750</v>
      </c>
      <c r="R1731" s="517">
        <f t="shared" ref="R1731:S1731" si="1094">R1732+R1734</f>
        <v>0</v>
      </c>
      <c r="S1731" s="179">
        <f t="shared" si="1094"/>
        <v>0</v>
      </c>
      <c r="T1731" s="112">
        <f>T51</f>
        <v>2</v>
      </c>
      <c r="W1731" s="608">
        <f t="shared" si="1050"/>
        <v>1679750</v>
      </c>
      <c r="X1731" s="608">
        <f t="shared" si="1051"/>
        <v>0</v>
      </c>
      <c r="Z1731" s="572">
        <f t="shared" si="1052"/>
        <v>0</v>
      </c>
      <c r="AA1731" s="1">
        <f t="shared" si="1053"/>
        <v>0</v>
      </c>
    </row>
    <row r="1732" spans="1:27" x14ac:dyDescent="0.2">
      <c r="A1732" s="122" t="str">
        <f>A52</f>
        <v>1.4.1 Équipement en matériel d'éveil (public et ECE)</v>
      </c>
      <c r="B1732" s="45"/>
      <c r="C1732" s="297" t="str">
        <f>C52</f>
        <v>En 2025, 100% des centres publics et communautaires sont équipés</v>
      </c>
      <c r="D1732" s="157">
        <f t="shared" si="1041"/>
        <v>324</v>
      </c>
      <c r="E1732" s="157">
        <f t="shared" si="1042"/>
        <v>324</v>
      </c>
      <c r="F1732" s="157">
        <f t="shared" si="1043"/>
        <v>324</v>
      </c>
      <c r="G1732" s="157">
        <f t="shared" si="1044"/>
        <v>324</v>
      </c>
      <c r="H1732" s="157">
        <f t="shared" si="1045"/>
        <v>324</v>
      </c>
      <c r="I1732" s="270">
        <f t="shared" si="1046"/>
        <v>1620</v>
      </c>
      <c r="J1732" s="347">
        <f t="shared" si="1047"/>
        <v>0</v>
      </c>
      <c r="K1732" s="348">
        <f t="shared" si="1048"/>
        <v>0</v>
      </c>
      <c r="L1732" s="35">
        <f t="shared" ref="L1732:S1732" si="1095">SUM(L1733:L1733)</f>
        <v>324000</v>
      </c>
      <c r="M1732" s="34">
        <f t="shared" si="1095"/>
        <v>324000</v>
      </c>
      <c r="N1732" s="34">
        <f t="shared" si="1095"/>
        <v>324000</v>
      </c>
      <c r="O1732" s="34">
        <f t="shared" si="1095"/>
        <v>324000</v>
      </c>
      <c r="P1732" s="34">
        <f t="shared" si="1095"/>
        <v>324000</v>
      </c>
      <c r="Q1732" s="26">
        <f t="shared" si="1095"/>
        <v>1620000</v>
      </c>
      <c r="R1732" s="518">
        <f t="shared" si="1095"/>
        <v>0</v>
      </c>
      <c r="S1732" s="181">
        <f t="shared" si="1095"/>
        <v>0</v>
      </c>
      <c r="T1732" s="51">
        <f>T52</f>
        <v>0</v>
      </c>
      <c r="W1732" s="608">
        <f t="shared" si="1050"/>
        <v>1620000</v>
      </c>
      <c r="X1732" s="608">
        <f t="shared" si="1051"/>
        <v>0</v>
      </c>
      <c r="Z1732" s="572">
        <f t="shared" si="1052"/>
        <v>0</v>
      </c>
      <c r="AA1732" s="1">
        <f t="shared" si="1053"/>
        <v>0</v>
      </c>
    </row>
    <row r="1733" spans="1:27" x14ac:dyDescent="0.2">
      <c r="A1733" s="123" t="str">
        <f>A53</f>
        <v>1.4.1.1 Dotation en matériel d'éveil</v>
      </c>
      <c r="B1733" s="46"/>
      <c r="C1733" s="297">
        <f>C53</f>
        <v>0</v>
      </c>
      <c r="D1733" s="168">
        <f t="shared" si="1041"/>
        <v>324</v>
      </c>
      <c r="E1733" s="168">
        <f t="shared" si="1042"/>
        <v>324</v>
      </c>
      <c r="F1733" s="168">
        <f t="shared" si="1043"/>
        <v>324</v>
      </c>
      <c r="G1733" s="168">
        <f t="shared" si="1044"/>
        <v>324</v>
      </c>
      <c r="H1733" s="168">
        <f t="shared" si="1045"/>
        <v>324</v>
      </c>
      <c r="I1733" s="271">
        <f t="shared" si="1046"/>
        <v>1620</v>
      </c>
      <c r="J1733" s="349" t="str">
        <f t="shared" si="1047"/>
        <v>EPS-DIPROMAD</v>
      </c>
      <c r="K1733" s="350" t="str">
        <f t="shared" si="1048"/>
        <v>UNICEF</v>
      </c>
      <c r="L1733" s="37">
        <f t="shared" ref="L1733:Q1733" si="1096">L53</f>
        <v>324000</v>
      </c>
      <c r="M1733" s="36">
        <f t="shared" si="1096"/>
        <v>324000</v>
      </c>
      <c r="N1733" s="36">
        <f t="shared" si="1096"/>
        <v>324000</v>
      </c>
      <c r="O1733" s="36">
        <f t="shared" si="1096"/>
        <v>324000</v>
      </c>
      <c r="P1733" s="36">
        <f t="shared" si="1096"/>
        <v>324000</v>
      </c>
      <c r="Q1733" s="236">
        <f t="shared" si="1096"/>
        <v>1620000</v>
      </c>
      <c r="R1733" s="205" t="str">
        <f t="shared" ref="R1733:S1733" si="1097">R53</f>
        <v>EPS-DIPROMAD</v>
      </c>
      <c r="S1733" s="183" t="str">
        <f t="shared" si="1097"/>
        <v>UNICEF</v>
      </c>
      <c r="T1733" s="51">
        <f>T53</f>
        <v>0</v>
      </c>
      <c r="W1733" s="608">
        <f t="shared" si="1050"/>
        <v>1620000</v>
      </c>
      <c r="X1733" s="608">
        <f t="shared" si="1051"/>
        <v>0</v>
      </c>
      <c r="Z1733" s="572">
        <f t="shared" si="1052"/>
        <v>0</v>
      </c>
      <c r="AA1733" s="1">
        <f t="shared" si="1053"/>
        <v>0</v>
      </c>
    </row>
    <row r="1734" spans="1:27" x14ac:dyDescent="0.2">
      <c r="A1734" s="17" t="str">
        <f>A55</f>
        <v>1.4.2 Guides pédagogiques pour le préscolaire</v>
      </c>
      <c r="B1734" s="45"/>
      <c r="C1734" s="297" t="str">
        <f>C55</f>
        <v>En 2025, tous les enseignants et encadreurs disposent d'un guide</v>
      </c>
      <c r="D1734" s="157">
        <f t="shared" si="1041"/>
        <v>39.75</v>
      </c>
      <c r="E1734" s="157">
        <f t="shared" si="1042"/>
        <v>20</v>
      </c>
      <c r="F1734" s="157">
        <f t="shared" si="1043"/>
        <v>0</v>
      </c>
      <c r="G1734" s="157">
        <f t="shared" si="1044"/>
        <v>0</v>
      </c>
      <c r="H1734" s="157">
        <f t="shared" si="1045"/>
        <v>0</v>
      </c>
      <c r="I1734" s="270">
        <f t="shared" si="1046"/>
        <v>59.75</v>
      </c>
      <c r="J1734" s="347">
        <f t="shared" si="1047"/>
        <v>0</v>
      </c>
      <c r="K1734" s="348">
        <f t="shared" si="1048"/>
        <v>0</v>
      </c>
      <c r="L1734" s="35">
        <f t="shared" ref="L1734:Q1734" si="1098">SUM(L1735:L1736)</f>
        <v>39750</v>
      </c>
      <c r="M1734" s="34">
        <f t="shared" si="1098"/>
        <v>20000</v>
      </c>
      <c r="N1734" s="34">
        <f t="shared" si="1098"/>
        <v>0</v>
      </c>
      <c r="O1734" s="34">
        <f t="shared" si="1098"/>
        <v>0</v>
      </c>
      <c r="P1734" s="34">
        <f t="shared" si="1098"/>
        <v>0</v>
      </c>
      <c r="Q1734" s="26">
        <f t="shared" si="1098"/>
        <v>59750</v>
      </c>
      <c r="R1734" s="518">
        <f t="shared" ref="R1734:S1734" si="1099">SUM(R1735:R1736)</f>
        <v>0</v>
      </c>
      <c r="S1734" s="181">
        <f t="shared" si="1099"/>
        <v>0</v>
      </c>
      <c r="T1734" s="51">
        <f>T55</f>
        <v>0</v>
      </c>
      <c r="W1734" s="608">
        <f t="shared" si="1050"/>
        <v>59750</v>
      </c>
      <c r="X1734" s="608">
        <f t="shared" si="1051"/>
        <v>0</v>
      </c>
      <c r="Z1734" s="572">
        <f t="shared" si="1052"/>
        <v>0</v>
      </c>
      <c r="AA1734" s="1">
        <f t="shared" si="1053"/>
        <v>0</v>
      </c>
    </row>
    <row r="1735" spans="1:27" x14ac:dyDescent="0.2">
      <c r="A1735" s="20" t="str">
        <f>A56</f>
        <v>1.4.2.1 Élaboration de guide pédagogiques pour le préscolaire</v>
      </c>
      <c r="B1735" s="46"/>
      <c r="C1735" s="297">
        <f>C56</f>
        <v>0</v>
      </c>
      <c r="D1735" s="168">
        <f t="shared" si="1041"/>
        <v>39.75</v>
      </c>
      <c r="E1735" s="168">
        <f t="shared" si="1042"/>
        <v>0</v>
      </c>
      <c r="F1735" s="168">
        <f t="shared" si="1043"/>
        <v>0</v>
      </c>
      <c r="G1735" s="168">
        <f t="shared" si="1044"/>
        <v>0</v>
      </c>
      <c r="H1735" s="168">
        <f t="shared" si="1045"/>
        <v>0</v>
      </c>
      <c r="I1735" s="271">
        <f t="shared" si="1046"/>
        <v>39.75</v>
      </c>
      <c r="J1735" s="349" t="str">
        <f t="shared" si="1047"/>
        <v>EPS-DIPROMAD</v>
      </c>
      <c r="K1735" s="350" t="str">
        <f t="shared" si="1048"/>
        <v>UNICEF</v>
      </c>
      <c r="L1735" s="37">
        <f t="shared" ref="L1735:Q1735" si="1100">L56</f>
        <v>39750</v>
      </c>
      <c r="M1735" s="36">
        <f t="shared" si="1100"/>
        <v>0</v>
      </c>
      <c r="N1735" s="36">
        <f t="shared" si="1100"/>
        <v>0</v>
      </c>
      <c r="O1735" s="36">
        <f t="shared" si="1100"/>
        <v>0</v>
      </c>
      <c r="P1735" s="36">
        <f t="shared" si="1100"/>
        <v>0</v>
      </c>
      <c r="Q1735" s="236">
        <f t="shared" si="1100"/>
        <v>39750</v>
      </c>
      <c r="R1735" s="205" t="str">
        <f t="shared" ref="R1735:S1735" si="1101">R56</f>
        <v>EPS-DIPROMAD</v>
      </c>
      <c r="S1735" s="183" t="str">
        <f t="shared" si="1101"/>
        <v>UNICEF</v>
      </c>
      <c r="T1735" s="51">
        <f>T56</f>
        <v>0</v>
      </c>
      <c r="W1735" s="608">
        <f t="shared" si="1050"/>
        <v>39750</v>
      </c>
      <c r="X1735" s="608">
        <f t="shared" si="1051"/>
        <v>0</v>
      </c>
      <c r="Z1735" s="572">
        <f t="shared" si="1052"/>
        <v>0</v>
      </c>
      <c r="AA1735" s="1">
        <f t="shared" si="1053"/>
        <v>0</v>
      </c>
    </row>
    <row r="1736" spans="1:27" x14ac:dyDescent="0.2">
      <c r="A1736" s="20" t="str">
        <f>A60</f>
        <v xml:space="preserve">1.4.2.2 Impression et diffusion du guide </v>
      </c>
      <c r="B1736" s="46"/>
      <c r="C1736" s="297">
        <f>C60</f>
        <v>0</v>
      </c>
      <c r="D1736" s="168">
        <f t="shared" si="1041"/>
        <v>0</v>
      </c>
      <c r="E1736" s="168">
        <f t="shared" si="1042"/>
        <v>20</v>
      </c>
      <c r="F1736" s="168">
        <f t="shared" si="1043"/>
        <v>0</v>
      </c>
      <c r="G1736" s="168">
        <f t="shared" si="1044"/>
        <v>0</v>
      </c>
      <c r="H1736" s="168">
        <f t="shared" si="1045"/>
        <v>0</v>
      </c>
      <c r="I1736" s="271">
        <f t="shared" si="1046"/>
        <v>20</v>
      </c>
      <c r="J1736" s="349" t="str">
        <f t="shared" si="1047"/>
        <v>EPS-DIPROMAD</v>
      </c>
      <c r="K1736" s="350" t="str">
        <f t="shared" si="1048"/>
        <v>UNICEF</v>
      </c>
      <c r="L1736" s="37">
        <f t="shared" ref="L1736:Q1736" si="1102">L60</f>
        <v>0</v>
      </c>
      <c r="M1736" s="36">
        <f t="shared" si="1102"/>
        <v>20000</v>
      </c>
      <c r="N1736" s="36">
        <f t="shared" si="1102"/>
        <v>0</v>
      </c>
      <c r="O1736" s="36">
        <f t="shared" si="1102"/>
        <v>0</v>
      </c>
      <c r="P1736" s="36">
        <f t="shared" si="1102"/>
        <v>0</v>
      </c>
      <c r="Q1736" s="236">
        <f t="shared" si="1102"/>
        <v>20000</v>
      </c>
      <c r="R1736" s="205" t="str">
        <f t="shared" ref="R1736:S1736" si="1103">R60</f>
        <v>EPS-DIPROMAD</v>
      </c>
      <c r="S1736" s="183" t="str">
        <f t="shared" si="1103"/>
        <v>UNICEF</v>
      </c>
      <c r="T1736" s="51">
        <f>T60</f>
        <v>0</v>
      </c>
      <c r="W1736" s="608">
        <f t="shared" si="1050"/>
        <v>20000</v>
      </c>
      <c r="X1736" s="608">
        <f t="shared" si="1051"/>
        <v>0</v>
      </c>
      <c r="Z1736" s="572">
        <f t="shared" si="1052"/>
        <v>0</v>
      </c>
      <c r="AA1736" s="1">
        <f t="shared" si="1053"/>
        <v>0</v>
      </c>
    </row>
    <row r="1737" spans="1:27" x14ac:dyDescent="0.2">
      <c r="A1737" s="14" t="str">
        <f>A62</f>
        <v>1.5 Formation des animateurs : Des enseignants qualifiés</v>
      </c>
      <c r="B1737" s="44"/>
      <c r="C1737" s="296">
        <f>C62</f>
        <v>0</v>
      </c>
      <c r="D1737" s="217">
        <f t="shared" si="1041"/>
        <v>673.5</v>
      </c>
      <c r="E1737" s="217">
        <f t="shared" si="1042"/>
        <v>1567.5</v>
      </c>
      <c r="F1737" s="217">
        <f t="shared" si="1043"/>
        <v>1754.5</v>
      </c>
      <c r="G1737" s="217">
        <f t="shared" si="1044"/>
        <v>1952.5</v>
      </c>
      <c r="H1737" s="217">
        <f t="shared" si="1045"/>
        <v>2150.5</v>
      </c>
      <c r="I1737" s="273">
        <f t="shared" si="1046"/>
        <v>8098.5</v>
      </c>
      <c r="J1737" s="345">
        <f t="shared" si="1047"/>
        <v>0</v>
      </c>
      <c r="K1737" s="346">
        <f t="shared" si="1048"/>
        <v>0</v>
      </c>
      <c r="L1737" s="33">
        <f t="shared" ref="L1737:Q1737" si="1104">L1738+L1741</f>
        <v>673500</v>
      </c>
      <c r="M1737" s="32">
        <f t="shared" si="1104"/>
        <v>1567500</v>
      </c>
      <c r="N1737" s="32">
        <f t="shared" si="1104"/>
        <v>1754500</v>
      </c>
      <c r="O1737" s="32">
        <f t="shared" si="1104"/>
        <v>1952500</v>
      </c>
      <c r="P1737" s="32">
        <f t="shared" si="1104"/>
        <v>2150500</v>
      </c>
      <c r="Q1737" s="25">
        <f t="shared" si="1104"/>
        <v>8098500</v>
      </c>
      <c r="R1737" s="517">
        <f t="shared" ref="R1737:S1737" si="1105">R1738+R1741</f>
        <v>0</v>
      </c>
      <c r="S1737" s="179">
        <f t="shared" si="1105"/>
        <v>0</v>
      </c>
      <c r="T1737" s="112">
        <f>T62</f>
        <v>2</v>
      </c>
      <c r="W1737" s="608">
        <f t="shared" si="1050"/>
        <v>8098500</v>
      </c>
      <c r="X1737" s="608">
        <f t="shared" si="1051"/>
        <v>0</v>
      </c>
      <c r="Y1737" s="572" t="s">
        <v>1512</v>
      </c>
      <c r="Z1737" s="572">
        <f>IF($Y1737="P",$I1737,)</f>
        <v>8098.5</v>
      </c>
      <c r="AA1737" s="1">
        <f>IF($Y1737="G",$I1737,)</f>
        <v>0</v>
      </c>
    </row>
    <row r="1738" spans="1:27" x14ac:dyDescent="0.2">
      <c r="A1738" s="17" t="str">
        <f>A63</f>
        <v>1.5.1. Formation initiale des enseignants et encadreurs</v>
      </c>
      <c r="B1738" s="45"/>
      <c r="C1738" s="297" t="str">
        <f>C63</f>
        <v>Tous les encadreurs des ECE et les enseignants reçoivent une formation d'une semaine lors de leur recrutement</v>
      </c>
      <c r="D1738" s="157">
        <f t="shared" si="1041"/>
        <v>633.75</v>
      </c>
      <c r="E1738" s="157">
        <f t="shared" si="1042"/>
        <v>594</v>
      </c>
      <c r="F1738" s="157">
        <f t="shared" si="1043"/>
        <v>594</v>
      </c>
      <c r="G1738" s="157">
        <f t="shared" si="1044"/>
        <v>594</v>
      </c>
      <c r="H1738" s="157">
        <f t="shared" si="1045"/>
        <v>594</v>
      </c>
      <c r="I1738" s="270">
        <f t="shared" si="1046"/>
        <v>3009.75</v>
      </c>
      <c r="J1738" s="347">
        <f t="shared" si="1047"/>
        <v>0</v>
      </c>
      <c r="K1738" s="348">
        <f t="shared" si="1048"/>
        <v>0</v>
      </c>
      <c r="L1738" s="35">
        <f t="shared" ref="L1738:Q1738" si="1106">SUM(L1739:L1740)</f>
        <v>633750</v>
      </c>
      <c r="M1738" s="34">
        <f t="shared" si="1106"/>
        <v>594000</v>
      </c>
      <c r="N1738" s="34">
        <f t="shared" si="1106"/>
        <v>594000</v>
      </c>
      <c r="O1738" s="34">
        <f t="shared" si="1106"/>
        <v>594000</v>
      </c>
      <c r="P1738" s="34">
        <f t="shared" si="1106"/>
        <v>594000</v>
      </c>
      <c r="Q1738" s="26">
        <f t="shared" si="1106"/>
        <v>3009750</v>
      </c>
      <c r="R1738" s="518">
        <f t="shared" ref="R1738:S1738" si="1107">SUM(R1739:R1740)</f>
        <v>0</v>
      </c>
      <c r="S1738" s="181">
        <f t="shared" si="1107"/>
        <v>0</v>
      </c>
      <c r="T1738" s="51">
        <f>T63</f>
        <v>0</v>
      </c>
      <c r="W1738" s="608">
        <f t="shared" si="1050"/>
        <v>3009750</v>
      </c>
      <c r="X1738" s="608">
        <f t="shared" si="1051"/>
        <v>0</v>
      </c>
      <c r="Y1738" s="572" t="s">
        <v>1512</v>
      </c>
      <c r="Z1738" s="572">
        <f t="shared" ref="Z1738:Z1801" si="1108">IF($Y1738="P",$I1738,)</f>
        <v>3009.75</v>
      </c>
      <c r="AA1738" s="1">
        <f t="shared" ref="AA1738:AA1801" si="1109">IF($Y1738="G",$I1738,)</f>
        <v>0</v>
      </c>
    </row>
    <row r="1739" spans="1:27" x14ac:dyDescent="0.2">
      <c r="A1739" s="20" t="str">
        <f>A64</f>
        <v>1.5.1.1 Élaboration et validation d'un module de formation</v>
      </c>
      <c r="B1739" s="46"/>
      <c r="C1739" s="297">
        <f>C64</f>
        <v>0</v>
      </c>
      <c r="D1739" s="168">
        <f t="shared" si="1041"/>
        <v>39.75</v>
      </c>
      <c r="E1739" s="168">
        <f t="shared" si="1042"/>
        <v>0</v>
      </c>
      <c r="F1739" s="168">
        <f t="shared" si="1043"/>
        <v>0</v>
      </c>
      <c r="G1739" s="168">
        <f t="shared" si="1044"/>
        <v>0</v>
      </c>
      <c r="H1739" s="168">
        <f t="shared" si="1045"/>
        <v>0</v>
      </c>
      <c r="I1739" s="271">
        <f t="shared" si="1046"/>
        <v>39.75</v>
      </c>
      <c r="J1739" s="349" t="str">
        <f t="shared" si="1047"/>
        <v>EPS-SERNAFOR</v>
      </c>
      <c r="K1739" s="350">
        <f t="shared" si="1048"/>
        <v>0</v>
      </c>
      <c r="L1739" s="37">
        <f t="shared" ref="L1739:Q1739" si="1110">L64</f>
        <v>39750</v>
      </c>
      <c r="M1739" s="36">
        <f t="shared" si="1110"/>
        <v>0</v>
      </c>
      <c r="N1739" s="36">
        <f t="shared" si="1110"/>
        <v>0</v>
      </c>
      <c r="O1739" s="36">
        <f t="shared" si="1110"/>
        <v>0</v>
      </c>
      <c r="P1739" s="36">
        <f t="shared" si="1110"/>
        <v>0</v>
      </c>
      <c r="Q1739" s="236">
        <f t="shared" si="1110"/>
        <v>39750</v>
      </c>
      <c r="R1739" s="205" t="str">
        <f t="shared" ref="R1739:S1739" si="1111">R64</f>
        <v>EPS-SERNAFOR</v>
      </c>
      <c r="S1739" s="183">
        <f t="shared" si="1111"/>
        <v>0</v>
      </c>
      <c r="T1739" s="51">
        <f>T64</f>
        <v>0</v>
      </c>
      <c r="W1739" s="608">
        <f t="shared" si="1050"/>
        <v>39750</v>
      </c>
      <c r="X1739" s="608">
        <f t="shared" si="1051"/>
        <v>0</v>
      </c>
      <c r="Y1739" s="572" t="s">
        <v>1512</v>
      </c>
      <c r="Z1739" s="572">
        <f t="shared" si="1108"/>
        <v>39.75</v>
      </c>
      <c r="AA1739" s="1">
        <f t="shared" si="1109"/>
        <v>0</v>
      </c>
    </row>
    <row r="1740" spans="1:27" x14ac:dyDescent="0.2">
      <c r="A1740" s="20" t="str">
        <f>A68</f>
        <v>1.5.1.2 Assurer la formation pour les nouveaux recrutements</v>
      </c>
      <c r="B1740" s="46"/>
      <c r="C1740" s="297">
        <f>C68</f>
        <v>0</v>
      </c>
      <c r="D1740" s="168">
        <f t="shared" si="1041"/>
        <v>594</v>
      </c>
      <c r="E1740" s="168">
        <f t="shared" si="1042"/>
        <v>594</v>
      </c>
      <c r="F1740" s="168">
        <f t="shared" si="1043"/>
        <v>594</v>
      </c>
      <c r="G1740" s="168">
        <f t="shared" si="1044"/>
        <v>594</v>
      </c>
      <c r="H1740" s="168">
        <f t="shared" si="1045"/>
        <v>594</v>
      </c>
      <c r="I1740" s="271">
        <f t="shared" si="1046"/>
        <v>2970</v>
      </c>
      <c r="J1740" s="349" t="str">
        <f t="shared" si="1047"/>
        <v>EPS-SERNAFOR</v>
      </c>
      <c r="K1740" s="350">
        <f t="shared" si="1048"/>
        <v>0</v>
      </c>
      <c r="L1740" s="37">
        <f t="shared" ref="L1740:Q1740" si="1112">L68</f>
        <v>594000</v>
      </c>
      <c r="M1740" s="36">
        <f t="shared" si="1112"/>
        <v>594000</v>
      </c>
      <c r="N1740" s="36">
        <f t="shared" si="1112"/>
        <v>594000</v>
      </c>
      <c r="O1740" s="36">
        <f t="shared" si="1112"/>
        <v>594000</v>
      </c>
      <c r="P1740" s="36">
        <f t="shared" si="1112"/>
        <v>594000</v>
      </c>
      <c r="Q1740" s="236">
        <f t="shared" si="1112"/>
        <v>2970000</v>
      </c>
      <c r="R1740" s="205" t="str">
        <f t="shared" ref="R1740:S1740" si="1113">R68</f>
        <v>EPS-SERNAFOR</v>
      </c>
      <c r="S1740" s="183">
        <f t="shared" si="1113"/>
        <v>0</v>
      </c>
      <c r="T1740" s="51">
        <f>T68</f>
        <v>0</v>
      </c>
      <c r="W1740" s="608">
        <f t="shared" si="1050"/>
        <v>2970000</v>
      </c>
      <c r="X1740" s="608">
        <f t="shared" si="1051"/>
        <v>0</v>
      </c>
      <c r="Y1740" s="572" t="s">
        <v>1512</v>
      </c>
      <c r="Z1740" s="572">
        <f t="shared" si="1108"/>
        <v>2970</v>
      </c>
      <c r="AA1740" s="1">
        <f t="shared" si="1109"/>
        <v>0</v>
      </c>
    </row>
    <row r="1741" spans="1:27" x14ac:dyDescent="0.2">
      <c r="A1741" s="17" t="str">
        <f>A70</f>
        <v>1.5.2 Formation continue des enseignants et encadreurs</v>
      </c>
      <c r="B1741" s="45"/>
      <c r="C1741" s="297" t="str">
        <f>C70</f>
        <v>Tous les encadreurs des ECE et les enseignants reçoivent une formation d'une semaine tous les deux ans</v>
      </c>
      <c r="D1741" s="157">
        <f t="shared" si="1041"/>
        <v>39.75</v>
      </c>
      <c r="E1741" s="157">
        <f t="shared" si="1042"/>
        <v>973.5</v>
      </c>
      <c r="F1741" s="157">
        <f t="shared" si="1043"/>
        <v>1160.5</v>
      </c>
      <c r="G1741" s="157">
        <f t="shared" si="1044"/>
        <v>1358.5</v>
      </c>
      <c r="H1741" s="157">
        <f t="shared" si="1045"/>
        <v>1556.5</v>
      </c>
      <c r="I1741" s="270">
        <f t="shared" si="1046"/>
        <v>5088.75</v>
      </c>
      <c r="J1741" s="347">
        <f t="shared" si="1047"/>
        <v>0</v>
      </c>
      <c r="K1741" s="348">
        <f t="shared" si="1048"/>
        <v>0</v>
      </c>
      <c r="L1741" s="35">
        <f t="shared" ref="L1741:Q1741" si="1114">SUM(L1742:L1743)</f>
        <v>39750</v>
      </c>
      <c r="M1741" s="34">
        <f t="shared" si="1114"/>
        <v>973500</v>
      </c>
      <c r="N1741" s="34">
        <f t="shared" si="1114"/>
        <v>1160500</v>
      </c>
      <c r="O1741" s="34">
        <f t="shared" si="1114"/>
        <v>1358500</v>
      </c>
      <c r="P1741" s="34">
        <f t="shared" si="1114"/>
        <v>1556500</v>
      </c>
      <c r="Q1741" s="26">
        <f t="shared" si="1114"/>
        <v>5088750</v>
      </c>
      <c r="R1741" s="518">
        <f t="shared" ref="R1741:S1741" si="1115">SUM(R1742:R1743)</f>
        <v>0</v>
      </c>
      <c r="S1741" s="181">
        <f t="shared" si="1115"/>
        <v>0</v>
      </c>
      <c r="T1741" s="51">
        <f>T70</f>
        <v>0</v>
      </c>
      <c r="W1741" s="608">
        <f t="shared" si="1050"/>
        <v>5088750</v>
      </c>
      <c r="X1741" s="608">
        <f t="shared" si="1051"/>
        <v>0</v>
      </c>
      <c r="Y1741" s="572" t="s">
        <v>1512</v>
      </c>
      <c r="Z1741" s="572">
        <f t="shared" si="1108"/>
        <v>5088.75</v>
      </c>
      <c r="AA1741" s="1">
        <f t="shared" si="1109"/>
        <v>0</v>
      </c>
    </row>
    <row r="1742" spans="1:27" x14ac:dyDescent="0.2">
      <c r="A1742" s="20" t="str">
        <f>A71</f>
        <v>1.5.2.1 Révision et validation des modules existants</v>
      </c>
      <c r="B1742" s="46"/>
      <c r="C1742" s="297">
        <f>C71</f>
        <v>0</v>
      </c>
      <c r="D1742" s="168">
        <f t="shared" si="1041"/>
        <v>39.75</v>
      </c>
      <c r="E1742" s="168">
        <f t="shared" si="1042"/>
        <v>0</v>
      </c>
      <c r="F1742" s="168">
        <f t="shared" si="1043"/>
        <v>0</v>
      </c>
      <c r="G1742" s="168">
        <f t="shared" si="1044"/>
        <v>0</v>
      </c>
      <c r="H1742" s="168">
        <f t="shared" si="1045"/>
        <v>0</v>
      </c>
      <c r="I1742" s="271">
        <f t="shared" si="1046"/>
        <v>39.75</v>
      </c>
      <c r="J1742" s="349" t="str">
        <f t="shared" si="1047"/>
        <v>EPS-SERNAFOR</v>
      </c>
      <c r="K1742" s="350">
        <f t="shared" si="1048"/>
        <v>0</v>
      </c>
      <c r="L1742" s="37">
        <f t="shared" ref="L1742:Q1742" si="1116">L71</f>
        <v>39750</v>
      </c>
      <c r="M1742" s="36">
        <f t="shared" si="1116"/>
        <v>0</v>
      </c>
      <c r="N1742" s="36">
        <f t="shared" si="1116"/>
        <v>0</v>
      </c>
      <c r="O1742" s="36">
        <f t="shared" si="1116"/>
        <v>0</v>
      </c>
      <c r="P1742" s="36">
        <f t="shared" si="1116"/>
        <v>0</v>
      </c>
      <c r="Q1742" s="236">
        <f t="shared" si="1116"/>
        <v>39750</v>
      </c>
      <c r="R1742" s="205" t="str">
        <f t="shared" ref="R1742:S1742" si="1117">R71</f>
        <v>EPS-SERNAFOR</v>
      </c>
      <c r="S1742" s="183">
        <f t="shared" si="1117"/>
        <v>0</v>
      </c>
      <c r="T1742" s="51">
        <f>T71</f>
        <v>0</v>
      </c>
      <c r="W1742" s="608">
        <f t="shared" si="1050"/>
        <v>39750</v>
      </c>
      <c r="X1742" s="608">
        <f t="shared" si="1051"/>
        <v>0</v>
      </c>
      <c r="Y1742" s="572" t="s">
        <v>1512</v>
      </c>
      <c r="Z1742" s="572">
        <f t="shared" si="1108"/>
        <v>39.75</v>
      </c>
      <c r="AA1742" s="1">
        <f t="shared" si="1109"/>
        <v>0</v>
      </c>
    </row>
    <row r="1743" spans="1:27" x14ac:dyDescent="0.2">
      <c r="A1743" s="20" t="str">
        <f>A75</f>
        <v>1.5.2.2 Assurer la formation continue pour les encadreurs et enseignants</v>
      </c>
      <c r="B1743" s="46"/>
      <c r="C1743" s="297">
        <f>C75</f>
        <v>0</v>
      </c>
      <c r="D1743" s="168">
        <f t="shared" si="1041"/>
        <v>0</v>
      </c>
      <c r="E1743" s="168">
        <f t="shared" si="1042"/>
        <v>973.5</v>
      </c>
      <c r="F1743" s="168">
        <f t="shared" si="1043"/>
        <v>1160.5</v>
      </c>
      <c r="G1743" s="168">
        <f t="shared" si="1044"/>
        <v>1358.5</v>
      </c>
      <c r="H1743" s="168">
        <f t="shared" si="1045"/>
        <v>1556.5</v>
      </c>
      <c r="I1743" s="271">
        <f t="shared" si="1046"/>
        <v>5049</v>
      </c>
      <c r="J1743" s="349" t="str">
        <f t="shared" si="1047"/>
        <v>EPS-SERNAFOR</v>
      </c>
      <c r="K1743" s="350">
        <f t="shared" si="1048"/>
        <v>0</v>
      </c>
      <c r="L1743" s="37">
        <f t="shared" ref="L1743:Q1743" si="1118">L75</f>
        <v>0</v>
      </c>
      <c r="M1743" s="36">
        <f t="shared" si="1118"/>
        <v>973500</v>
      </c>
      <c r="N1743" s="36">
        <f t="shared" si="1118"/>
        <v>1160500</v>
      </c>
      <c r="O1743" s="36">
        <f t="shared" si="1118"/>
        <v>1358500</v>
      </c>
      <c r="P1743" s="36">
        <f t="shared" si="1118"/>
        <v>1556500</v>
      </c>
      <c r="Q1743" s="236">
        <f t="shared" si="1118"/>
        <v>5049000</v>
      </c>
      <c r="R1743" s="205" t="str">
        <f t="shared" ref="R1743:S1743" si="1119">R75</f>
        <v>EPS-SERNAFOR</v>
      </c>
      <c r="S1743" s="183">
        <f t="shared" si="1119"/>
        <v>0</v>
      </c>
      <c r="T1743" s="51">
        <f>T75</f>
        <v>0</v>
      </c>
      <c r="W1743" s="608">
        <f t="shared" si="1050"/>
        <v>5049000</v>
      </c>
      <c r="X1743" s="608">
        <f t="shared" si="1051"/>
        <v>0</v>
      </c>
      <c r="Y1743" s="572" t="s">
        <v>1512</v>
      </c>
      <c r="Z1743" s="572">
        <f t="shared" si="1108"/>
        <v>5049</v>
      </c>
      <c r="AA1743" s="1">
        <f t="shared" si="1109"/>
        <v>0</v>
      </c>
    </row>
    <row r="1744" spans="1:27" x14ac:dyDescent="0.2">
      <c r="A1744" s="14" t="str">
        <f>A77</f>
        <v>1.6 Supervision des structures et des enseignants : Assurer l'encadrement pédagogique et administratif des structures</v>
      </c>
      <c r="B1744" s="44"/>
      <c r="C1744" s="296">
        <f>C77</f>
        <v>0</v>
      </c>
      <c r="D1744" s="217">
        <f t="shared" si="1041"/>
        <v>210</v>
      </c>
      <c r="E1744" s="217">
        <f t="shared" si="1042"/>
        <v>270</v>
      </c>
      <c r="F1744" s="217">
        <f t="shared" si="1043"/>
        <v>330</v>
      </c>
      <c r="G1744" s="217">
        <f t="shared" si="1044"/>
        <v>180</v>
      </c>
      <c r="H1744" s="217">
        <f t="shared" si="1045"/>
        <v>180</v>
      </c>
      <c r="I1744" s="273">
        <f t="shared" si="1046"/>
        <v>1170</v>
      </c>
      <c r="J1744" s="345">
        <f t="shared" si="1047"/>
        <v>0</v>
      </c>
      <c r="K1744" s="346">
        <f t="shared" si="1048"/>
        <v>0</v>
      </c>
      <c r="L1744" s="33">
        <f t="shared" ref="L1744:Q1744" si="1120">L1745+L1747</f>
        <v>210000</v>
      </c>
      <c r="M1744" s="32">
        <f t="shared" si="1120"/>
        <v>270000</v>
      </c>
      <c r="N1744" s="32">
        <f t="shared" si="1120"/>
        <v>330000</v>
      </c>
      <c r="O1744" s="32">
        <f t="shared" si="1120"/>
        <v>180000</v>
      </c>
      <c r="P1744" s="32">
        <f t="shared" si="1120"/>
        <v>180000</v>
      </c>
      <c r="Q1744" s="25">
        <f t="shared" si="1120"/>
        <v>1170000</v>
      </c>
      <c r="R1744" s="517">
        <f t="shared" ref="R1744:S1744" si="1121">R1745+R1747</f>
        <v>0</v>
      </c>
      <c r="S1744" s="179">
        <f t="shared" si="1121"/>
        <v>0</v>
      </c>
      <c r="T1744" s="49">
        <f>T77</f>
        <v>3</v>
      </c>
      <c r="W1744" s="608">
        <f t="shared" si="1050"/>
        <v>1170000</v>
      </c>
      <c r="X1744" s="608">
        <f t="shared" si="1051"/>
        <v>0</v>
      </c>
      <c r="Y1744" s="572" t="s">
        <v>1512</v>
      </c>
      <c r="Z1744" s="572">
        <f t="shared" si="1108"/>
        <v>1170</v>
      </c>
      <c r="AA1744" s="1">
        <f t="shared" si="1109"/>
        <v>0</v>
      </c>
    </row>
    <row r="1745" spans="1:27" x14ac:dyDescent="0.2">
      <c r="A1745" s="17" t="str">
        <f>A78</f>
        <v>1.6.1 Moyens de déplacement des inspecteurs</v>
      </c>
      <c r="B1745" s="45"/>
      <c r="C1745" s="297" t="str">
        <f>C78</f>
        <v>En 2020, tous les inspecteurs sont équipés en moyens de déplacement</v>
      </c>
      <c r="D1745" s="157">
        <f t="shared" si="1041"/>
        <v>150</v>
      </c>
      <c r="E1745" s="157">
        <f t="shared" si="1042"/>
        <v>150</v>
      </c>
      <c r="F1745" s="157">
        <f t="shared" si="1043"/>
        <v>150</v>
      </c>
      <c r="G1745" s="157">
        <f t="shared" si="1044"/>
        <v>0</v>
      </c>
      <c r="H1745" s="157">
        <f t="shared" si="1045"/>
        <v>0</v>
      </c>
      <c r="I1745" s="270">
        <f t="shared" si="1046"/>
        <v>450</v>
      </c>
      <c r="J1745" s="347">
        <f t="shared" si="1047"/>
        <v>0</v>
      </c>
      <c r="K1745" s="348">
        <f t="shared" si="1048"/>
        <v>0</v>
      </c>
      <c r="L1745" s="35">
        <f t="shared" ref="L1745:S1745" si="1122">SUM(L1746:L1746)</f>
        <v>150000</v>
      </c>
      <c r="M1745" s="34">
        <f t="shared" si="1122"/>
        <v>150000</v>
      </c>
      <c r="N1745" s="34">
        <f t="shared" si="1122"/>
        <v>150000</v>
      </c>
      <c r="O1745" s="34">
        <f t="shared" si="1122"/>
        <v>0</v>
      </c>
      <c r="P1745" s="34">
        <f t="shared" si="1122"/>
        <v>0</v>
      </c>
      <c r="Q1745" s="26">
        <f t="shared" si="1122"/>
        <v>450000</v>
      </c>
      <c r="R1745" s="518">
        <f t="shared" si="1122"/>
        <v>0</v>
      </c>
      <c r="S1745" s="181">
        <f t="shared" si="1122"/>
        <v>0</v>
      </c>
      <c r="T1745" s="50">
        <f>T78</f>
        <v>0</v>
      </c>
      <c r="W1745" s="608">
        <f t="shared" si="1050"/>
        <v>450000</v>
      </c>
      <c r="X1745" s="608">
        <f t="shared" si="1051"/>
        <v>0</v>
      </c>
      <c r="Y1745" s="572" t="s">
        <v>1512</v>
      </c>
      <c r="Z1745" s="572">
        <f t="shared" si="1108"/>
        <v>450</v>
      </c>
      <c r="AA1745" s="1">
        <f t="shared" si="1109"/>
        <v>0</v>
      </c>
    </row>
    <row r="1746" spans="1:27" x14ac:dyDescent="0.2">
      <c r="A1746" s="20" t="str">
        <f>A79</f>
        <v>1.6.1.1 Équipement des Inspecteurs en Moto</v>
      </c>
      <c r="B1746" s="46"/>
      <c r="C1746" s="297">
        <f>C79</f>
        <v>0</v>
      </c>
      <c r="D1746" s="168">
        <f t="shared" si="1041"/>
        <v>150</v>
      </c>
      <c r="E1746" s="168">
        <f t="shared" si="1042"/>
        <v>150</v>
      </c>
      <c r="F1746" s="168">
        <f t="shared" si="1043"/>
        <v>150</v>
      </c>
      <c r="G1746" s="168">
        <f t="shared" si="1044"/>
        <v>0</v>
      </c>
      <c r="H1746" s="168">
        <f t="shared" si="1045"/>
        <v>0</v>
      </c>
      <c r="I1746" s="271">
        <f t="shared" si="1046"/>
        <v>450</v>
      </c>
      <c r="J1746" s="349" t="str">
        <f t="shared" si="1047"/>
        <v>EPS-DEP</v>
      </c>
      <c r="K1746" s="350">
        <f t="shared" si="1048"/>
        <v>0</v>
      </c>
      <c r="L1746" s="37">
        <f t="shared" ref="L1746:Q1746" si="1123">L79</f>
        <v>150000</v>
      </c>
      <c r="M1746" s="36">
        <f t="shared" si="1123"/>
        <v>150000</v>
      </c>
      <c r="N1746" s="36">
        <f t="shared" si="1123"/>
        <v>150000</v>
      </c>
      <c r="O1746" s="36">
        <f t="shared" si="1123"/>
        <v>0</v>
      </c>
      <c r="P1746" s="36">
        <f t="shared" si="1123"/>
        <v>0</v>
      </c>
      <c r="Q1746" s="236">
        <f t="shared" si="1123"/>
        <v>450000</v>
      </c>
      <c r="R1746" s="205" t="str">
        <f t="shared" ref="R1746:S1746" si="1124">R79</f>
        <v>EPS-DEP</v>
      </c>
      <c r="S1746" s="183">
        <f t="shared" si="1124"/>
        <v>0</v>
      </c>
      <c r="T1746" s="51">
        <f>T79</f>
        <v>0</v>
      </c>
      <c r="W1746" s="608">
        <f t="shared" si="1050"/>
        <v>450000</v>
      </c>
      <c r="X1746" s="608">
        <f t="shared" si="1051"/>
        <v>0</v>
      </c>
      <c r="Y1746" s="572" t="s">
        <v>1512</v>
      </c>
      <c r="Z1746" s="572">
        <f t="shared" si="1108"/>
        <v>450</v>
      </c>
      <c r="AA1746" s="1">
        <f t="shared" si="1109"/>
        <v>0</v>
      </c>
    </row>
    <row r="1747" spans="1:27" x14ac:dyDescent="0.2">
      <c r="A1747" s="17" t="str">
        <f>A81</f>
        <v>1.6.2 Primes d'itinérance</v>
      </c>
      <c r="B1747" s="45"/>
      <c r="C1747" s="297" t="str">
        <f>C81</f>
        <v>En 2020, tous les inspecteurs sont dotés en primes d'itinérance</v>
      </c>
      <c r="D1747" s="157">
        <f t="shared" si="1041"/>
        <v>60</v>
      </c>
      <c r="E1747" s="157">
        <f t="shared" si="1042"/>
        <v>120</v>
      </c>
      <c r="F1747" s="157">
        <f t="shared" si="1043"/>
        <v>180</v>
      </c>
      <c r="G1747" s="157">
        <f t="shared" si="1044"/>
        <v>180</v>
      </c>
      <c r="H1747" s="157">
        <f t="shared" si="1045"/>
        <v>180</v>
      </c>
      <c r="I1747" s="270">
        <f t="shared" si="1046"/>
        <v>720</v>
      </c>
      <c r="J1747" s="347">
        <f t="shared" si="1047"/>
        <v>0</v>
      </c>
      <c r="K1747" s="348">
        <f t="shared" si="1048"/>
        <v>0</v>
      </c>
      <c r="L1747" s="35">
        <f t="shared" ref="L1747:S1747" si="1125">SUM(L1748:L1748)</f>
        <v>60000</v>
      </c>
      <c r="M1747" s="34">
        <f t="shared" si="1125"/>
        <v>120000</v>
      </c>
      <c r="N1747" s="34">
        <f t="shared" si="1125"/>
        <v>180000</v>
      </c>
      <c r="O1747" s="34">
        <f t="shared" si="1125"/>
        <v>180000</v>
      </c>
      <c r="P1747" s="34">
        <f t="shared" si="1125"/>
        <v>180000</v>
      </c>
      <c r="Q1747" s="26">
        <f t="shared" si="1125"/>
        <v>720000</v>
      </c>
      <c r="R1747" s="518">
        <f t="shared" si="1125"/>
        <v>0</v>
      </c>
      <c r="S1747" s="181">
        <f t="shared" si="1125"/>
        <v>0</v>
      </c>
      <c r="T1747" s="50">
        <f>T81</f>
        <v>0</v>
      </c>
      <c r="W1747" s="608">
        <f t="shared" si="1050"/>
        <v>720000</v>
      </c>
      <c r="X1747" s="608">
        <f t="shared" si="1051"/>
        <v>0</v>
      </c>
      <c r="Y1747" s="572" t="s">
        <v>1512</v>
      </c>
      <c r="Z1747" s="572">
        <f t="shared" si="1108"/>
        <v>720</v>
      </c>
      <c r="AA1747" s="1">
        <f t="shared" si="1109"/>
        <v>0</v>
      </c>
    </row>
    <row r="1748" spans="1:27" x14ac:dyDescent="0.2">
      <c r="A1748" s="656" t="str">
        <f>A82</f>
        <v>1.6.2.1 Dotation en prime d'itinérance</v>
      </c>
      <c r="B1748" s="657"/>
      <c r="C1748" s="658">
        <f>C82</f>
        <v>0</v>
      </c>
      <c r="D1748" s="558">
        <f t="shared" si="1041"/>
        <v>60</v>
      </c>
      <c r="E1748" s="558">
        <f t="shared" si="1042"/>
        <v>120</v>
      </c>
      <c r="F1748" s="558">
        <f t="shared" si="1043"/>
        <v>180</v>
      </c>
      <c r="G1748" s="558">
        <f t="shared" si="1044"/>
        <v>180</v>
      </c>
      <c r="H1748" s="558">
        <f t="shared" si="1045"/>
        <v>180</v>
      </c>
      <c r="I1748" s="559">
        <f t="shared" si="1046"/>
        <v>720</v>
      </c>
      <c r="J1748" s="659" t="str">
        <f t="shared" si="1047"/>
        <v>EPS-DEP</v>
      </c>
      <c r="K1748" s="660">
        <f t="shared" si="1048"/>
        <v>0</v>
      </c>
      <c r="L1748" s="37">
        <f t="shared" ref="L1748:Q1748" si="1126">L82</f>
        <v>60000</v>
      </c>
      <c r="M1748" s="36">
        <f t="shared" si="1126"/>
        <v>120000</v>
      </c>
      <c r="N1748" s="36">
        <f t="shared" si="1126"/>
        <v>180000</v>
      </c>
      <c r="O1748" s="36">
        <f t="shared" si="1126"/>
        <v>180000</v>
      </c>
      <c r="P1748" s="36">
        <f t="shared" si="1126"/>
        <v>180000</v>
      </c>
      <c r="Q1748" s="236">
        <f t="shared" si="1126"/>
        <v>720000</v>
      </c>
      <c r="R1748" s="205" t="str">
        <f t="shared" ref="R1748:S1748" si="1127">R82</f>
        <v>EPS-DEP</v>
      </c>
      <c r="S1748" s="183">
        <f t="shared" si="1127"/>
        <v>0</v>
      </c>
      <c r="T1748" s="51">
        <f>T82</f>
        <v>0</v>
      </c>
      <c r="W1748" s="608">
        <f t="shared" si="1050"/>
        <v>720000</v>
      </c>
      <c r="X1748" s="608">
        <f t="shared" si="1051"/>
        <v>0</v>
      </c>
      <c r="Y1748" s="572" t="s">
        <v>1512</v>
      </c>
      <c r="Z1748" s="572">
        <f t="shared" si="1108"/>
        <v>720</v>
      </c>
      <c r="AA1748" s="1">
        <f t="shared" si="1109"/>
        <v>0</v>
      </c>
    </row>
    <row r="1749" spans="1:27" x14ac:dyDescent="0.2">
      <c r="A1749" s="661" t="str">
        <f>A84</f>
        <v>2. Enseignement primaire : Un enseignement primaire de qualité pour apporter à tous les savoirs et compétences de base</v>
      </c>
      <c r="B1749" s="662"/>
      <c r="C1749" s="663">
        <f>C84</f>
        <v>0</v>
      </c>
      <c r="D1749" s="664">
        <f t="shared" si="1041"/>
        <v>505574.76501758053</v>
      </c>
      <c r="E1749" s="664">
        <f t="shared" si="1042"/>
        <v>586019.40016991762</v>
      </c>
      <c r="F1749" s="664">
        <f t="shared" si="1043"/>
        <v>656510.27783057222</v>
      </c>
      <c r="G1749" s="664">
        <f t="shared" si="1044"/>
        <v>706287.51795687142</v>
      </c>
      <c r="H1749" s="664">
        <f t="shared" si="1045"/>
        <v>753196.42996220419</v>
      </c>
      <c r="I1749" s="665">
        <f t="shared" si="1046"/>
        <v>3207588.3909371463</v>
      </c>
      <c r="J1749" s="666">
        <f t="shared" si="1047"/>
        <v>0</v>
      </c>
      <c r="K1749" s="667">
        <f t="shared" si="1048"/>
        <v>0</v>
      </c>
      <c r="L1749" s="30">
        <f>L1750+L1755+L1764+L1769+L1786+L1796+L1812+L1826+L1846+L1873+L1878+L1861</f>
        <v>505574765.01758051</v>
      </c>
      <c r="M1749" s="29">
        <f t="shared" ref="M1749:Q1749" si="1128">M1750+M1755+M1764+M1769+M1786+M1796+M1812+M1826+M1846+M1873+M1878+M1861</f>
        <v>586019400.16991758</v>
      </c>
      <c r="N1749" s="29">
        <f t="shared" si="1128"/>
        <v>656510277.83057225</v>
      </c>
      <c r="O1749" s="29">
        <f t="shared" si="1128"/>
        <v>706287517.95687139</v>
      </c>
      <c r="P1749" s="29">
        <f t="shared" si="1128"/>
        <v>753196429.96220422</v>
      </c>
      <c r="Q1749" s="24">
        <f t="shared" si="1128"/>
        <v>3207588390.9371462</v>
      </c>
      <c r="R1749" s="516"/>
      <c r="S1749" s="177"/>
      <c r="T1749" s="48">
        <f>T84</f>
        <v>0</v>
      </c>
      <c r="U1749" s="653">
        <f>+Q1749+Q1709</f>
        <v>3345142940.9371462</v>
      </c>
      <c r="W1749" s="608">
        <f t="shared" si="1050"/>
        <v>3207588390.9371462</v>
      </c>
      <c r="X1749" s="608">
        <f t="shared" si="1051"/>
        <v>0</v>
      </c>
      <c r="Z1749" s="572">
        <f t="shared" si="1108"/>
        <v>0</v>
      </c>
      <c r="AA1749" s="1">
        <f t="shared" si="1109"/>
        <v>0</v>
      </c>
    </row>
    <row r="1750" spans="1:27" x14ac:dyDescent="0.2">
      <c r="A1750" s="14" t="str">
        <f>A85</f>
        <v xml:space="preserve">2.1 Capacité d'accueil du primaire : Augmenter les capacités d’accueil </v>
      </c>
      <c r="B1750" s="44"/>
      <c r="C1750" s="296">
        <f>C85</f>
        <v>0</v>
      </c>
      <c r="D1750" s="217">
        <f t="shared" si="1041"/>
        <v>93760</v>
      </c>
      <c r="E1750" s="217">
        <f t="shared" si="1042"/>
        <v>92800</v>
      </c>
      <c r="F1750" s="217">
        <f t="shared" si="1043"/>
        <v>92800</v>
      </c>
      <c r="G1750" s="217">
        <f t="shared" si="1044"/>
        <v>92800</v>
      </c>
      <c r="H1750" s="217">
        <f t="shared" si="1045"/>
        <v>92800</v>
      </c>
      <c r="I1750" s="273">
        <f t="shared" si="1046"/>
        <v>464960</v>
      </c>
      <c r="J1750" s="345">
        <f t="shared" si="1047"/>
        <v>0</v>
      </c>
      <c r="K1750" s="346">
        <f t="shared" si="1048"/>
        <v>0</v>
      </c>
      <c r="L1750" s="33">
        <f t="shared" ref="L1750:Q1750" si="1129">L1751+L1753</f>
        <v>93760000</v>
      </c>
      <c r="M1750" s="32">
        <f t="shared" si="1129"/>
        <v>92800000</v>
      </c>
      <c r="N1750" s="32">
        <f t="shared" si="1129"/>
        <v>92800000</v>
      </c>
      <c r="O1750" s="32">
        <f t="shared" si="1129"/>
        <v>92800000</v>
      </c>
      <c r="P1750" s="32">
        <f t="shared" si="1129"/>
        <v>92800000</v>
      </c>
      <c r="Q1750" s="25">
        <f t="shared" si="1129"/>
        <v>464960000</v>
      </c>
      <c r="R1750" s="517">
        <f t="shared" ref="R1750:S1750" si="1130">R1751+R1753</f>
        <v>0</v>
      </c>
      <c r="S1750" s="179">
        <f t="shared" si="1130"/>
        <v>0</v>
      </c>
      <c r="T1750" s="49">
        <f>T85</f>
        <v>1</v>
      </c>
      <c r="W1750" s="608">
        <f t="shared" si="1050"/>
        <v>464960000</v>
      </c>
      <c r="X1750" s="608">
        <f t="shared" si="1051"/>
        <v>0</v>
      </c>
      <c r="Z1750" s="572">
        <f t="shared" si="1108"/>
        <v>0</v>
      </c>
      <c r="AA1750" s="1">
        <f t="shared" si="1109"/>
        <v>0</v>
      </c>
    </row>
    <row r="1751" spans="1:27" x14ac:dyDescent="0.2">
      <c r="A1751" s="17" t="str">
        <f>A86</f>
        <v>2.1.1 Construction et réhabilitation des salles de classe</v>
      </c>
      <c r="B1751" s="45"/>
      <c r="C1751" s="297" t="str">
        <f>C86</f>
        <v>En 2025, 28 000 salles de classe sont construites</v>
      </c>
      <c r="D1751" s="157">
        <f t="shared" si="1041"/>
        <v>44800</v>
      </c>
      <c r="E1751" s="157">
        <f t="shared" si="1042"/>
        <v>44800</v>
      </c>
      <c r="F1751" s="157">
        <f t="shared" si="1043"/>
        <v>44800</v>
      </c>
      <c r="G1751" s="157">
        <f t="shared" si="1044"/>
        <v>44800</v>
      </c>
      <c r="H1751" s="157">
        <f t="shared" si="1045"/>
        <v>44800</v>
      </c>
      <c r="I1751" s="270">
        <f t="shared" si="1046"/>
        <v>224000</v>
      </c>
      <c r="J1751" s="347">
        <f t="shared" si="1047"/>
        <v>0</v>
      </c>
      <c r="K1751" s="348">
        <f t="shared" si="1048"/>
        <v>0</v>
      </c>
      <c r="L1751" s="35">
        <f t="shared" ref="L1751:S1751" si="1131">SUM(L1752:L1752)</f>
        <v>44800000</v>
      </c>
      <c r="M1751" s="34">
        <f t="shared" si="1131"/>
        <v>44800000</v>
      </c>
      <c r="N1751" s="34">
        <f t="shared" si="1131"/>
        <v>44800000</v>
      </c>
      <c r="O1751" s="34">
        <f t="shared" si="1131"/>
        <v>44800000</v>
      </c>
      <c r="P1751" s="34">
        <f t="shared" si="1131"/>
        <v>44800000</v>
      </c>
      <c r="Q1751" s="26">
        <f t="shared" si="1131"/>
        <v>224000000</v>
      </c>
      <c r="R1751" s="518">
        <f t="shared" si="1131"/>
        <v>0</v>
      </c>
      <c r="S1751" s="181">
        <f t="shared" si="1131"/>
        <v>0</v>
      </c>
      <c r="T1751" s="50">
        <f>T86</f>
        <v>0</v>
      </c>
      <c r="W1751" s="608">
        <f t="shared" si="1050"/>
        <v>224000000</v>
      </c>
      <c r="X1751" s="608">
        <f t="shared" si="1051"/>
        <v>0</v>
      </c>
      <c r="Z1751" s="572">
        <f t="shared" si="1108"/>
        <v>0</v>
      </c>
      <c r="AA1751" s="1">
        <f t="shared" si="1109"/>
        <v>0</v>
      </c>
    </row>
    <row r="1752" spans="1:27" x14ac:dyDescent="0.2">
      <c r="A1752" s="20" t="str">
        <f>A87</f>
        <v>2.1.1.1 Construction de salle de classe primaire</v>
      </c>
      <c r="B1752" s="46"/>
      <c r="C1752" s="297">
        <f>C87</f>
        <v>0</v>
      </c>
      <c r="D1752" s="168">
        <f t="shared" si="1041"/>
        <v>44800</v>
      </c>
      <c r="E1752" s="168">
        <f t="shared" si="1042"/>
        <v>44800</v>
      </c>
      <c r="F1752" s="168">
        <f t="shared" si="1043"/>
        <v>44800</v>
      </c>
      <c r="G1752" s="168">
        <f t="shared" si="1044"/>
        <v>44800</v>
      </c>
      <c r="H1752" s="168">
        <f t="shared" si="1045"/>
        <v>44800</v>
      </c>
      <c r="I1752" s="271">
        <f t="shared" si="1046"/>
        <v>224000</v>
      </c>
      <c r="J1752" s="349" t="str">
        <f t="shared" si="1047"/>
        <v>EPS-DIS</v>
      </c>
      <c r="K1752" s="350" t="str">
        <f t="shared" si="1048"/>
        <v>ND</v>
      </c>
      <c r="L1752" s="37">
        <f t="shared" ref="L1752:Q1752" si="1132">L87</f>
        <v>44800000</v>
      </c>
      <c r="M1752" s="36">
        <f t="shared" si="1132"/>
        <v>44800000</v>
      </c>
      <c r="N1752" s="36">
        <f t="shared" si="1132"/>
        <v>44800000</v>
      </c>
      <c r="O1752" s="36">
        <f t="shared" si="1132"/>
        <v>44800000</v>
      </c>
      <c r="P1752" s="36">
        <f t="shared" si="1132"/>
        <v>44800000</v>
      </c>
      <c r="Q1752" s="236">
        <f t="shared" si="1132"/>
        <v>224000000</v>
      </c>
      <c r="R1752" s="205" t="str">
        <f t="shared" ref="R1752:S1752" si="1133">R87</f>
        <v>EPS-DIS</v>
      </c>
      <c r="S1752" s="183" t="str">
        <f t="shared" si="1133"/>
        <v>ND</v>
      </c>
      <c r="T1752" s="51">
        <f>T87</f>
        <v>0</v>
      </c>
      <c r="W1752" s="608">
        <f t="shared" si="1050"/>
        <v>224000000</v>
      </c>
      <c r="X1752" s="608">
        <f t="shared" si="1051"/>
        <v>0</v>
      </c>
      <c r="Z1752" s="572">
        <f t="shared" si="1108"/>
        <v>0</v>
      </c>
      <c r="AA1752" s="1">
        <f t="shared" si="1109"/>
        <v>0</v>
      </c>
    </row>
    <row r="1753" spans="1:27" x14ac:dyDescent="0.2">
      <c r="A1753" s="17" t="str">
        <f>A89</f>
        <v>2.1.2 Réhabilitation des écoles hors normes</v>
      </c>
      <c r="B1753" s="45"/>
      <c r="C1753" s="297" t="str">
        <f>C89</f>
        <v>En 2025, 51 000 salles de classe hors norme réhabilitées</v>
      </c>
      <c r="D1753" s="157">
        <f t="shared" si="1041"/>
        <v>48960</v>
      </c>
      <c r="E1753" s="157">
        <f t="shared" si="1042"/>
        <v>48000</v>
      </c>
      <c r="F1753" s="157">
        <f t="shared" si="1043"/>
        <v>48000</v>
      </c>
      <c r="G1753" s="157">
        <f t="shared" si="1044"/>
        <v>48000</v>
      </c>
      <c r="H1753" s="157">
        <f t="shared" si="1045"/>
        <v>48000</v>
      </c>
      <c r="I1753" s="270">
        <f t="shared" si="1046"/>
        <v>240960</v>
      </c>
      <c r="J1753" s="347">
        <f t="shared" si="1047"/>
        <v>0</v>
      </c>
      <c r="K1753" s="348">
        <f t="shared" si="1048"/>
        <v>0</v>
      </c>
      <c r="L1753" s="35">
        <f t="shared" ref="L1753:S1753" si="1134">SUM(L1754:L1754)</f>
        <v>48960000</v>
      </c>
      <c r="M1753" s="34">
        <f t="shared" si="1134"/>
        <v>48000000</v>
      </c>
      <c r="N1753" s="34">
        <f t="shared" si="1134"/>
        <v>48000000</v>
      </c>
      <c r="O1753" s="34">
        <f t="shared" si="1134"/>
        <v>48000000</v>
      </c>
      <c r="P1753" s="34">
        <f t="shared" si="1134"/>
        <v>48000000</v>
      </c>
      <c r="Q1753" s="26">
        <f t="shared" si="1134"/>
        <v>240960000</v>
      </c>
      <c r="R1753" s="518">
        <f t="shared" si="1134"/>
        <v>0</v>
      </c>
      <c r="S1753" s="181">
        <f t="shared" si="1134"/>
        <v>0</v>
      </c>
      <c r="T1753" s="50">
        <f>T89</f>
        <v>0</v>
      </c>
      <c r="W1753" s="608">
        <f t="shared" si="1050"/>
        <v>240960000</v>
      </c>
      <c r="X1753" s="608">
        <f t="shared" si="1051"/>
        <v>0</v>
      </c>
      <c r="Z1753" s="572">
        <f t="shared" si="1108"/>
        <v>0</v>
      </c>
      <c r="AA1753" s="1">
        <f t="shared" si="1109"/>
        <v>0</v>
      </c>
    </row>
    <row r="1754" spans="1:27" x14ac:dyDescent="0.2">
      <c r="A1754" s="20" t="str">
        <f>A90</f>
        <v xml:space="preserve">2.1.2.1 Réhabilitation de salle de classe </v>
      </c>
      <c r="B1754" s="46"/>
      <c r="C1754" s="297">
        <f>C90</f>
        <v>0</v>
      </c>
      <c r="D1754" s="168">
        <f t="shared" si="1041"/>
        <v>48960</v>
      </c>
      <c r="E1754" s="168">
        <f t="shared" si="1042"/>
        <v>48000</v>
      </c>
      <c r="F1754" s="168">
        <f t="shared" si="1043"/>
        <v>48000</v>
      </c>
      <c r="G1754" s="168">
        <f t="shared" si="1044"/>
        <v>48000</v>
      </c>
      <c r="H1754" s="168">
        <f t="shared" si="1045"/>
        <v>48000</v>
      </c>
      <c r="I1754" s="271">
        <f t="shared" si="1046"/>
        <v>240960</v>
      </c>
      <c r="J1754" s="349" t="str">
        <f t="shared" si="1047"/>
        <v>EPS-DIS</v>
      </c>
      <c r="K1754" s="350" t="str">
        <f t="shared" si="1048"/>
        <v>ND</v>
      </c>
      <c r="L1754" s="37">
        <f t="shared" ref="L1754:Q1754" si="1135">L90</f>
        <v>48960000</v>
      </c>
      <c r="M1754" s="36">
        <f t="shared" si="1135"/>
        <v>48000000</v>
      </c>
      <c r="N1754" s="36">
        <f t="shared" si="1135"/>
        <v>48000000</v>
      </c>
      <c r="O1754" s="36">
        <f t="shared" si="1135"/>
        <v>48000000</v>
      </c>
      <c r="P1754" s="36">
        <f t="shared" si="1135"/>
        <v>48000000</v>
      </c>
      <c r="Q1754" s="236">
        <f t="shared" si="1135"/>
        <v>240960000</v>
      </c>
      <c r="R1754" s="205" t="str">
        <f t="shared" ref="R1754:S1754" si="1136">R90</f>
        <v>EPS-DIS</v>
      </c>
      <c r="S1754" s="183" t="str">
        <f t="shared" si="1136"/>
        <v>ND</v>
      </c>
      <c r="T1754" s="51">
        <f>T90</f>
        <v>0</v>
      </c>
      <c r="W1754" s="608">
        <f t="shared" si="1050"/>
        <v>240960000</v>
      </c>
      <c r="X1754" s="608">
        <f t="shared" si="1051"/>
        <v>0</v>
      </c>
      <c r="Z1754" s="572">
        <f t="shared" si="1108"/>
        <v>0</v>
      </c>
      <c r="AA1754" s="1">
        <f t="shared" si="1109"/>
        <v>0</v>
      </c>
    </row>
    <row r="1755" spans="1:27" x14ac:dyDescent="0.2">
      <c r="A1755" s="14" t="str">
        <f>A92</f>
        <v>2.2 Gratuité des écoles publiques : Les frais scolaires sont supprimés dans les écoles primaires publiques conventionnées et non conventionnées</v>
      </c>
      <c r="B1755" s="44"/>
      <c r="C1755" s="296">
        <f>C92</f>
        <v>0</v>
      </c>
      <c r="D1755" s="217">
        <f t="shared" si="1041"/>
        <v>383136.1590175805</v>
      </c>
      <c r="E1755" s="217">
        <f t="shared" si="1042"/>
        <v>422799.85916991753</v>
      </c>
      <c r="F1755" s="217">
        <f t="shared" si="1043"/>
        <v>463309.34983057226</v>
      </c>
      <c r="G1755" s="217">
        <f t="shared" si="1044"/>
        <v>504307.02995687141</v>
      </c>
      <c r="H1755" s="217">
        <f t="shared" si="1045"/>
        <v>542242.91396220424</v>
      </c>
      <c r="I1755" s="273">
        <f t="shared" si="1046"/>
        <v>2315795.3119371464</v>
      </c>
      <c r="J1755" s="345">
        <f t="shared" si="1047"/>
        <v>0</v>
      </c>
      <c r="K1755" s="346">
        <f t="shared" si="1048"/>
        <v>0</v>
      </c>
      <c r="L1755" s="33">
        <f t="shared" ref="L1755:Q1755" si="1137">L1756+L1760</f>
        <v>383136159.01758051</v>
      </c>
      <c r="M1755" s="32">
        <f t="shared" si="1137"/>
        <v>422799859.16991752</v>
      </c>
      <c r="N1755" s="32">
        <f t="shared" si="1137"/>
        <v>463309349.83057225</v>
      </c>
      <c r="O1755" s="32">
        <f t="shared" si="1137"/>
        <v>504307029.95687139</v>
      </c>
      <c r="P1755" s="32">
        <f t="shared" si="1137"/>
        <v>542242913.96220422</v>
      </c>
      <c r="Q1755" s="25">
        <f t="shared" si="1137"/>
        <v>2315795311.9371462</v>
      </c>
      <c r="R1755" s="517">
        <f t="shared" ref="R1755:S1755" si="1138">R1756+R1760</f>
        <v>0</v>
      </c>
      <c r="S1755" s="179">
        <f t="shared" si="1138"/>
        <v>0</v>
      </c>
      <c r="T1755" s="49">
        <f>T92</f>
        <v>1</v>
      </c>
      <c r="W1755" s="608">
        <f t="shared" si="1050"/>
        <v>2315795311.9371462</v>
      </c>
      <c r="X1755" s="608">
        <f t="shared" si="1051"/>
        <v>0</v>
      </c>
      <c r="Z1755" s="572">
        <f t="shared" si="1108"/>
        <v>0</v>
      </c>
      <c r="AA1755" s="1">
        <f t="shared" si="1109"/>
        <v>0</v>
      </c>
    </row>
    <row r="1756" spans="1:27" x14ac:dyDescent="0.2">
      <c r="A1756" s="17" t="str">
        <f>A93</f>
        <v>2.2.1 Prise en charge des personnels</v>
      </c>
      <c r="B1756" s="45"/>
      <c r="C1756" s="297" t="str">
        <f>C93</f>
        <v>En 2025, tous les enseignants du primaire sont pris en charge par l'état</v>
      </c>
      <c r="D1756" s="157">
        <f t="shared" si="1041"/>
        <v>367480.25901758054</v>
      </c>
      <c r="E1756" s="157">
        <f t="shared" si="1042"/>
        <v>407152.05916991754</v>
      </c>
      <c r="F1756" s="157">
        <f t="shared" si="1043"/>
        <v>447651.64983057225</v>
      </c>
      <c r="G1756" s="157">
        <f t="shared" si="1044"/>
        <v>488649.3299568714</v>
      </c>
      <c r="H1756" s="157">
        <f t="shared" si="1045"/>
        <v>526585.21396220417</v>
      </c>
      <c r="I1756" s="270">
        <f t="shared" si="1046"/>
        <v>2237518.5119371461</v>
      </c>
      <c r="J1756" s="347">
        <f t="shared" si="1047"/>
        <v>0</v>
      </c>
      <c r="K1756" s="348">
        <f t="shared" si="1048"/>
        <v>0</v>
      </c>
      <c r="L1756" s="35">
        <f t="shared" ref="L1756:Q1756" si="1139">SUM(L1757:L1759)</f>
        <v>367480259.01758051</v>
      </c>
      <c r="M1756" s="34">
        <f t="shared" si="1139"/>
        <v>407152059.16991752</v>
      </c>
      <c r="N1756" s="34">
        <f t="shared" si="1139"/>
        <v>447651649.83057225</v>
      </c>
      <c r="O1756" s="34">
        <f t="shared" si="1139"/>
        <v>488649329.95687139</v>
      </c>
      <c r="P1756" s="34">
        <f t="shared" si="1139"/>
        <v>526585213.96220422</v>
      </c>
      <c r="Q1756" s="26">
        <f t="shared" si="1139"/>
        <v>2237518511.9371462</v>
      </c>
      <c r="R1756" s="518">
        <f t="shared" ref="R1756:S1756" si="1140">SUM(R1757:R1759)</f>
        <v>0</v>
      </c>
      <c r="S1756" s="181">
        <f t="shared" si="1140"/>
        <v>0</v>
      </c>
      <c r="T1756" s="50">
        <f>T93</f>
        <v>0</v>
      </c>
      <c r="W1756" s="608">
        <f t="shared" si="1050"/>
        <v>2237518511.9371462</v>
      </c>
      <c r="X1756" s="608">
        <f t="shared" si="1051"/>
        <v>0</v>
      </c>
      <c r="Z1756" s="572">
        <f t="shared" si="1108"/>
        <v>0</v>
      </c>
      <c r="AA1756" s="1">
        <f t="shared" si="1109"/>
        <v>0</v>
      </c>
    </row>
    <row r="1757" spans="1:27" x14ac:dyDescent="0.2">
      <c r="A1757" s="20" t="str">
        <f>A94</f>
        <v>2.2.1.1 Recenser les enseignants du primaire à prendre en charge</v>
      </c>
      <c r="B1757" s="46"/>
      <c r="C1757" s="297">
        <f>C94</f>
        <v>0</v>
      </c>
      <c r="D1757" s="168">
        <f t="shared" si="1041"/>
        <v>18.899999999999999</v>
      </c>
      <c r="E1757" s="168">
        <f t="shared" si="1042"/>
        <v>37.799999999999997</v>
      </c>
      <c r="F1757" s="168">
        <f t="shared" si="1043"/>
        <v>56.7</v>
      </c>
      <c r="G1757" s="168">
        <f t="shared" si="1044"/>
        <v>56.7</v>
      </c>
      <c r="H1757" s="168">
        <f t="shared" si="1045"/>
        <v>56.7</v>
      </c>
      <c r="I1757" s="271">
        <f t="shared" si="1046"/>
        <v>226.8</v>
      </c>
      <c r="J1757" s="349" t="str">
        <f t="shared" si="1047"/>
        <v>EPS-SECOPE-IPP-SG</v>
      </c>
      <c r="K1757" s="350" t="str">
        <f t="shared" si="1048"/>
        <v>GVT</v>
      </c>
      <c r="L1757" s="37">
        <f t="shared" ref="L1757:Q1757" si="1141">L94</f>
        <v>18900</v>
      </c>
      <c r="M1757" s="36">
        <f t="shared" si="1141"/>
        <v>37800</v>
      </c>
      <c r="N1757" s="36">
        <f t="shared" si="1141"/>
        <v>56700</v>
      </c>
      <c r="O1757" s="36">
        <f t="shared" si="1141"/>
        <v>56700</v>
      </c>
      <c r="P1757" s="36">
        <f t="shared" si="1141"/>
        <v>56700</v>
      </c>
      <c r="Q1757" s="236">
        <f t="shared" si="1141"/>
        <v>226800</v>
      </c>
      <c r="R1757" s="205" t="str">
        <f t="shared" ref="R1757:S1757" si="1142">R94</f>
        <v>EPS-SECOPE-IPP-SG</v>
      </c>
      <c r="S1757" s="183" t="str">
        <f t="shared" si="1142"/>
        <v>GVT</v>
      </c>
      <c r="T1757" s="51">
        <f>T94</f>
        <v>0</v>
      </c>
      <c r="W1757" s="608">
        <f t="shared" si="1050"/>
        <v>226800</v>
      </c>
      <c r="X1757" s="608">
        <f t="shared" si="1051"/>
        <v>0</v>
      </c>
      <c r="Z1757" s="572">
        <f t="shared" si="1108"/>
        <v>0</v>
      </c>
      <c r="AA1757" s="1">
        <f t="shared" si="1109"/>
        <v>0</v>
      </c>
    </row>
    <row r="1758" spans="1:27" x14ac:dyDescent="0.2">
      <c r="A1758" s="20" t="str">
        <f>A97</f>
        <v>2.2.1.2 Paiement des enseignants du primaire recensés par SECOPE</v>
      </c>
      <c r="B1758" s="46"/>
      <c r="C1758" s="297">
        <f>C97</f>
        <v>0</v>
      </c>
      <c r="D1758" s="168">
        <f t="shared" si="1041"/>
        <v>355592.66201758053</v>
      </c>
      <c r="E1758" s="168">
        <f t="shared" si="1042"/>
        <v>395245.56216991751</v>
      </c>
      <c r="F1758" s="168">
        <f t="shared" si="1043"/>
        <v>435726.25283057225</v>
      </c>
      <c r="G1758" s="168">
        <f t="shared" si="1044"/>
        <v>476723.9329568714</v>
      </c>
      <c r="H1758" s="168">
        <f t="shared" si="1045"/>
        <v>514659.81696220423</v>
      </c>
      <c r="I1758" s="271">
        <f t="shared" si="1046"/>
        <v>2177948.2269371464</v>
      </c>
      <c r="J1758" s="349" t="str">
        <f t="shared" si="1047"/>
        <v>EPS-SECOPE-SG</v>
      </c>
      <c r="K1758" s="350" t="str">
        <f t="shared" si="1048"/>
        <v>GVT</v>
      </c>
      <c r="L1758" s="37">
        <f t="shared" ref="L1758:Q1758" si="1143">L97</f>
        <v>355592662.01758051</v>
      </c>
      <c r="M1758" s="36">
        <f t="shared" si="1143"/>
        <v>395245562.16991752</v>
      </c>
      <c r="N1758" s="36">
        <f t="shared" si="1143"/>
        <v>435726252.83057225</v>
      </c>
      <c r="O1758" s="36">
        <f t="shared" si="1143"/>
        <v>476723932.95687139</v>
      </c>
      <c r="P1758" s="36">
        <f t="shared" si="1143"/>
        <v>514659816.96220422</v>
      </c>
      <c r="Q1758" s="236">
        <f t="shared" si="1143"/>
        <v>2177948226.9371462</v>
      </c>
      <c r="R1758" s="205" t="str">
        <f t="shared" ref="R1758:S1758" si="1144">R97</f>
        <v>EPS-SECOPE-SG</v>
      </c>
      <c r="S1758" s="183" t="str">
        <f t="shared" si="1144"/>
        <v>GVT</v>
      </c>
      <c r="T1758" s="51">
        <f>T97</f>
        <v>0</v>
      </c>
      <c r="W1758" s="608">
        <f t="shared" si="1050"/>
        <v>2177948226.9371462</v>
      </c>
      <c r="X1758" s="608">
        <f t="shared" si="1051"/>
        <v>0</v>
      </c>
      <c r="Z1758" s="572">
        <f t="shared" si="1108"/>
        <v>0</v>
      </c>
      <c r="AA1758" s="1">
        <f t="shared" si="1109"/>
        <v>0</v>
      </c>
    </row>
    <row r="1759" spans="1:27" x14ac:dyDescent="0.2">
      <c r="A1759" s="20" t="str">
        <f>A99</f>
        <v>2.2.1.3 Paiement des enseignants du primaire non recensés</v>
      </c>
      <c r="B1759" s="46"/>
      <c r="C1759" s="297">
        <f>C99</f>
        <v>0</v>
      </c>
      <c r="D1759" s="168">
        <f t="shared" si="1041"/>
        <v>11868.697</v>
      </c>
      <c r="E1759" s="168">
        <f t="shared" si="1042"/>
        <v>11868.697</v>
      </c>
      <c r="F1759" s="168">
        <f t="shared" si="1043"/>
        <v>11868.697</v>
      </c>
      <c r="G1759" s="168">
        <f t="shared" si="1044"/>
        <v>11868.697</v>
      </c>
      <c r="H1759" s="168">
        <f t="shared" si="1045"/>
        <v>11868.697</v>
      </c>
      <c r="I1759" s="271">
        <f t="shared" si="1046"/>
        <v>59343.485000000001</v>
      </c>
      <c r="J1759" s="349" t="str">
        <f t="shared" si="1047"/>
        <v>EPS-SECOPE-SG</v>
      </c>
      <c r="K1759" s="350" t="str">
        <f t="shared" si="1048"/>
        <v>AFD</v>
      </c>
      <c r="L1759" s="37">
        <f t="shared" ref="L1759:Q1759" si="1145">L99</f>
        <v>11868697</v>
      </c>
      <c r="M1759" s="36">
        <f t="shared" si="1145"/>
        <v>11868697</v>
      </c>
      <c r="N1759" s="36">
        <f t="shared" si="1145"/>
        <v>11868697</v>
      </c>
      <c r="O1759" s="36">
        <f t="shared" si="1145"/>
        <v>11868697</v>
      </c>
      <c r="P1759" s="36">
        <f t="shared" si="1145"/>
        <v>11868697</v>
      </c>
      <c r="Q1759" s="236">
        <f t="shared" si="1145"/>
        <v>59343485</v>
      </c>
      <c r="R1759" s="205" t="str">
        <f t="shared" ref="R1759:S1759" si="1146">R99</f>
        <v>EPS-SECOPE-SG</v>
      </c>
      <c r="S1759" s="183" t="str">
        <f t="shared" si="1146"/>
        <v>AFD</v>
      </c>
      <c r="T1759" s="51">
        <f>T99</f>
        <v>0</v>
      </c>
      <c r="W1759" s="608">
        <f t="shared" si="1050"/>
        <v>59343485</v>
      </c>
      <c r="X1759" s="608">
        <f t="shared" si="1051"/>
        <v>0</v>
      </c>
      <c r="Z1759" s="572">
        <f t="shared" si="1108"/>
        <v>0</v>
      </c>
      <c r="AA1759" s="1">
        <f t="shared" si="1109"/>
        <v>0</v>
      </c>
    </row>
    <row r="1760" spans="1:27" x14ac:dyDescent="0.2">
      <c r="A1760" s="17" t="str">
        <f>A101</f>
        <v>2.2.2 Prise en charge des frais directs dans les villes de Kinshasa et Lubumbashi</v>
      </c>
      <c r="B1760" s="45"/>
      <c r="C1760" s="297" t="str">
        <f>C101</f>
        <v>En 2020, les frais directs sont remplacés par une subvention de fonctionnement</v>
      </c>
      <c r="D1760" s="157">
        <f t="shared" si="1041"/>
        <v>15655.9</v>
      </c>
      <c r="E1760" s="157">
        <f t="shared" si="1042"/>
        <v>15647.8</v>
      </c>
      <c r="F1760" s="157">
        <f t="shared" si="1043"/>
        <v>15657.7</v>
      </c>
      <c r="G1760" s="157">
        <f t="shared" si="1044"/>
        <v>15657.7</v>
      </c>
      <c r="H1760" s="157">
        <f t="shared" si="1045"/>
        <v>15657.7</v>
      </c>
      <c r="I1760" s="270">
        <f t="shared" si="1046"/>
        <v>78276.800000000003</v>
      </c>
      <c r="J1760" s="347">
        <f t="shared" si="1047"/>
        <v>0</v>
      </c>
      <c r="K1760" s="348">
        <f t="shared" si="1048"/>
        <v>0</v>
      </c>
      <c r="L1760" s="35">
        <f t="shared" ref="L1760:Q1760" si="1147">SUM(L1761:L1763)</f>
        <v>15655900</v>
      </c>
      <c r="M1760" s="34">
        <f t="shared" si="1147"/>
        <v>15647800</v>
      </c>
      <c r="N1760" s="34">
        <f t="shared" si="1147"/>
        <v>15657700</v>
      </c>
      <c r="O1760" s="34">
        <f t="shared" si="1147"/>
        <v>15657700</v>
      </c>
      <c r="P1760" s="34">
        <f t="shared" si="1147"/>
        <v>15657700</v>
      </c>
      <c r="Q1760" s="26">
        <f t="shared" si="1147"/>
        <v>78276800</v>
      </c>
      <c r="R1760" s="518">
        <f t="shared" ref="R1760:S1760" si="1148">SUM(R1761:R1763)</f>
        <v>0</v>
      </c>
      <c r="S1760" s="181">
        <f t="shared" si="1148"/>
        <v>0</v>
      </c>
      <c r="T1760" s="50">
        <f>T101</f>
        <v>0</v>
      </c>
      <c r="W1760" s="608">
        <f t="shared" si="1050"/>
        <v>78276800</v>
      </c>
      <c r="X1760" s="608">
        <f t="shared" si="1051"/>
        <v>0</v>
      </c>
      <c r="Z1760" s="572">
        <f t="shared" si="1108"/>
        <v>0</v>
      </c>
      <c r="AA1760" s="1">
        <f t="shared" si="1109"/>
        <v>0</v>
      </c>
    </row>
    <row r="1761" spans="1:27" x14ac:dyDescent="0.2">
      <c r="A1761" s="20" t="str">
        <f>A102</f>
        <v>2.2.2.1 Identification des écoles bénéficiaires de la subvention</v>
      </c>
      <c r="B1761" s="46"/>
      <c r="C1761" s="297">
        <f>C102</f>
        <v>0</v>
      </c>
      <c r="D1761" s="168">
        <f t="shared" si="1041"/>
        <v>9.9</v>
      </c>
      <c r="E1761" s="168">
        <f t="shared" si="1042"/>
        <v>19.8</v>
      </c>
      <c r="F1761" s="168">
        <f t="shared" si="1043"/>
        <v>29.7</v>
      </c>
      <c r="G1761" s="168">
        <f t="shared" si="1044"/>
        <v>29.7</v>
      </c>
      <c r="H1761" s="168">
        <f t="shared" si="1045"/>
        <v>29.7</v>
      </c>
      <c r="I1761" s="271">
        <f t="shared" si="1046"/>
        <v>118.8</v>
      </c>
      <c r="J1761" s="349" t="str">
        <f t="shared" si="1047"/>
        <v>EPS-SECOPE-DEP</v>
      </c>
      <c r="K1761" s="350" t="str">
        <f t="shared" si="1048"/>
        <v>GVT</v>
      </c>
      <c r="L1761" s="37">
        <f t="shared" ref="L1761:Q1761" si="1149">L102</f>
        <v>9900</v>
      </c>
      <c r="M1761" s="36">
        <f t="shared" si="1149"/>
        <v>19800</v>
      </c>
      <c r="N1761" s="36">
        <f t="shared" si="1149"/>
        <v>29700</v>
      </c>
      <c r="O1761" s="36">
        <f t="shared" si="1149"/>
        <v>29700</v>
      </c>
      <c r="P1761" s="36">
        <f t="shared" si="1149"/>
        <v>29700</v>
      </c>
      <c r="Q1761" s="236">
        <f t="shared" si="1149"/>
        <v>118800</v>
      </c>
      <c r="R1761" s="205" t="str">
        <f t="shared" ref="R1761:S1761" si="1150">R102</f>
        <v>EPS-SECOPE-DEP</v>
      </c>
      <c r="S1761" s="183" t="str">
        <f t="shared" si="1150"/>
        <v>GVT</v>
      </c>
      <c r="T1761" s="51">
        <f>T102</f>
        <v>0</v>
      </c>
      <c r="W1761" s="608">
        <f t="shared" si="1050"/>
        <v>118800</v>
      </c>
      <c r="X1761" s="608">
        <f t="shared" si="1051"/>
        <v>0</v>
      </c>
      <c r="Z1761" s="572">
        <f t="shared" si="1108"/>
        <v>0</v>
      </c>
      <c r="AA1761" s="1">
        <f t="shared" si="1109"/>
        <v>0</v>
      </c>
    </row>
    <row r="1762" spans="1:27" x14ac:dyDescent="0.2">
      <c r="A1762" s="20" t="str">
        <f>A105</f>
        <v>2.2.2.2 Subvention aux écoles primaires de la première à la 5ème année</v>
      </c>
      <c r="B1762" s="46"/>
      <c r="C1762" s="297">
        <f>C105</f>
        <v>0</v>
      </c>
      <c r="D1762" s="168">
        <f t="shared" si="1041"/>
        <v>1896</v>
      </c>
      <c r="E1762" s="168">
        <f t="shared" si="1042"/>
        <v>1878</v>
      </c>
      <c r="F1762" s="168">
        <f t="shared" si="1043"/>
        <v>1878</v>
      </c>
      <c r="G1762" s="168">
        <f t="shared" si="1044"/>
        <v>1878</v>
      </c>
      <c r="H1762" s="168">
        <f t="shared" si="1045"/>
        <v>1878</v>
      </c>
      <c r="I1762" s="271">
        <f t="shared" si="1046"/>
        <v>9408</v>
      </c>
      <c r="J1762" s="349" t="str">
        <f t="shared" si="1047"/>
        <v>EPS-SECOPE-SG</v>
      </c>
      <c r="K1762" s="350" t="str">
        <f t="shared" si="1048"/>
        <v>GVT</v>
      </c>
      <c r="L1762" s="37">
        <f t="shared" ref="L1762:Q1762" si="1151">L105</f>
        <v>1896000</v>
      </c>
      <c r="M1762" s="36">
        <f t="shared" si="1151"/>
        <v>1878000</v>
      </c>
      <c r="N1762" s="36">
        <f t="shared" si="1151"/>
        <v>1878000</v>
      </c>
      <c r="O1762" s="36">
        <f t="shared" si="1151"/>
        <v>1878000</v>
      </c>
      <c r="P1762" s="36">
        <f t="shared" si="1151"/>
        <v>1878000</v>
      </c>
      <c r="Q1762" s="236">
        <f t="shared" si="1151"/>
        <v>9408000</v>
      </c>
      <c r="R1762" s="205" t="str">
        <f t="shared" ref="R1762:S1762" si="1152">R105</f>
        <v>EPS-SECOPE-SG</v>
      </c>
      <c r="S1762" s="183" t="str">
        <f t="shared" si="1152"/>
        <v>GVT</v>
      </c>
      <c r="T1762" s="51">
        <f>T105</f>
        <v>0</v>
      </c>
      <c r="W1762" s="608">
        <f t="shared" si="1050"/>
        <v>9408000</v>
      </c>
      <c r="X1762" s="608">
        <f t="shared" si="1051"/>
        <v>0</v>
      </c>
      <c r="Z1762" s="572">
        <f t="shared" si="1108"/>
        <v>0</v>
      </c>
      <c r="AA1762" s="1">
        <f t="shared" si="1109"/>
        <v>0</v>
      </c>
    </row>
    <row r="1763" spans="1:27" x14ac:dyDescent="0.2">
      <c r="A1763" s="20" t="str">
        <f>A107</f>
        <v>2.2.2.3 Prise en charge des frais directs pour la 6ème année</v>
      </c>
      <c r="B1763" s="46"/>
      <c r="C1763" s="297">
        <f>C107</f>
        <v>0</v>
      </c>
      <c r="D1763" s="168">
        <f t="shared" si="1041"/>
        <v>13750</v>
      </c>
      <c r="E1763" s="168">
        <f t="shared" si="1042"/>
        <v>13750</v>
      </c>
      <c r="F1763" s="168">
        <f t="shared" si="1043"/>
        <v>13750</v>
      </c>
      <c r="G1763" s="168">
        <f t="shared" si="1044"/>
        <v>13750</v>
      </c>
      <c r="H1763" s="168">
        <f t="shared" si="1045"/>
        <v>13750</v>
      </c>
      <c r="I1763" s="271">
        <f t="shared" si="1046"/>
        <v>68750</v>
      </c>
      <c r="J1763" s="349" t="str">
        <f t="shared" si="1047"/>
        <v>EPS-SECOPE-SG</v>
      </c>
      <c r="K1763" s="350" t="str">
        <f t="shared" si="1048"/>
        <v>GVT</v>
      </c>
      <c r="L1763" s="37">
        <f t="shared" ref="L1763:Q1763" si="1153">L107</f>
        <v>13750000</v>
      </c>
      <c r="M1763" s="36">
        <f t="shared" si="1153"/>
        <v>13750000</v>
      </c>
      <c r="N1763" s="36">
        <f t="shared" si="1153"/>
        <v>13750000</v>
      </c>
      <c r="O1763" s="36">
        <f t="shared" si="1153"/>
        <v>13750000</v>
      </c>
      <c r="P1763" s="36">
        <f t="shared" si="1153"/>
        <v>13750000</v>
      </c>
      <c r="Q1763" s="236">
        <f t="shared" si="1153"/>
        <v>68750000</v>
      </c>
      <c r="R1763" s="205" t="str">
        <f t="shared" ref="R1763:S1763" si="1154">R107</f>
        <v>EPS-SECOPE-SG</v>
      </c>
      <c r="S1763" s="183" t="str">
        <f t="shared" si="1154"/>
        <v>GVT</v>
      </c>
      <c r="T1763" s="51">
        <f>T107</f>
        <v>0</v>
      </c>
      <c r="W1763" s="608">
        <f t="shared" si="1050"/>
        <v>68750000</v>
      </c>
      <c r="X1763" s="608">
        <f t="shared" si="1051"/>
        <v>0</v>
      </c>
      <c r="Z1763" s="572">
        <f t="shared" si="1108"/>
        <v>0</v>
      </c>
      <c r="AA1763" s="1">
        <f t="shared" si="1109"/>
        <v>0</v>
      </c>
    </row>
    <row r="1764" spans="1:27" x14ac:dyDescent="0.2">
      <c r="A1764" s="14" t="str">
        <f>A109</f>
        <v>2.3 Résorption des disparités dans l'offre : Une capacité d'accueil mieux répartie sur le territoire</v>
      </c>
      <c r="B1764" s="44"/>
      <c r="C1764" s="296">
        <f>C109</f>
        <v>0</v>
      </c>
      <c r="D1764" s="217">
        <f t="shared" si="1041"/>
        <v>21060.883999999998</v>
      </c>
      <c r="E1764" s="217">
        <f t="shared" si="1042"/>
        <v>21343.162</v>
      </c>
      <c r="F1764" s="217">
        <f t="shared" si="1043"/>
        <v>24667.439999999999</v>
      </c>
      <c r="G1764" s="217">
        <f t="shared" si="1044"/>
        <v>25017.968000000001</v>
      </c>
      <c r="H1764" s="217">
        <f t="shared" si="1045"/>
        <v>25368.495999999999</v>
      </c>
      <c r="I1764" s="273">
        <f t="shared" si="1046"/>
        <v>117457.95</v>
      </c>
      <c r="J1764" s="345">
        <f t="shared" si="1047"/>
        <v>0</v>
      </c>
      <c r="K1764" s="346">
        <f t="shared" si="1048"/>
        <v>0</v>
      </c>
      <c r="L1764" s="33">
        <f t="shared" ref="L1764:Q1764" si="1155">L1765+L1767</f>
        <v>21060884</v>
      </c>
      <c r="M1764" s="32">
        <f t="shared" si="1155"/>
        <v>21343162</v>
      </c>
      <c r="N1764" s="32">
        <f t="shared" si="1155"/>
        <v>24667440</v>
      </c>
      <c r="O1764" s="32">
        <f t="shared" si="1155"/>
        <v>25017968</v>
      </c>
      <c r="P1764" s="32">
        <f t="shared" si="1155"/>
        <v>25368496</v>
      </c>
      <c r="Q1764" s="25">
        <f t="shared" si="1155"/>
        <v>117457950</v>
      </c>
      <c r="R1764" s="517">
        <f t="shared" ref="R1764:S1764" si="1156">R1765+R1767</f>
        <v>0</v>
      </c>
      <c r="S1764" s="179">
        <f t="shared" si="1156"/>
        <v>0</v>
      </c>
      <c r="T1764" s="49">
        <f>T109</f>
        <v>1</v>
      </c>
      <c r="W1764" s="608">
        <f t="shared" si="1050"/>
        <v>117457950</v>
      </c>
      <c r="X1764" s="608">
        <f t="shared" si="1051"/>
        <v>0</v>
      </c>
      <c r="Z1764" s="572">
        <f t="shared" si="1108"/>
        <v>0</v>
      </c>
      <c r="AA1764" s="1">
        <f t="shared" si="1109"/>
        <v>0</v>
      </c>
    </row>
    <row r="1765" spans="1:27" x14ac:dyDescent="0.2">
      <c r="A1765" s="17" t="str">
        <f>A110</f>
        <v>2.3.1 Incitations pour les enseignants</v>
      </c>
      <c r="B1765" s="45"/>
      <c r="C1765" s="297" t="str">
        <f>C110</f>
        <v>En 2025, 10% des enseignants reçoivent une bonification pour exercice dans des zones isolées</v>
      </c>
      <c r="D1765" s="157">
        <f t="shared" si="1041"/>
        <v>20966.383999999998</v>
      </c>
      <c r="E1765" s="157">
        <f t="shared" si="1042"/>
        <v>21316.912</v>
      </c>
      <c r="F1765" s="157">
        <f t="shared" si="1043"/>
        <v>24667.439999999999</v>
      </c>
      <c r="G1765" s="157">
        <f t="shared" si="1044"/>
        <v>25017.968000000001</v>
      </c>
      <c r="H1765" s="157">
        <f t="shared" si="1045"/>
        <v>25368.495999999999</v>
      </c>
      <c r="I1765" s="270">
        <f t="shared" si="1046"/>
        <v>117337.2</v>
      </c>
      <c r="J1765" s="347">
        <f t="shared" si="1047"/>
        <v>0</v>
      </c>
      <c r="K1765" s="348">
        <f t="shared" si="1048"/>
        <v>0</v>
      </c>
      <c r="L1765" s="35">
        <f t="shared" ref="L1765:S1765" si="1157">SUM(L1766:L1766)</f>
        <v>20966384</v>
      </c>
      <c r="M1765" s="34">
        <f t="shared" si="1157"/>
        <v>21316912</v>
      </c>
      <c r="N1765" s="34">
        <f t="shared" si="1157"/>
        <v>24667440</v>
      </c>
      <c r="O1765" s="34">
        <f t="shared" si="1157"/>
        <v>25017968</v>
      </c>
      <c r="P1765" s="34">
        <f t="shared" si="1157"/>
        <v>25368496</v>
      </c>
      <c r="Q1765" s="26">
        <f t="shared" si="1157"/>
        <v>117337200</v>
      </c>
      <c r="R1765" s="518">
        <f t="shared" si="1157"/>
        <v>0</v>
      </c>
      <c r="S1765" s="181">
        <f t="shared" si="1157"/>
        <v>0</v>
      </c>
      <c r="T1765" s="50">
        <f>T110</f>
        <v>0</v>
      </c>
      <c r="W1765" s="608">
        <f t="shared" si="1050"/>
        <v>117337200</v>
      </c>
      <c r="X1765" s="608">
        <f t="shared" si="1051"/>
        <v>0</v>
      </c>
      <c r="Z1765" s="572">
        <f t="shared" si="1108"/>
        <v>0</v>
      </c>
      <c r="AA1765" s="1">
        <f t="shared" si="1109"/>
        <v>0</v>
      </c>
    </row>
    <row r="1766" spans="1:27" x14ac:dyDescent="0.2">
      <c r="A1766" s="20" t="str">
        <f>A111</f>
        <v>2.3.1.1 Prime et logement pour enseignants en zones isolées</v>
      </c>
      <c r="B1766" s="46"/>
      <c r="C1766" s="297">
        <f>C111</f>
        <v>0</v>
      </c>
      <c r="D1766" s="168">
        <f t="shared" si="1041"/>
        <v>20966.383999999998</v>
      </c>
      <c r="E1766" s="168">
        <f t="shared" si="1042"/>
        <v>21316.912</v>
      </c>
      <c r="F1766" s="168">
        <f t="shared" si="1043"/>
        <v>24667.439999999999</v>
      </c>
      <c r="G1766" s="168">
        <f t="shared" si="1044"/>
        <v>25017.968000000001</v>
      </c>
      <c r="H1766" s="168">
        <f t="shared" si="1045"/>
        <v>25368.495999999999</v>
      </c>
      <c r="I1766" s="271">
        <f t="shared" si="1046"/>
        <v>117337.2</v>
      </c>
      <c r="J1766" s="349" t="str">
        <f t="shared" si="1047"/>
        <v>EPS-SECOPE-SG-DIS</v>
      </c>
      <c r="K1766" s="350" t="str">
        <f t="shared" si="1048"/>
        <v>ND</v>
      </c>
      <c r="L1766" s="37">
        <f t="shared" ref="L1766:Q1766" si="1158">L111</f>
        <v>20966384</v>
      </c>
      <c r="M1766" s="36">
        <f t="shared" si="1158"/>
        <v>21316912</v>
      </c>
      <c r="N1766" s="36">
        <f t="shared" si="1158"/>
        <v>24667440</v>
      </c>
      <c r="O1766" s="36">
        <f t="shared" si="1158"/>
        <v>25017968</v>
      </c>
      <c r="P1766" s="36">
        <f t="shared" si="1158"/>
        <v>25368496</v>
      </c>
      <c r="Q1766" s="236">
        <f t="shared" si="1158"/>
        <v>117337200</v>
      </c>
      <c r="R1766" s="205" t="str">
        <f t="shared" ref="R1766:S1766" si="1159">R111</f>
        <v>EPS-SECOPE-SG-DIS</v>
      </c>
      <c r="S1766" s="183" t="str">
        <f t="shared" si="1159"/>
        <v>ND</v>
      </c>
      <c r="T1766" s="51">
        <f>T111</f>
        <v>0</v>
      </c>
      <c r="W1766" s="608">
        <f t="shared" si="1050"/>
        <v>117337200</v>
      </c>
      <c r="X1766" s="608">
        <f t="shared" si="1051"/>
        <v>0</v>
      </c>
      <c r="Z1766" s="572">
        <f t="shared" si="1108"/>
        <v>0</v>
      </c>
      <c r="AA1766" s="1">
        <f t="shared" si="1109"/>
        <v>0</v>
      </c>
    </row>
    <row r="1767" spans="1:27" x14ac:dyDescent="0.2">
      <c r="A1767" s="17" t="str">
        <f>A114</f>
        <v>2.3.2 Recenser les disparités d'offre pour guider la création des écoles/classes</v>
      </c>
      <c r="B1767" s="45"/>
      <c r="C1767" s="297" t="str">
        <f>C114</f>
        <v>En 2025, des outils de carte scolaire sont mis en place dans les services provinciaux</v>
      </c>
      <c r="D1767" s="157">
        <f t="shared" si="1041"/>
        <v>94.5</v>
      </c>
      <c r="E1767" s="157">
        <f t="shared" si="1042"/>
        <v>26.25</v>
      </c>
      <c r="F1767" s="157">
        <f t="shared" si="1043"/>
        <v>0</v>
      </c>
      <c r="G1767" s="157">
        <f t="shared" si="1044"/>
        <v>0</v>
      </c>
      <c r="H1767" s="157">
        <f t="shared" si="1045"/>
        <v>0</v>
      </c>
      <c r="I1767" s="270">
        <f t="shared" si="1046"/>
        <v>120.75</v>
      </c>
      <c r="J1767" s="347">
        <f t="shared" si="1047"/>
        <v>0</v>
      </c>
      <c r="K1767" s="348">
        <f t="shared" si="1048"/>
        <v>0</v>
      </c>
      <c r="L1767" s="35">
        <f t="shared" ref="L1767:S1767" si="1160">SUM(L1768:L1768)</f>
        <v>94500</v>
      </c>
      <c r="M1767" s="34">
        <f t="shared" si="1160"/>
        <v>26250</v>
      </c>
      <c r="N1767" s="34">
        <f t="shared" si="1160"/>
        <v>0</v>
      </c>
      <c r="O1767" s="34">
        <f t="shared" si="1160"/>
        <v>0</v>
      </c>
      <c r="P1767" s="34">
        <f t="shared" si="1160"/>
        <v>0</v>
      </c>
      <c r="Q1767" s="26">
        <f t="shared" si="1160"/>
        <v>120750</v>
      </c>
      <c r="R1767" s="518">
        <f t="shared" si="1160"/>
        <v>0</v>
      </c>
      <c r="S1767" s="181">
        <f t="shared" si="1160"/>
        <v>0</v>
      </c>
      <c r="T1767" s="50">
        <f>T114</f>
        <v>0</v>
      </c>
      <c r="W1767" s="608">
        <f t="shared" si="1050"/>
        <v>120750</v>
      </c>
      <c r="X1767" s="608">
        <f t="shared" si="1051"/>
        <v>0</v>
      </c>
      <c r="Z1767" s="572">
        <f t="shared" si="1108"/>
        <v>0</v>
      </c>
      <c r="AA1767" s="1">
        <f t="shared" si="1109"/>
        <v>0</v>
      </c>
    </row>
    <row r="1768" spans="1:27" x14ac:dyDescent="0.2">
      <c r="A1768" s="123" t="str">
        <f>A115</f>
        <v>2.3.2.1 Élaboration d'une carte scolaire (nationale et provinciale) à travers l'exploitation des données du SIGE</v>
      </c>
      <c r="B1768" s="202"/>
      <c r="C1768" s="298">
        <f>C115</f>
        <v>0</v>
      </c>
      <c r="D1768" s="168">
        <f t="shared" si="1041"/>
        <v>94.5</v>
      </c>
      <c r="E1768" s="168">
        <f t="shared" si="1042"/>
        <v>26.25</v>
      </c>
      <c r="F1768" s="168">
        <f t="shared" si="1043"/>
        <v>0</v>
      </c>
      <c r="G1768" s="168">
        <f t="shared" si="1044"/>
        <v>0</v>
      </c>
      <c r="H1768" s="168">
        <f t="shared" si="1045"/>
        <v>0</v>
      </c>
      <c r="I1768" s="271">
        <f t="shared" si="1046"/>
        <v>120.75</v>
      </c>
      <c r="J1768" s="349" t="str">
        <f t="shared" si="1047"/>
        <v>EPS-DEP</v>
      </c>
      <c r="K1768" s="342">
        <f t="shared" si="1048"/>
        <v>0</v>
      </c>
      <c r="L1768" s="167">
        <f t="shared" ref="L1768:Q1768" si="1161">L115</f>
        <v>94500</v>
      </c>
      <c r="M1768" s="168">
        <f t="shared" si="1161"/>
        <v>26250</v>
      </c>
      <c r="N1768" s="168">
        <f t="shared" si="1161"/>
        <v>0</v>
      </c>
      <c r="O1768" s="168">
        <f t="shared" si="1161"/>
        <v>0</v>
      </c>
      <c r="P1768" s="168">
        <f t="shared" si="1161"/>
        <v>0</v>
      </c>
      <c r="Q1768" s="237">
        <f t="shared" si="1161"/>
        <v>120750</v>
      </c>
      <c r="R1768" s="519" t="str">
        <f t="shared" ref="R1768:S1768" si="1162">R115</f>
        <v>EPS-DEP</v>
      </c>
      <c r="S1768" s="224">
        <f t="shared" si="1162"/>
        <v>0</v>
      </c>
      <c r="T1768" s="153">
        <f>T115</f>
        <v>0</v>
      </c>
      <c r="W1768" s="608">
        <f t="shared" si="1050"/>
        <v>120750</v>
      </c>
      <c r="X1768" s="608">
        <f t="shared" si="1051"/>
        <v>0</v>
      </c>
      <c r="Z1768" s="572">
        <f t="shared" si="1108"/>
        <v>0</v>
      </c>
      <c r="AA1768" s="1">
        <f t="shared" si="1109"/>
        <v>0</v>
      </c>
    </row>
    <row r="1769" spans="1:27" x14ac:dyDescent="0.2">
      <c r="A1769" s="14" t="str">
        <f>A121</f>
        <v>2.4 Amélioration de l'équité d'accès : soutenir la scolarisation des populations défavorisées ou marginalisées</v>
      </c>
      <c r="B1769" s="44"/>
      <c r="C1769" s="296">
        <f>C121</f>
        <v>0</v>
      </c>
      <c r="D1769" s="217">
        <f t="shared" si="1041"/>
        <v>44.85</v>
      </c>
      <c r="E1769" s="217">
        <f t="shared" si="1042"/>
        <v>1464.3389999999999</v>
      </c>
      <c r="F1769" s="217">
        <f t="shared" si="1043"/>
        <v>2505.0830000000001</v>
      </c>
      <c r="G1769" s="217">
        <f t="shared" si="1044"/>
        <v>5962.0230000000001</v>
      </c>
      <c r="H1769" s="217">
        <f t="shared" si="1045"/>
        <v>9465.3619999999992</v>
      </c>
      <c r="I1769" s="273">
        <f t="shared" si="1046"/>
        <v>19441.656999999999</v>
      </c>
      <c r="J1769" s="345">
        <f t="shared" si="1047"/>
        <v>0</v>
      </c>
      <c r="K1769" s="346">
        <f t="shared" si="1048"/>
        <v>0</v>
      </c>
      <c r="L1769" s="33">
        <f t="shared" ref="L1769:Q1769" si="1163">L1770+L1773+L1776+L1779+L1783</f>
        <v>44850</v>
      </c>
      <c r="M1769" s="32">
        <f t="shared" si="1163"/>
        <v>1464339</v>
      </c>
      <c r="N1769" s="32">
        <f t="shared" si="1163"/>
        <v>2505083</v>
      </c>
      <c r="O1769" s="32">
        <f t="shared" si="1163"/>
        <v>5962023</v>
      </c>
      <c r="P1769" s="32">
        <f t="shared" si="1163"/>
        <v>9465362</v>
      </c>
      <c r="Q1769" s="25">
        <f t="shared" si="1163"/>
        <v>19441657</v>
      </c>
      <c r="R1769" s="517">
        <f t="shared" ref="R1769:S1769" si="1164">R1770+R1773+R1776+R1779+R1783</f>
        <v>0</v>
      </c>
      <c r="S1769" s="179">
        <f t="shared" si="1164"/>
        <v>0</v>
      </c>
      <c r="T1769" s="49">
        <f>T121</f>
        <v>1</v>
      </c>
      <c r="W1769" s="608">
        <f t="shared" si="1050"/>
        <v>19441657</v>
      </c>
      <c r="X1769" s="608">
        <f t="shared" si="1051"/>
        <v>0</v>
      </c>
      <c r="Z1769" s="572">
        <f t="shared" si="1108"/>
        <v>0</v>
      </c>
      <c r="AA1769" s="1">
        <f t="shared" si="1109"/>
        <v>0</v>
      </c>
    </row>
    <row r="1770" spans="1:27" x14ac:dyDescent="0.2">
      <c r="A1770" s="17" t="str">
        <f>A122</f>
        <v>2.4.1 Coopératives scolaires</v>
      </c>
      <c r="B1770" s="45"/>
      <c r="C1770" s="297" t="str">
        <f>C122</f>
        <v>En 2025, 20% des élèves bénéficient d'uniformes et de fournitures scolaires à prix réduits</v>
      </c>
      <c r="D1770" s="157">
        <f t="shared" si="1041"/>
        <v>4.5</v>
      </c>
      <c r="E1770" s="157">
        <f t="shared" si="1042"/>
        <v>296</v>
      </c>
      <c r="F1770" s="157">
        <f t="shared" si="1043"/>
        <v>296</v>
      </c>
      <c r="G1770" s="157">
        <f t="shared" si="1044"/>
        <v>287</v>
      </c>
      <c r="H1770" s="157">
        <f t="shared" si="1045"/>
        <v>287</v>
      </c>
      <c r="I1770" s="270">
        <f t="shared" si="1046"/>
        <v>1170.5</v>
      </c>
      <c r="J1770" s="347">
        <f t="shared" si="1047"/>
        <v>0</v>
      </c>
      <c r="K1770" s="348">
        <f t="shared" si="1048"/>
        <v>0</v>
      </c>
      <c r="L1770" s="35">
        <f t="shared" ref="L1770:Q1770" si="1165">SUM(L1771:L1772)</f>
        <v>4500</v>
      </c>
      <c r="M1770" s="34">
        <f t="shared" si="1165"/>
        <v>296000</v>
      </c>
      <c r="N1770" s="34">
        <f t="shared" si="1165"/>
        <v>296000</v>
      </c>
      <c r="O1770" s="34">
        <f t="shared" si="1165"/>
        <v>287000</v>
      </c>
      <c r="P1770" s="34">
        <f t="shared" si="1165"/>
        <v>287000</v>
      </c>
      <c r="Q1770" s="26">
        <f t="shared" si="1165"/>
        <v>1170500</v>
      </c>
      <c r="R1770" s="518">
        <f t="shared" ref="R1770:S1770" si="1166">SUM(R1771:R1772)</f>
        <v>0</v>
      </c>
      <c r="S1770" s="181">
        <f t="shared" si="1166"/>
        <v>0</v>
      </c>
      <c r="T1770" s="50">
        <f>T122</f>
        <v>0</v>
      </c>
      <c r="W1770" s="608">
        <f t="shared" si="1050"/>
        <v>1170500</v>
      </c>
      <c r="X1770" s="608">
        <f t="shared" si="1051"/>
        <v>0</v>
      </c>
      <c r="Z1770" s="572">
        <f t="shared" si="1108"/>
        <v>0</v>
      </c>
      <c r="AA1770" s="1">
        <f t="shared" si="1109"/>
        <v>0</v>
      </c>
    </row>
    <row r="1771" spans="1:27" x14ac:dyDescent="0.2">
      <c r="A1771" s="20" t="str">
        <f>A123</f>
        <v>2.4.1.1 Étude de faisabilité de création des coopératives scolaires</v>
      </c>
      <c r="B1771" s="46"/>
      <c r="C1771" s="297">
        <f>C123</f>
        <v>0</v>
      </c>
      <c r="D1771" s="168">
        <f t="shared" si="1041"/>
        <v>4.5</v>
      </c>
      <c r="E1771" s="168">
        <f t="shared" si="1042"/>
        <v>0</v>
      </c>
      <c r="F1771" s="168">
        <f t="shared" si="1043"/>
        <v>0</v>
      </c>
      <c r="G1771" s="168">
        <f t="shared" si="1044"/>
        <v>0</v>
      </c>
      <c r="H1771" s="168">
        <f t="shared" si="1045"/>
        <v>0</v>
      </c>
      <c r="I1771" s="271">
        <f t="shared" si="1046"/>
        <v>4.5</v>
      </c>
      <c r="J1771" s="349" t="str">
        <f t="shared" si="1047"/>
        <v>EPS-EVF-PROVED</v>
      </c>
      <c r="K1771" s="350" t="str">
        <f t="shared" si="1048"/>
        <v>ND</v>
      </c>
      <c r="L1771" s="37">
        <f t="shared" ref="L1771:Q1771" si="1167">L123</f>
        <v>4500</v>
      </c>
      <c r="M1771" s="36">
        <f t="shared" si="1167"/>
        <v>0</v>
      </c>
      <c r="N1771" s="36">
        <f t="shared" si="1167"/>
        <v>0</v>
      </c>
      <c r="O1771" s="36">
        <f t="shared" si="1167"/>
        <v>0</v>
      </c>
      <c r="P1771" s="36">
        <f t="shared" si="1167"/>
        <v>0</v>
      </c>
      <c r="Q1771" s="236">
        <f t="shared" si="1167"/>
        <v>4500</v>
      </c>
      <c r="R1771" s="205" t="str">
        <f t="shared" ref="R1771:S1771" si="1168">R123</f>
        <v>EPS-EVF-PROVED</v>
      </c>
      <c r="S1771" s="183" t="str">
        <f t="shared" si="1168"/>
        <v>ND</v>
      </c>
      <c r="T1771" s="51">
        <f>T123</f>
        <v>0</v>
      </c>
      <c r="W1771" s="608">
        <f t="shared" si="1050"/>
        <v>4500</v>
      </c>
      <c r="X1771" s="608">
        <f t="shared" si="1051"/>
        <v>0</v>
      </c>
      <c r="Z1771" s="572">
        <f t="shared" si="1108"/>
        <v>0</v>
      </c>
      <c r="AA1771" s="1">
        <f t="shared" si="1109"/>
        <v>0</v>
      </c>
    </row>
    <row r="1772" spans="1:27" x14ac:dyDescent="0.2">
      <c r="A1772" s="20" t="str">
        <f>A126</f>
        <v>2.4.1.2 Mise en place de mesures d'incitation à la création de coopératives scolaires</v>
      </c>
      <c r="B1772" s="46"/>
      <c r="C1772" s="297">
        <f>C126</f>
        <v>0</v>
      </c>
      <c r="D1772" s="168">
        <f t="shared" si="1041"/>
        <v>0</v>
      </c>
      <c r="E1772" s="168">
        <f t="shared" si="1042"/>
        <v>296</v>
      </c>
      <c r="F1772" s="168">
        <f t="shared" si="1043"/>
        <v>296</v>
      </c>
      <c r="G1772" s="168">
        <f t="shared" si="1044"/>
        <v>287</v>
      </c>
      <c r="H1772" s="168">
        <f t="shared" si="1045"/>
        <v>287</v>
      </c>
      <c r="I1772" s="271">
        <f t="shared" si="1046"/>
        <v>1166</v>
      </c>
      <c r="J1772" s="349" t="str">
        <f t="shared" si="1047"/>
        <v>EPS-EVF-PROVED</v>
      </c>
      <c r="K1772" s="350" t="str">
        <f t="shared" si="1048"/>
        <v>ND</v>
      </c>
      <c r="L1772" s="37">
        <f t="shared" ref="L1772:Q1772" si="1169">L126</f>
        <v>0</v>
      </c>
      <c r="M1772" s="36">
        <f t="shared" si="1169"/>
        <v>296000</v>
      </c>
      <c r="N1772" s="36">
        <f t="shared" si="1169"/>
        <v>296000</v>
      </c>
      <c r="O1772" s="36">
        <f t="shared" si="1169"/>
        <v>287000</v>
      </c>
      <c r="P1772" s="36">
        <f t="shared" si="1169"/>
        <v>287000</v>
      </c>
      <c r="Q1772" s="236">
        <f t="shared" si="1169"/>
        <v>1166000</v>
      </c>
      <c r="R1772" s="205" t="str">
        <f t="shared" ref="R1772:S1772" si="1170">R126</f>
        <v>EPS-EVF-PROVED</v>
      </c>
      <c r="S1772" s="183" t="str">
        <f t="shared" si="1170"/>
        <v>ND</v>
      </c>
      <c r="T1772" s="51">
        <f>T126</f>
        <v>0</v>
      </c>
      <c r="W1772" s="608">
        <f t="shared" si="1050"/>
        <v>1166000</v>
      </c>
      <c r="X1772" s="608">
        <f t="shared" si="1051"/>
        <v>0</v>
      </c>
      <c r="Z1772" s="572">
        <f t="shared" si="1108"/>
        <v>0</v>
      </c>
      <c r="AA1772" s="1">
        <f t="shared" si="1109"/>
        <v>0</v>
      </c>
    </row>
    <row r="1773" spans="1:27" x14ac:dyDescent="0.2">
      <c r="A1773" s="17" t="str">
        <f>A130</f>
        <v xml:space="preserve">2.4.2 Cantines scolaires </v>
      </c>
      <c r="B1773" s="45"/>
      <c r="C1773" s="297" t="str">
        <f>C130</f>
        <v>En 2025, 3000 écoles disposent d'une cantine scolaire subventionnée</v>
      </c>
      <c r="D1773" s="157">
        <f t="shared" ref="D1773:D1836" si="1171">L1773/1000</f>
        <v>0</v>
      </c>
      <c r="E1773" s="157">
        <f t="shared" ref="E1773:E1836" si="1172">M1773/1000</f>
        <v>0</v>
      </c>
      <c r="F1773" s="157">
        <f t="shared" ref="F1773:F1836" si="1173">N1773/1000</f>
        <v>37.4</v>
      </c>
      <c r="G1773" s="157">
        <f t="shared" ref="G1773:G1836" si="1174">O1773/1000</f>
        <v>2500</v>
      </c>
      <c r="H1773" s="157">
        <f t="shared" ref="H1773:H1836" si="1175">P1773/1000</f>
        <v>5000</v>
      </c>
      <c r="I1773" s="270">
        <f t="shared" ref="I1773:I1836" si="1176">Q1773/1000</f>
        <v>7537.4</v>
      </c>
      <c r="J1773" s="347">
        <f t="shared" ref="J1773:J1836" si="1177">R1773</f>
        <v>0</v>
      </c>
      <c r="K1773" s="348">
        <f t="shared" ref="K1773:K1836" si="1178">S1773</f>
        <v>0</v>
      </c>
      <c r="L1773" s="35">
        <f t="shared" ref="L1773:Q1773" si="1179">SUM(L1774:L1775)</f>
        <v>0</v>
      </c>
      <c r="M1773" s="34">
        <f t="shared" si="1179"/>
        <v>0</v>
      </c>
      <c r="N1773" s="34">
        <f t="shared" si="1179"/>
        <v>37400</v>
      </c>
      <c r="O1773" s="34">
        <f t="shared" si="1179"/>
        <v>2500000</v>
      </c>
      <c r="P1773" s="34">
        <f t="shared" si="1179"/>
        <v>5000000</v>
      </c>
      <c r="Q1773" s="26">
        <f t="shared" si="1179"/>
        <v>7537400</v>
      </c>
      <c r="R1773" s="518">
        <f t="shared" ref="R1773:S1773" si="1180">SUM(R1774:R1775)</f>
        <v>0</v>
      </c>
      <c r="S1773" s="181">
        <f t="shared" si="1180"/>
        <v>0</v>
      </c>
      <c r="T1773" s="50">
        <f>T130</f>
        <v>0</v>
      </c>
      <c r="W1773" s="608">
        <f t="shared" ref="W1773:W1836" si="1181">SUM(L1773:P1773)</f>
        <v>7537400</v>
      </c>
      <c r="X1773" s="608">
        <f t="shared" ref="X1773:X1836" si="1182">W1773-Q1773</f>
        <v>0</v>
      </c>
      <c r="Z1773" s="572">
        <f t="shared" si="1108"/>
        <v>0</v>
      </c>
      <c r="AA1773" s="1">
        <f t="shared" si="1109"/>
        <v>0</v>
      </c>
    </row>
    <row r="1774" spans="1:27" x14ac:dyDescent="0.2">
      <c r="A1774" s="20" t="str">
        <f>A131</f>
        <v>2.4.2.1 Étude de faisabilité sur la mise en place des cantines scolaires</v>
      </c>
      <c r="B1774" s="46"/>
      <c r="C1774" s="297">
        <f>C131</f>
        <v>0</v>
      </c>
      <c r="D1774" s="168">
        <f t="shared" si="1171"/>
        <v>0</v>
      </c>
      <c r="E1774" s="168">
        <f t="shared" si="1172"/>
        <v>0</v>
      </c>
      <c r="F1774" s="168">
        <f t="shared" si="1173"/>
        <v>37.4</v>
      </c>
      <c r="G1774" s="168">
        <f t="shared" si="1174"/>
        <v>0</v>
      </c>
      <c r="H1774" s="168">
        <f t="shared" si="1175"/>
        <v>0</v>
      </c>
      <c r="I1774" s="271">
        <f t="shared" si="1176"/>
        <v>37.4</v>
      </c>
      <c r="J1774" s="349" t="str">
        <f t="shared" si="1177"/>
        <v>EPS-EVF</v>
      </c>
      <c r="K1774" s="350" t="str">
        <f t="shared" si="1178"/>
        <v>ND</v>
      </c>
      <c r="L1774" s="37">
        <f t="shared" ref="L1774:Q1774" si="1183">L131</f>
        <v>0</v>
      </c>
      <c r="M1774" s="36">
        <f t="shared" si="1183"/>
        <v>0</v>
      </c>
      <c r="N1774" s="36">
        <f t="shared" si="1183"/>
        <v>37400</v>
      </c>
      <c r="O1774" s="36">
        <f t="shared" si="1183"/>
        <v>0</v>
      </c>
      <c r="P1774" s="36">
        <f t="shared" si="1183"/>
        <v>0</v>
      </c>
      <c r="Q1774" s="236">
        <f t="shared" si="1183"/>
        <v>37400</v>
      </c>
      <c r="R1774" s="205" t="str">
        <f t="shared" ref="R1774:S1774" si="1184">R131</f>
        <v>EPS-EVF</v>
      </c>
      <c r="S1774" s="183" t="str">
        <f t="shared" si="1184"/>
        <v>ND</v>
      </c>
      <c r="T1774" s="51">
        <f>T131</f>
        <v>0</v>
      </c>
      <c r="W1774" s="608">
        <f t="shared" si="1181"/>
        <v>37400</v>
      </c>
      <c r="X1774" s="608">
        <f t="shared" si="1182"/>
        <v>0</v>
      </c>
      <c r="Z1774" s="572">
        <f t="shared" si="1108"/>
        <v>0</v>
      </c>
      <c r="AA1774" s="1">
        <f t="shared" si="1109"/>
        <v>0</v>
      </c>
    </row>
    <row r="1775" spans="1:27" x14ac:dyDescent="0.2">
      <c r="A1775" s="20" t="str">
        <f>A136</f>
        <v>2.4.2.2 Mise en place de mesures d'incitations à la création de cantines scolaires</v>
      </c>
      <c r="B1775" s="108"/>
      <c r="C1775" s="297">
        <f>C136</f>
        <v>0</v>
      </c>
      <c r="D1775" s="168">
        <f t="shared" si="1171"/>
        <v>0</v>
      </c>
      <c r="E1775" s="168">
        <f t="shared" si="1172"/>
        <v>0</v>
      </c>
      <c r="F1775" s="320">
        <f t="shared" si="1173"/>
        <v>0</v>
      </c>
      <c r="G1775" s="320">
        <f t="shared" si="1174"/>
        <v>2500</v>
      </c>
      <c r="H1775" s="320">
        <f t="shared" si="1175"/>
        <v>5000</v>
      </c>
      <c r="I1775" s="343">
        <f t="shared" si="1176"/>
        <v>7500</v>
      </c>
      <c r="J1775" s="349" t="str">
        <f t="shared" si="1177"/>
        <v>EPS-EVF-PROVED</v>
      </c>
      <c r="K1775" s="350" t="str">
        <f t="shared" si="1178"/>
        <v>PAM</v>
      </c>
      <c r="L1775" s="37">
        <f t="shared" ref="L1775:Q1775" si="1185">L136</f>
        <v>0</v>
      </c>
      <c r="M1775" s="36">
        <f t="shared" si="1185"/>
        <v>0</v>
      </c>
      <c r="N1775" s="36">
        <f t="shared" si="1185"/>
        <v>0</v>
      </c>
      <c r="O1775" s="36">
        <f t="shared" si="1185"/>
        <v>2500000</v>
      </c>
      <c r="P1775" s="36">
        <f t="shared" si="1185"/>
        <v>5000000</v>
      </c>
      <c r="Q1775" s="236">
        <f t="shared" si="1185"/>
        <v>7500000</v>
      </c>
      <c r="R1775" s="205" t="str">
        <f t="shared" ref="R1775:S1775" si="1186">R136</f>
        <v>EPS-EVF-PROVED</v>
      </c>
      <c r="S1775" s="183" t="str">
        <f t="shared" si="1186"/>
        <v>PAM</v>
      </c>
      <c r="T1775" s="51">
        <f>T136</f>
        <v>0</v>
      </c>
      <c r="W1775" s="608">
        <f t="shared" si="1181"/>
        <v>7500000</v>
      </c>
      <c r="X1775" s="608">
        <f t="shared" si="1182"/>
        <v>0</v>
      </c>
      <c r="Z1775" s="572">
        <f t="shared" si="1108"/>
        <v>0</v>
      </c>
      <c r="AA1775" s="1">
        <f t="shared" si="1109"/>
        <v>0</v>
      </c>
    </row>
    <row r="1776" spans="1:27" x14ac:dyDescent="0.2">
      <c r="A1776" s="122" t="str">
        <f>A138</f>
        <v>2.4.3 Aides directes aux familles</v>
      </c>
      <c r="B1776" s="152"/>
      <c r="C1776" s="299" t="str">
        <f>C138</f>
        <v>En 2025, les familles de 10% des élèves reçoivent une allocation</v>
      </c>
      <c r="D1776" s="157">
        <f t="shared" si="1171"/>
        <v>3</v>
      </c>
      <c r="E1776" s="157">
        <f t="shared" si="1172"/>
        <v>836.67399999999998</v>
      </c>
      <c r="F1776" s="157">
        <f t="shared" si="1173"/>
        <v>1673.348</v>
      </c>
      <c r="G1776" s="157">
        <f t="shared" si="1174"/>
        <v>2510.0230000000001</v>
      </c>
      <c r="H1776" s="157">
        <f t="shared" si="1175"/>
        <v>3346.6970000000001</v>
      </c>
      <c r="I1776" s="270">
        <f t="shared" si="1176"/>
        <v>8369.7420000000002</v>
      </c>
      <c r="J1776" s="347">
        <f t="shared" si="1177"/>
        <v>0</v>
      </c>
      <c r="K1776" s="341">
        <f t="shared" si="1178"/>
        <v>0</v>
      </c>
      <c r="L1776" s="35">
        <f t="shared" ref="L1776:Q1776" si="1187">SUM(L1777:L1778)</f>
        <v>3000</v>
      </c>
      <c r="M1776" s="34">
        <f t="shared" si="1187"/>
        <v>836674</v>
      </c>
      <c r="N1776" s="34">
        <f t="shared" si="1187"/>
        <v>1673348</v>
      </c>
      <c r="O1776" s="34">
        <f t="shared" si="1187"/>
        <v>2510023</v>
      </c>
      <c r="P1776" s="34">
        <f t="shared" si="1187"/>
        <v>3346697</v>
      </c>
      <c r="Q1776" s="26">
        <f t="shared" si="1187"/>
        <v>8369742</v>
      </c>
      <c r="R1776" s="520">
        <f t="shared" ref="R1776:S1776" si="1188">SUM(R1777:R1778)</f>
        <v>0</v>
      </c>
      <c r="S1776" s="201">
        <f t="shared" si="1188"/>
        <v>0</v>
      </c>
      <c r="T1776" s="154">
        <f>T138</f>
        <v>0</v>
      </c>
      <c r="W1776" s="608">
        <f t="shared" si="1181"/>
        <v>8369742</v>
      </c>
      <c r="X1776" s="608">
        <f t="shared" si="1182"/>
        <v>0</v>
      </c>
      <c r="Z1776" s="572">
        <f t="shared" si="1108"/>
        <v>0</v>
      </c>
      <c r="AA1776" s="1">
        <f t="shared" si="1109"/>
        <v>0</v>
      </c>
    </row>
    <row r="1777" spans="1:27" x14ac:dyDescent="0.2">
      <c r="A1777" s="123" t="str">
        <f>A139</f>
        <v>2.4.3.1 Identification des familles bénéficiaires</v>
      </c>
      <c r="B1777" s="202"/>
      <c r="C1777" s="298">
        <f>C139</f>
        <v>0</v>
      </c>
      <c r="D1777" s="168">
        <f t="shared" si="1171"/>
        <v>3</v>
      </c>
      <c r="E1777" s="168">
        <f t="shared" si="1172"/>
        <v>0</v>
      </c>
      <c r="F1777" s="168">
        <f t="shared" si="1173"/>
        <v>0</v>
      </c>
      <c r="G1777" s="168">
        <f t="shared" si="1174"/>
        <v>0</v>
      </c>
      <c r="H1777" s="168">
        <f t="shared" si="1175"/>
        <v>0</v>
      </c>
      <c r="I1777" s="271">
        <f t="shared" si="1176"/>
        <v>3</v>
      </c>
      <c r="J1777" s="349" t="str">
        <f t="shared" si="1177"/>
        <v>EPS-EVF</v>
      </c>
      <c r="K1777" s="342" t="str">
        <f t="shared" si="1178"/>
        <v>ND</v>
      </c>
      <c r="L1777" s="37">
        <f t="shared" ref="L1777:Q1777" si="1189">L139</f>
        <v>3000</v>
      </c>
      <c r="M1777" s="36">
        <f t="shared" si="1189"/>
        <v>0</v>
      </c>
      <c r="N1777" s="36">
        <f t="shared" si="1189"/>
        <v>0</v>
      </c>
      <c r="O1777" s="36">
        <f t="shared" si="1189"/>
        <v>0</v>
      </c>
      <c r="P1777" s="36">
        <f t="shared" si="1189"/>
        <v>0</v>
      </c>
      <c r="Q1777" s="236">
        <f t="shared" si="1189"/>
        <v>3000</v>
      </c>
      <c r="R1777" s="519" t="str">
        <f t="shared" ref="R1777:S1777" si="1190">R139</f>
        <v>EPS-EVF</v>
      </c>
      <c r="S1777" s="224" t="str">
        <f t="shared" si="1190"/>
        <v>ND</v>
      </c>
      <c r="T1777" s="153">
        <f>T139</f>
        <v>0</v>
      </c>
      <c r="W1777" s="608">
        <f t="shared" si="1181"/>
        <v>3000</v>
      </c>
      <c r="X1777" s="608">
        <f t="shared" si="1182"/>
        <v>0</v>
      </c>
      <c r="Z1777" s="572">
        <f t="shared" si="1108"/>
        <v>0</v>
      </c>
      <c r="AA1777" s="1">
        <f t="shared" si="1109"/>
        <v>0</v>
      </c>
    </row>
    <row r="1778" spans="1:27" x14ac:dyDescent="0.2">
      <c r="A1778" s="123" t="str">
        <f>A141</f>
        <v>2.4.3.2 Distribution de l'allocation aux familles</v>
      </c>
      <c r="B1778" s="202"/>
      <c r="C1778" s="298">
        <f>C141</f>
        <v>0</v>
      </c>
      <c r="D1778" s="168">
        <f t="shared" si="1171"/>
        <v>0</v>
      </c>
      <c r="E1778" s="168">
        <f t="shared" si="1172"/>
        <v>836.67399999999998</v>
      </c>
      <c r="F1778" s="168">
        <f t="shared" si="1173"/>
        <v>1673.348</v>
      </c>
      <c r="G1778" s="168">
        <f t="shared" si="1174"/>
        <v>2510.0230000000001</v>
      </c>
      <c r="H1778" s="168">
        <f t="shared" si="1175"/>
        <v>3346.6970000000001</v>
      </c>
      <c r="I1778" s="271">
        <f t="shared" si="1176"/>
        <v>8366.7420000000002</v>
      </c>
      <c r="J1778" s="349" t="str">
        <f t="shared" si="1177"/>
        <v>EPS-EVF</v>
      </c>
      <c r="K1778" s="342" t="str">
        <f t="shared" si="1178"/>
        <v>ND</v>
      </c>
      <c r="L1778" s="37">
        <f t="shared" ref="L1778:Q1778" si="1191">L141</f>
        <v>0</v>
      </c>
      <c r="M1778" s="36">
        <f t="shared" si="1191"/>
        <v>836674</v>
      </c>
      <c r="N1778" s="36">
        <f t="shared" si="1191"/>
        <v>1673348</v>
      </c>
      <c r="O1778" s="36">
        <f t="shared" si="1191"/>
        <v>2510023</v>
      </c>
      <c r="P1778" s="36">
        <f t="shared" si="1191"/>
        <v>3346697</v>
      </c>
      <c r="Q1778" s="236">
        <f t="shared" si="1191"/>
        <v>8366742</v>
      </c>
      <c r="R1778" s="519" t="str">
        <f t="shared" ref="R1778:S1778" si="1192">R141</f>
        <v>EPS-EVF</v>
      </c>
      <c r="S1778" s="224" t="str">
        <f t="shared" si="1192"/>
        <v>ND</v>
      </c>
      <c r="T1778" s="153">
        <f>T141</f>
        <v>0</v>
      </c>
      <c r="W1778" s="608">
        <f t="shared" si="1181"/>
        <v>8366742</v>
      </c>
      <c r="X1778" s="608">
        <f t="shared" si="1182"/>
        <v>0</v>
      </c>
      <c r="Z1778" s="572">
        <f t="shared" si="1108"/>
        <v>0</v>
      </c>
      <c r="AA1778" s="1">
        <f t="shared" si="1109"/>
        <v>0</v>
      </c>
    </row>
    <row r="1779" spans="1:27" x14ac:dyDescent="0.2">
      <c r="A1779" s="17" t="str">
        <f>A143</f>
        <v>2.4.4 Accueil des élèves à besoins spécifiques</v>
      </c>
      <c r="B1779" s="45"/>
      <c r="C1779" s="331" t="str">
        <f>C143</f>
        <v xml:space="preserve">En 2025, 50% des écoles sont dotées d'accès facilité pour les personnes handicapées </v>
      </c>
      <c r="D1779" s="157">
        <f t="shared" si="1171"/>
        <v>26.25</v>
      </c>
      <c r="E1779" s="157">
        <f t="shared" si="1172"/>
        <v>165</v>
      </c>
      <c r="F1779" s="157">
        <f t="shared" si="1173"/>
        <v>165</v>
      </c>
      <c r="G1779" s="157">
        <f t="shared" si="1174"/>
        <v>165</v>
      </c>
      <c r="H1779" s="157">
        <f t="shared" si="1175"/>
        <v>165</v>
      </c>
      <c r="I1779" s="270">
        <f t="shared" si="1176"/>
        <v>686.25</v>
      </c>
      <c r="J1779" s="347">
        <f t="shared" si="1177"/>
        <v>0</v>
      </c>
      <c r="K1779" s="348">
        <f t="shared" si="1178"/>
        <v>0</v>
      </c>
      <c r="L1779" s="35">
        <f t="shared" ref="L1779:Q1779" si="1193">SUM(L1780:L1782)</f>
        <v>26250</v>
      </c>
      <c r="M1779" s="34">
        <f t="shared" si="1193"/>
        <v>165000</v>
      </c>
      <c r="N1779" s="34">
        <f t="shared" si="1193"/>
        <v>165000</v>
      </c>
      <c r="O1779" s="34">
        <f t="shared" si="1193"/>
        <v>165000</v>
      </c>
      <c r="P1779" s="34">
        <f t="shared" si="1193"/>
        <v>165000</v>
      </c>
      <c r="Q1779" s="26">
        <f t="shared" si="1193"/>
        <v>686250</v>
      </c>
      <c r="R1779" s="518">
        <f t="shared" ref="R1779:S1779" si="1194">SUM(R1780:R1782)</f>
        <v>0</v>
      </c>
      <c r="S1779" s="181">
        <f t="shared" si="1194"/>
        <v>0</v>
      </c>
      <c r="T1779" s="50">
        <f>T143</f>
        <v>0</v>
      </c>
      <c r="W1779" s="608">
        <f t="shared" si="1181"/>
        <v>686250</v>
      </c>
      <c r="X1779" s="608">
        <f t="shared" si="1182"/>
        <v>0</v>
      </c>
      <c r="Z1779" s="572">
        <f t="shared" si="1108"/>
        <v>0</v>
      </c>
      <c r="AA1779" s="1">
        <f t="shared" si="1109"/>
        <v>0</v>
      </c>
    </row>
    <row r="1780" spans="1:27" x14ac:dyDescent="0.2">
      <c r="A1780" s="20" t="str">
        <f>A144</f>
        <v>2.4.4.1 Définition d'une politique nationale pour l'éducation inclusive</v>
      </c>
      <c r="B1780" s="46"/>
      <c r="C1780" s="297">
        <f>C144</f>
        <v>0</v>
      </c>
      <c r="D1780" s="168">
        <f t="shared" si="1171"/>
        <v>26.25</v>
      </c>
      <c r="E1780" s="168">
        <f t="shared" si="1172"/>
        <v>0</v>
      </c>
      <c r="F1780" s="168">
        <f t="shared" si="1173"/>
        <v>0</v>
      </c>
      <c r="G1780" s="168">
        <f t="shared" si="1174"/>
        <v>0</v>
      </c>
      <c r="H1780" s="168">
        <f t="shared" si="1175"/>
        <v>0</v>
      </c>
      <c r="I1780" s="271">
        <f t="shared" si="1176"/>
        <v>26.25</v>
      </c>
      <c r="J1780" s="349" t="str">
        <f t="shared" si="1177"/>
        <v>EPS-DEP</v>
      </c>
      <c r="K1780" s="350" t="str">
        <f t="shared" si="1178"/>
        <v>ND</v>
      </c>
      <c r="L1780" s="37">
        <f t="shared" ref="L1780:Q1780" si="1195">L144</f>
        <v>26250</v>
      </c>
      <c r="M1780" s="36">
        <f t="shared" si="1195"/>
        <v>0</v>
      </c>
      <c r="N1780" s="36">
        <f t="shared" si="1195"/>
        <v>0</v>
      </c>
      <c r="O1780" s="36">
        <f t="shared" si="1195"/>
        <v>0</v>
      </c>
      <c r="P1780" s="36">
        <f t="shared" si="1195"/>
        <v>0</v>
      </c>
      <c r="Q1780" s="236">
        <f t="shared" si="1195"/>
        <v>26250</v>
      </c>
      <c r="R1780" s="205" t="str">
        <f t="shared" ref="R1780:S1780" si="1196">R144</f>
        <v>EPS-DEP</v>
      </c>
      <c r="S1780" s="183" t="str">
        <f t="shared" si="1196"/>
        <v>ND</v>
      </c>
      <c r="T1780" s="51">
        <f>T144</f>
        <v>0</v>
      </c>
      <c r="W1780" s="608">
        <f t="shared" si="1181"/>
        <v>26250</v>
      </c>
      <c r="X1780" s="608">
        <f t="shared" si="1182"/>
        <v>0</v>
      </c>
      <c r="Z1780" s="572">
        <f t="shared" si="1108"/>
        <v>0</v>
      </c>
      <c r="AA1780" s="1">
        <f t="shared" si="1109"/>
        <v>0</v>
      </c>
    </row>
    <row r="1781" spans="1:27" x14ac:dyDescent="0.2">
      <c r="A1781" s="20" t="str">
        <f>A148</f>
        <v>2.4.4.2 Formation des chefs d'établissement et enseignants à l'éducation inclusive</v>
      </c>
      <c r="B1781" s="46"/>
      <c r="C1781" s="297">
        <f>C148</f>
        <v>0</v>
      </c>
      <c r="D1781" s="168">
        <f t="shared" si="1171"/>
        <v>0</v>
      </c>
      <c r="E1781" s="168">
        <f t="shared" si="1172"/>
        <v>165</v>
      </c>
      <c r="F1781" s="168">
        <f t="shared" si="1173"/>
        <v>165</v>
      </c>
      <c r="G1781" s="168">
        <f t="shared" si="1174"/>
        <v>165</v>
      </c>
      <c r="H1781" s="168">
        <f t="shared" si="1175"/>
        <v>165</v>
      </c>
      <c r="I1781" s="271">
        <f t="shared" si="1176"/>
        <v>660</v>
      </c>
      <c r="J1781" s="349" t="str">
        <f t="shared" si="1177"/>
        <v>EPS-SERNAFOR</v>
      </c>
      <c r="K1781" s="350" t="str">
        <f t="shared" si="1178"/>
        <v>ND</v>
      </c>
      <c r="L1781" s="37">
        <f t="shared" ref="L1781:Q1781" si="1197">L148</f>
        <v>0</v>
      </c>
      <c r="M1781" s="36">
        <f t="shared" si="1197"/>
        <v>165000</v>
      </c>
      <c r="N1781" s="36">
        <f t="shared" si="1197"/>
        <v>165000</v>
      </c>
      <c r="O1781" s="36">
        <f t="shared" si="1197"/>
        <v>165000</v>
      </c>
      <c r="P1781" s="36">
        <f t="shared" si="1197"/>
        <v>165000</v>
      </c>
      <c r="Q1781" s="236">
        <f t="shared" si="1197"/>
        <v>660000</v>
      </c>
      <c r="R1781" s="205" t="str">
        <f t="shared" ref="R1781:S1781" si="1198">R148</f>
        <v>EPS-SERNAFOR</v>
      </c>
      <c r="S1781" s="183" t="str">
        <f t="shared" si="1198"/>
        <v>ND</v>
      </c>
      <c r="T1781" s="51">
        <f>T148</f>
        <v>0</v>
      </c>
      <c r="W1781" s="608">
        <f t="shared" si="1181"/>
        <v>660000</v>
      </c>
      <c r="X1781" s="608">
        <f t="shared" si="1182"/>
        <v>0</v>
      </c>
      <c r="Z1781" s="572">
        <f t="shared" si="1108"/>
        <v>0</v>
      </c>
      <c r="AA1781" s="1">
        <f t="shared" si="1109"/>
        <v>0</v>
      </c>
    </row>
    <row r="1782" spans="1:27" x14ac:dyDescent="0.2">
      <c r="A1782" s="20" t="str">
        <f>A150</f>
        <v>2.4.4.3 Intégration des modules de formation à l'éducation inclusive dans la formation initiale des enseignants</v>
      </c>
      <c r="B1782" s="46"/>
      <c r="C1782" s="297">
        <f>C150</f>
        <v>0</v>
      </c>
      <c r="D1782" s="168">
        <f t="shared" si="1171"/>
        <v>0</v>
      </c>
      <c r="E1782" s="168">
        <f t="shared" si="1172"/>
        <v>0</v>
      </c>
      <c r="F1782" s="168">
        <f t="shared" si="1173"/>
        <v>0</v>
      </c>
      <c r="G1782" s="168">
        <f t="shared" si="1174"/>
        <v>0</v>
      </c>
      <c r="H1782" s="168">
        <f t="shared" si="1175"/>
        <v>0</v>
      </c>
      <c r="I1782" s="271">
        <f t="shared" si="1176"/>
        <v>0</v>
      </c>
      <c r="J1782" s="349" t="str">
        <f t="shared" si="1177"/>
        <v>EPS-SERNAFOR-DIPROMAD</v>
      </c>
      <c r="K1782" s="350" t="str">
        <f t="shared" si="1178"/>
        <v>ND</v>
      </c>
      <c r="L1782" s="37">
        <f t="shared" ref="L1782:Q1782" si="1199">L150</f>
        <v>0</v>
      </c>
      <c r="M1782" s="36">
        <f t="shared" si="1199"/>
        <v>0</v>
      </c>
      <c r="N1782" s="36">
        <f t="shared" si="1199"/>
        <v>0</v>
      </c>
      <c r="O1782" s="36">
        <f t="shared" si="1199"/>
        <v>0</v>
      </c>
      <c r="P1782" s="36">
        <f t="shared" si="1199"/>
        <v>0</v>
      </c>
      <c r="Q1782" s="27">
        <f t="shared" si="1199"/>
        <v>0</v>
      </c>
      <c r="R1782" s="205" t="str">
        <f t="shared" ref="R1782:S1782" si="1200">R150</f>
        <v>EPS-SERNAFOR-DIPROMAD</v>
      </c>
      <c r="S1782" s="183" t="str">
        <f t="shared" si="1200"/>
        <v>ND</v>
      </c>
      <c r="T1782" s="51">
        <f>T150</f>
        <v>0</v>
      </c>
      <c r="W1782" s="608">
        <f t="shared" si="1181"/>
        <v>0</v>
      </c>
      <c r="X1782" s="608">
        <f t="shared" si="1182"/>
        <v>0</v>
      </c>
      <c r="Z1782" s="572">
        <f t="shared" si="1108"/>
        <v>0</v>
      </c>
      <c r="AA1782" s="1">
        <f t="shared" si="1109"/>
        <v>0</v>
      </c>
    </row>
    <row r="1783" spans="1:27" x14ac:dyDescent="0.2">
      <c r="A1783" s="17" t="str">
        <f>A151</f>
        <v>2.4.5 Scolarisation des enfants autochtones</v>
      </c>
      <c r="B1783" s="45"/>
      <c r="C1783" s="331" t="str">
        <f>C151</f>
        <v>En 2025, 300 000 élèves autochtones reçoivent une allocation</v>
      </c>
      <c r="D1783" s="157">
        <f t="shared" si="1171"/>
        <v>11.1</v>
      </c>
      <c r="E1783" s="157">
        <f t="shared" si="1172"/>
        <v>166.66499999999999</v>
      </c>
      <c r="F1783" s="157">
        <f t="shared" si="1173"/>
        <v>333.33499999999998</v>
      </c>
      <c r="G1783" s="157">
        <f t="shared" si="1174"/>
        <v>500</v>
      </c>
      <c r="H1783" s="157">
        <f t="shared" si="1175"/>
        <v>666.66499999999996</v>
      </c>
      <c r="I1783" s="270">
        <f t="shared" si="1176"/>
        <v>1677.7650000000001</v>
      </c>
      <c r="J1783" s="347">
        <f t="shared" si="1177"/>
        <v>0</v>
      </c>
      <c r="K1783" s="348">
        <f t="shared" si="1178"/>
        <v>0</v>
      </c>
      <c r="L1783" s="35">
        <f t="shared" ref="L1783:Q1783" si="1201">SUM(L1784:L1785)</f>
        <v>11100</v>
      </c>
      <c r="M1783" s="34">
        <f t="shared" si="1201"/>
        <v>166665</v>
      </c>
      <c r="N1783" s="34">
        <f t="shared" si="1201"/>
        <v>333335</v>
      </c>
      <c r="O1783" s="34">
        <f t="shared" si="1201"/>
        <v>500000</v>
      </c>
      <c r="P1783" s="34">
        <f t="shared" si="1201"/>
        <v>666665</v>
      </c>
      <c r="Q1783" s="26">
        <f t="shared" si="1201"/>
        <v>1677765</v>
      </c>
      <c r="R1783" s="518">
        <f t="shared" ref="R1783:S1783" si="1202">SUM(R1784:R1785)</f>
        <v>0</v>
      </c>
      <c r="S1783" s="181">
        <f t="shared" si="1202"/>
        <v>0</v>
      </c>
      <c r="T1783" s="50">
        <f>T151</f>
        <v>0</v>
      </c>
      <c r="W1783" s="608">
        <f t="shared" si="1181"/>
        <v>1677765</v>
      </c>
      <c r="X1783" s="608">
        <f t="shared" si="1182"/>
        <v>0</v>
      </c>
      <c r="Z1783" s="572">
        <f t="shared" si="1108"/>
        <v>0</v>
      </c>
      <c r="AA1783" s="1">
        <f t="shared" si="1109"/>
        <v>0</v>
      </c>
    </row>
    <row r="1784" spans="1:27" x14ac:dyDescent="0.2">
      <c r="A1784" s="20" t="str">
        <f>A152</f>
        <v>2.4.5.1 Recensement des familles, des élèves et des écoles autochtones</v>
      </c>
      <c r="B1784" s="46"/>
      <c r="C1784" s="297">
        <f>C152</f>
        <v>0</v>
      </c>
      <c r="D1784" s="168">
        <f t="shared" si="1171"/>
        <v>11.1</v>
      </c>
      <c r="E1784" s="168">
        <f t="shared" si="1172"/>
        <v>0</v>
      </c>
      <c r="F1784" s="168">
        <f t="shared" si="1173"/>
        <v>0</v>
      </c>
      <c r="G1784" s="168">
        <f t="shared" si="1174"/>
        <v>0</v>
      </c>
      <c r="H1784" s="168">
        <f t="shared" si="1175"/>
        <v>0</v>
      </c>
      <c r="I1784" s="271">
        <f t="shared" si="1176"/>
        <v>11.1</v>
      </c>
      <c r="J1784" s="349" t="str">
        <f t="shared" si="1177"/>
        <v>EPS-DEP</v>
      </c>
      <c r="K1784" s="350" t="str">
        <f t="shared" si="1178"/>
        <v>ND</v>
      </c>
      <c r="L1784" s="37">
        <f t="shared" ref="L1784:Q1784" si="1203">L152</f>
        <v>11100</v>
      </c>
      <c r="M1784" s="36">
        <f t="shared" si="1203"/>
        <v>0</v>
      </c>
      <c r="N1784" s="36">
        <f t="shared" si="1203"/>
        <v>0</v>
      </c>
      <c r="O1784" s="36">
        <f t="shared" si="1203"/>
        <v>0</v>
      </c>
      <c r="P1784" s="36">
        <f t="shared" si="1203"/>
        <v>0</v>
      </c>
      <c r="Q1784" s="236">
        <f t="shared" si="1203"/>
        <v>11100</v>
      </c>
      <c r="R1784" s="205" t="str">
        <f t="shared" ref="R1784:S1784" si="1204">R152</f>
        <v>EPS-DEP</v>
      </c>
      <c r="S1784" s="183" t="str">
        <f t="shared" si="1204"/>
        <v>ND</v>
      </c>
      <c r="T1784" s="51">
        <f>T152</f>
        <v>0</v>
      </c>
      <c r="W1784" s="608">
        <f t="shared" si="1181"/>
        <v>11100</v>
      </c>
      <c r="X1784" s="608">
        <f t="shared" si="1182"/>
        <v>0</v>
      </c>
      <c r="Z1784" s="572">
        <f t="shared" si="1108"/>
        <v>0</v>
      </c>
      <c r="AA1784" s="1">
        <f t="shared" si="1109"/>
        <v>0</v>
      </c>
    </row>
    <row r="1785" spans="1:27" x14ac:dyDescent="0.2">
      <c r="A1785" s="20" t="str">
        <f>A155</f>
        <v>2.4.5.2 Distribution de l'allocation aux élèves</v>
      </c>
      <c r="B1785" s="46"/>
      <c r="C1785" s="297">
        <f>C155</f>
        <v>0</v>
      </c>
      <c r="D1785" s="168">
        <f t="shared" si="1171"/>
        <v>0</v>
      </c>
      <c r="E1785" s="168">
        <f t="shared" si="1172"/>
        <v>166.66499999999999</v>
      </c>
      <c r="F1785" s="168">
        <f t="shared" si="1173"/>
        <v>333.33499999999998</v>
      </c>
      <c r="G1785" s="168">
        <f t="shared" si="1174"/>
        <v>500</v>
      </c>
      <c r="H1785" s="168">
        <f t="shared" si="1175"/>
        <v>666.66499999999996</v>
      </c>
      <c r="I1785" s="271">
        <f t="shared" si="1176"/>
        <v>1666.665</v>
      </c>
      <c r="J1785" s="349" t="str">
        <f t="shared" si="1177"/>
        <v>EPS-EVF</v>
      </c>
      <c r="K1785" s="350" t="str">
        <f t="shared" si="1178"/>
        <v>ND</v>
      </c>
      <c r="L1785" s="37">
        <f t="shared" ref="L1785:Q1785" si="1205">L155</f>
        <v>0</v>
      </c>
      <c r="M1785" s="36">
        <f t="shared" si="1205"/>
        <v>166665</v>
      </c>
      <c r="N1785" s="36">
        <f t="shared" si="1205"/>
        <v>333335</v>
      </c>
      <c r="O1785" s="36">
        <f t="shared" si="1205"/>
        <v>500000</v>
      </c>
      <c r="P1785" s="36">
        <f t="shared" si="1205"/>
        <v>666665</v>
      </c>
      <c r="Q1785" s="236">
        <f t="shared" si="1205"/>
        <v>1666665</v>
      </c>
      <c r="R1785" s="205" t="str">
        <f t="shared" ref="R1785:S1785" si="1206">R155</f>
        <v>EPS-EVF</v>
      </c>
      <c r="S1785" s="183" t="str">
        <f t="shared" si="1206"/>
        <v>ND</v>
      </c>
      <c r="T1785" s="51">
        <f>T155</f>
        <v>0</v>
      </c>
      <c r="W1785" s="608">
        <f t="shared" si="1181"/>
        <v>1666665</v>
      </c>
      <c r="X1785" s="608">
        <f t="shared" si="1182"/>
        <v>0</v>
      </c>
      <c r="Z1785" s="572">
        <f t="shared" si="1108"/>
        <v>0</v>
      </c>
      <c r="AA1785" s="1">
        <f t="shared" si="1109"/>
        <v>0</v>
      </c>
    </row>
    <row r="1786" spans="1:27" x14ac:dyDescent="0.2">
      <c r="A1786" s="14" t="str">
        <f>A157</f>
        <v>2.5 Scolarisation des filles : Encourager la scolarisation des filles</v>
      </c>
      <c r="B1786" s="44"/>
      <c r="C1786" s="296">
        <f>C157</f>
        <v>0</v>
      </c>
      <c r="D1786" s="217">
        <f t="shared" si="1171"/>
        <v>30.5</v>
      </c>
      <c r="E1786" s="217">
        <f t="shared" si="1172"/>
        <v>6754</v>
      </c>
      <c r="F1786" s="217">
        <f t="shared" si="1173"/>
        <v>8110</v>
      </c>
      <c r="G1786" s="217">
        <f t="shared" si="1174"/>
        <v>9480</v>
      </c>
      <c r="H1786" s="217">
        <f t="shared" si="1175"/>
        <v>10850</v>
      </c>
      <c r="I1786" s="273">
        <f t="shared" si="1176"/>
        <v>35224.5</v>
      </c>
      <c r="J1786" s="345">
        <f t="shared" si="1177"/>
        <v>0</v>
      </c>
      <c r="K1786" s="346">
        <f t="shared" si="1178"/>
        <v>0</v>
      </c>
      <c r="L1786" s="33">
        <f t="shared" ref="L1786:Q1786" si="1207">L1787+L1790+L1793</f>
        <v>30500</v>
      </c>
      <c r="M1786" s="32">
        <f t="shared" si="1207"/>
        <v>6754000</v>
      </c>
      <c r="N1786" s="32">
        <f t="shared" si="1207"/>
        <v>8110000</v>
      </c>
      <c r="O1786" s="32">
        <f t="shared" si="1207"/>
        <v>9480000</v>
      </c>
      <c r="P1786" s="32">
        <f t="shared" si="1207"/>
        <v>10850000</v>
      </c>
      <c r="Q1786" s="25">
        <f t="shared" si="1207"/>
        <v>35224500</v>
      </c>
      <c r="R1786" s="515">
        <f t="shared" ref="R1786:S1786" si="1208">R1787+R1790+R1793</f>
        <v>0</v>
      </c>
      <c r="S1786" s="145">
        <f t="shared" si="1208"/>
        <v>0</v>
      </c>
      <c r="T1786" s="49">
        <f>T157</f>
        <v>1</v>
      </c>
      <c r="W1786" s="608">
        <f t="shared" si="1181"/>
        <v>35224500</v>
      </c>
      <c r="X1786" s="608">
        <f t="shared" si="1182"/>
        <v>0</v>
      </c>
      <c r="Z1786" s="572">
        <f t="shared" si="1108"/>
        <v>0</v>
      </c>
      <c r="AA1786" s="1">
        <f t="shared" si="1109"/>
        <v>0</v>
      </c>
    </row>
    <row r="1787" spans="1:27" x14ac:dyDescent="0.2">
      <c r="A1787" s="17" t="str">
        <f>A158</f>
        <v>2.5.1 Allocation aux écoles dans les 3 provinces les plus en retard pour la scolarisation des filles</v>
      </c>
      <c r="B1787" s="45"/>
      <c r="C1787" s="297" t="str">
        <f>C158</f>
        <v>En 2025, 10% des enseignants reçoivent une bonification pour exercice dans des zones isolées</v>
      </c>
      <c r="D1787" s="157">
        <f t="shared" si="1171"/>
        <v>4.5</v>
      </c>
      <c r="E1787" s="157">
        <f t="shared" si="1172"/>
        <v>2740</v>
      </c>
      <c r="F1787" s="157">
        <f t="shared" si="1173"/>
        <v>4110</v>
      </c>
      <c r="G1787" s="157">
        <f t="shared" si="1174"/>
        <v>5480</v>
      </c>
      <c r="H1787" s="157">
        <f t="shared" si="1175"/>
        <v>6850</v>
      </c>
      <c r="I1787" s="270">
        <f t="shared" si="1176"/>
        <v>19184.5</v>
      </c>
      <c r="J1787" s="347">
        <f t="shared" si="1177"/>
        <v>0</v>
      </c>
      <c r="K1787" s="348">
        <f t="shared" si="1178"/>
        <v>0</v>
      </c>
      <c r="L1787" s="35">
        <f t="shared" ref="L1787:Q1787" si="1209">SUM(L1788:L1789)</f>
        <v>4500</v>
      </c>
      <c r="M1787" s="34">
        <f t="shared" si="1209"/>
        <v>2740000</v>
      </c>
      <c r="N1787" s="34">
        <f t="shared" si="1209"/>
        <v>4110000</v>
      </c>
      <c r="O1787" s="34">
        <f t="shared" si="1209"/>
        <v>5480000</v>
      </c>
      <c r="P1787" s="34">
        <f t="shared" si="1209"/>
        <v>6850000</v>
      </c>
      <c r="Q1787" s="26">
        <f t="shared" si="1209"/>
        <v>19184500</v>
      </c>
      <c r="R1787" s="209">
        <f t="shared" ref="R1787:S1787" si="1210">SUM(R1788:R1789)</f>
        <v>0</v>
      </c>
      <c r="S1787" s="116">
        <f t="shared" si="1210"/>
        <v>0</v>
      </c>
      <c r="T1787" s="50">
        <f>T158</f>
        <v>0</v>
      </c>
      <c r="W1787" s="608">
        <f t="shared" si="1181"/>
        <v>19184500</v>
      </c>
      <c r="X1787" s="608">
        <f t="shared" si="1182"/>
        <v>0</v>
      </c>
      <c r="Z1787" s="572">
        <f t="shared" si="1108"/>
        <v>0</v>
      </c>
      <c r="AA1787" s="1">
        <f t="shared" si="1109"/>
        <v>0</v>
      </c>
    </row>
    <row r="1788" spans="1:27" x14ac:dyDescent="0.2">
      <c r="A1788" s="20" t="str">
        <f>A159</f>
        <v>2.5.1.1 Élaboration du programme d'allocation pour les provinces cibles</v>
      </c>
      <c r="B1788" s="46"/>
      <c r="C1788" s="297">
        <f>C159</f>
        <v>0</v>
      </c>
      <c r="D1788" s="168">
        <f t="shared" si="1171"/>
        <v>4.5</v>
      </c>
      <c r="E1788" s="168">
        <f t="shared" si="1172"/>
        <v>0</v>
      </c>
      <c r="F1788" s="168">
        <f t="shared" si="1173"/>
        <v>0</v>
      </c>
      <c r="G1788" s="168">
        <f t="shared" si="1174"/>
        <v>0</v>
      </c>
      <c r="H1788" s="168">
        <f t="shared" si="1175"/>
        <v>0</v>
      </c>
      <c r="I1788" s="271">
        <f t="shared" si="1176"/>
        <v>4.5</v>
      </c>
      <c r="J1788" s="349" t="str">
        <f t="shared" si="1177"/>
        <v>EPS-DEP</v>
      </c>
      <c r="K1788" s="350">
        <f t="shared" si="1178"/>
        <v>0</v>
      </c>
      <c r="L1788" s="37">
        <f t="shared" ref="L1788:Q1788" si="1211">L159</f>
        <v>4500</v>
      </c>
      <c r="M1788" s="36">
        <f t="shared" si="1211"/>
        <v>0</v>
      </c>
      <c r="N1788" s="36">
        <f t="shared" si="1211"/>
        <v>0</v>
      </c>
      <c r="O1788" s="36">
        <f t="shared" si="1211"/>
        <v>0</v>
      </c>
      <c r="P1788" s="36">
        <f t="shared" si="1211"/>
        <v>0</v>
      </c>
      <c r="Q1788" s="236">
        <f t="shared" si="1211"/>
        <v>4500</v>
      </c>
      <c r="R1788" s="198" t="str">
        <f t="shared" ref="R1788:S1788" si="1212">R159</f>
        <v>EPS-DEP</v>
      </c>
      <c r="S1788" s="115">
        <f t="shared" si="1212"/>
        <v>0</v>
      </c>
      <c r="T1788" s="51">
        <f>T159</f>
        <v>0</v>
      </c>
      <c r="W1788" s="608">
        <f t="shared" si="1181"/>
        <v>4500</v>
      </c>
      <c r="X1788" s="608">
        <f t="shared" si="1182"/>
        <v>0</v>
      </c>
      <c r="Z1788" s="572">
        <f t="shared" si="1108"/>
        <v>0</v>
      </c>
      <c r="AA1788" s="1">
        <f t="shared" si="1109"/>
        <v>0</v>
      </c>
    </row>
    <row r="1789" spans="1:27" x14ac:dyDescent="0.2">
      <c r="A1789" s="20" t="str">
        <f>A161</f>
        <v>2.5.1.2 Assurer la distribution des allocations</v>
      </c>
      <c r="B1789" s="46"/>
      <c r="C1789" s="297">
        <f>C161</f>
        <v>0</v>
      </c>
      <c r="D1789" s="168">
        <f t="shared" si="1171"/>
        <v>0</v>
      </c>
      <c r="E1789" s="168">
        <f t="shared" si="1172"/>
        <v>2740</v>
      </c>
      <c r="F1789" s="168">
        <f t="shared" si="1173"/>
        <v>4110</v>
      </c>
      <c r="G1789" s="168">
        <f t="shared" si="1174"/>
        <v>5480</v>
      </c>
      <c r="H1789" s="168">
        <f t="shared" si="1175"/>
        <v>6850</v>
      </c>
      <c r="I1789" s="271">
        <f t="shared" si="1176"/>
        <v>19180</v>
      </c>
      <c r="J1789" s="349" t="str">
        <f t="shared" si="1177"/>
        <v>EPS-SECOPE</v>
      </c>
      <c r="K1789" s="350">
        <f t="shared" si="1178"/>
        <v>0</v>
      </c>
      <c r="L1789" s="37">
        <f t="shared" ref="L1789:Q1789" si="1213">L161</f>
        <v>0</v>
      </c>
      <c r="M1789" s="36">
        <f t="shared" si="1213"/>
        <v>2740000</v>
      </c>
      <c r="N1789" s="36">
        <f t="shared" si="1213"/>
        <v>4110000</v>
      </c>
      <c r="O1789" s="36">
        <f t="shared" si="1213"/>
        <v>5480000</v>
      </c>
      <c r="P1789" s="36">
        <f t="shared" si="1213"/>
        <v>6850000</v>
      </c>
      <c r="Q1789" s="236">
        <f t="shared" si="1213"/>
        <v>19180000</v>
      </c>
      <c r="R1789" s="198" t="str">
        <f t="shared" ref="R1789:S1789" si="1214">R161</f>
        <v>EPS-SECOPE</v>
      </c>
      <c r="S1789" s="115">
        <f t="shared" si="1214"/>
        <v>0</v>
      </c>
      <c r="T1789" s="51">
        <f>T161</f>
        <v>0</v>
      </c>
      <c r="W1789" s="608">
        <f t="shared" si="1181"/>
        <v>19180000</v>
      </c>
      <c r="X1789" s="608">
        <f t="shared" si="1182"/>
        <v>0</v>
      </c>
      <c r="Z1789" s="572">
        <f t="shared" si="1108"/>
        <v>0</v>
      </c>
      <c r="AA1789" s="1">
        <f t="shared" si="1109"/>
        <v>0</v>
      </c>
    </row>
    <row r="1790" spans="1:27" x14ac:dyDescent="0.2">
      <c r="A1790" s="17" t="str">
        <f>A163</f>
        <v xml:space="preserve">2.5.2 Construction de sanitaires séparés </v>
      </c>
      <c r="B1790" s="45"/>
      <c r="C1790" s="297" t="str">
        <f>C163</f>
        <v>En 2025, toutes les écoles disposent des sanitaires séparés</v>
      </c>
      <c r="D1790" s="157">
        <f t="shared" si="1171"/>
        <v>6</v>
      </c>
      <c r="E1790" s="157">
        <f t="shared" si="1172"/>
        <v>4000</v>
      </c>
      <c r="F1790" s="157">
        <f t="shared" si="1173"/>
        <v>4000</v>
      </c>
      <c r="G1790" s="157">
        <f t="shared" si="1174"/>
        <v>4000</v>
      </c>
      <c r="H1790" s="157">
        <f t="shared" si="1175"/>
        <v>4000</v>
      </c>
      <c r="I1790" s="270">
        <f t="shared" si="1176"/>
        <v>16006</v>
      </c>
      <c r="J1790" s="347">
        <f t="shared" si="1177"/>
        <v>0</v>
      </c>
      <c r="K1790" s="348">
        <f t="shared" si="1178"/>
        <v>0</v>
      </c>
      <c r="L1790" s="35">
        <f t="shared" ref="L1790:Q1790" si="1215">SUM(L1791:L1792)</f>
        <v>6000</v>
      </c>
      <c r="M1790" s="34">
        <f t="shared" si="1215"/>
        <v>4000000</v>
      </c>
      <c r="N1790" s="34">
        <f t="shared" si="1215"/>
        <v>4000000</v>
      </c>
      <c r="O1790" s="34">
        <f t="shared" si="1215"/>
        <v>4000000</v>
      </c>
      <c r="P1790" s="34">
        <f t="shared" si="1215"/>
        <v>4000000</v>
      </c>
      <c r="Q1790" s="26">
        <f t="shared" si="1215"/>
        <v>16006000</v>
      </c>
      <c r="R1790" s="209">
        <f t="shared" ref="R1790:S1790" si="1216">SUM(R1791:R1792)</f>
        <v>0</v>
      </c>
      <c r="S1790" s="116">
        <f t="shared" si="1216"/>
        <v>0</v>
      </c>
      <c r="T1790" s="50">
        <f>T163</f>
        <v>0</v>
      </c>
      <c r="W1790" s="608">
        <f t="shared" si="1181"/>
        <v>16006000</v>
      </c>
      <c r="X1790" s="608">
        <f t="shared" si="1182"/>
        <v>0</v>
      </c>
      <c r="Z1790" s="572">
        <f t="shared" si="1108"/>
        <v>0</v>
      </c>
      <c r="AA1790" s="1">
        <f t="shared" si="1109"/>
        <v>0</v>
      </c>
    </row>
    <row r="1791" spans="1:27" x14ac:dyDescent="0.2">
      <c r="A1791" s="20" t="str">
        <f>A164</f>
        <v>2.5.2.1 Recensement de la situation</v>
      </c>
      <c r="B1791" s="46"/>
      <c r="C1791" s="297">
        <f>C164</f>
        <v>0</v>
      </c>
      <c r="D1791" s="168">
        <f t="shared" si="1171"/>
        <v>6</v>
      </c>
      <c r="E1791" s="168">
        <f t="shared" si="1172"/>
        <v>0</v>
      </c>
      <c r="F1791" s="168">
        <f t="shared" si="1173"/>
        <v>0</v>
      </c>
      <c r="G1791" s="168">
        <f t="shared" si="1174"/>
        <v>0</v>
      </c>
      <c r="H1791" s="168">
        <f t="shared" si="1175"/>
        <v>0</v>
      </c>
      <c r="I1791" s="271">
        <f t="shared" si="1176"/>
        <v>6</v>
      </c>
      <c r="J1791" s="349" t="str">
        <f t="shared" si="1177"/>
        <v>EPS-DEP-DIS</v>
      </c>
      <c r="K1791" s="350" t="str">
        <f t="shared" si="1178"/>
        <v>GVT</v>
      </c>
      <c r="L1791" s="37">
        <f t="shared" ref="L1791:Q1791" si="1217">L164</f>
        <v>6000</v>
      </c>
      <c r="M1791" s="36">
        <f t="shared" si="1217"/>
        <v>0</v>
      </c>
      <c r="N1791" s="36">
        <f t="shared" si="1217"/>
        <v>0</v>
      </c>
      <c r="O1791" s="36">
        <f t="shared" si="1217"/>
        <v>0</v>
      </c>
      <c r="P1791" s="36">
        <f t="shared" si="1217"/>
        <v>0</v>
      </c>
      <c r="Q1791" s="236">
        <f t="shared" si="1217"/>
        <v>6000</v>
      </c>
      <c r="R1791" s="198" t="str">
        <f t="shared" ref="R1791:S1791" si="1218">R164</f>
        <v>EPS-DEP-DIS</v>
      </c>
      <c r="S1791" s="115" t="str">
        <f t="shared" si="1218"/>
        <v>GVT</v>
      </c>
      <c r="T1791" s="51">
        <f>T164</f>
        <v>0</v>
      </c>
      <c r="W1791" s="608">
        <f t="shared" si="1181"/>
        <v>6000</v>
      </c>
      <c r="X1791" s="608">
        <f t="shared" si="1182"/>
        <v>0</v>
      </c>
      <c r="Z1791" s="572">
        <f t="shared" si="1108"/>
        <v>0</v>
      </c>
      <c r="AA1791" s="1">
        <f t="shared" si="1109"/>
        <v>0</v>
      </c>
    </row>
    <row r="1792" spans="1:27" x14ac:dyDescent="0.2">
      <c r="A1792" s="20" t="str">
        <f>A166</f>
        <v>2.5.2.2 Mise en place du programme de construction de sanitaires séparés</v>
      </c>
      <c r="B1792" s="46"/>
      <c r="C1792" s="297">
        <f>C166</f>
        <v>0</v>
      </c>
      <c r="D1792" s="168">
        <f t="shared" si="1171"/>
        <v>0</v>
      </c>
      <c r="E1792" s="168">
        <f t="shared" si="1172"/>
        <v>4000</v>
      </c>
      <c r="F1792" s="168">
        <f t="shared" si="1173"/>
        <v>4000</v>
      </c>
      <c r="G1792" s="168">
        <f t="shared" si="1174"/>
        <v>4000</v>
      </c>
      <c r="H1792" s="168">
        <f t="shared" si="1175"/>
        <v>4000</v>
      </c>
      <c r="I1792" s="271">
        <f t="shared" si="1176"/>
        <v>16000</v>
      </c>
      <c r="J1792" s="349" t="str">
        <f t="shared" si="1177"/>
        <v>EPS-DIS</v>
      </c>
      <c r="K1792" s="350" t="str">
        <f t="shared" si="1178"/>
        <v>ND</v>
      </c>
      <c r="L1792" s="37">
        <f t="shared" ref="L1792:Q1792" si="1219">L166</f>
        <v>0</v>
      </c>
      <c r="M1792" s="36">
        <f t="shared" si="1219"/>
        <v>4000000</v>
      </c>
      <c r="N1792" s="36">
        <f t="shared" si="1219"/>
        <v>4000000</v>
      </c>
      <c r="O1792" s="36">
        <f t="shared" si="1219"/>
        <v>4000000</v>
      </c>
      <c r="P1792" s="36">
        <f t="shared" si="1219"/>
        <v>4000000</v>
      </c>
      <c r="Q1792" s="236">
        <f t="shared" si="1219"/>
        <v>16000000</v>
      </c>
      <c r="R1792" s="198" t="str">
        <f t="shared" ref="R1792:S1792" si="1220">R166</f>
        <v>EPS-DIS</v>
      </c>
      <c r="S1792" s="115" t="str">
        <f t="shared" si="1220"/>
        <v>ND</v>
      </c>
      <c r="T1792" s="51">
        <f>T166</f>
        <v>0</v>
      </c>
      <c r="W1792" s="608">
        <f t="shared" si="1181"/>
        <v>16000000</v>
      </c>
      <c r="X1792" s="608">
        <f t="shared" si="1182"/>
        <v>0</v>
      </c>
      <c r="Z1792" s="572">
        <f t="shared" si="1108"/>
        <v>0</v>
      </c>
      <c r="AA1792" s="1">
        <f t="shared" si="1109"/>
        <v>0</v>
      </c>
    </row>
    <row r="1793" spans="1:27" x14ac:dyDescent="0.2">
      <c r="A1793" s="17" t="str">
        <f>A168</f>
        <v>2.5.3 Recenser les disparités d'offre pour guider la création des écoles/classes</v>
      </c>
      <c r="B1793" s="45"/>
      <c r="C1793" s="297" t="str">
        <f>C168</f>
        <v>Des outils de carte scolaire sont mis en place dans les services provinciaux</v>
      </c>
      <c r="D1793" s="157">
        <f t="shared" si="1171"/>
        <v>20</v>
      </c>
      <c r="E1793" s="157">
        <f t="shared" si="1172"/>
        <v>14</v>
      </c>
      <c r="F1793" s="157">
        <f t="shared" si="1173"/>
        <v>0</v>
      </c>
      <c r="G1793" s="157">
        <f t="shared" si="1174"/>
        <v>0</v>
      </c>
      <c r="H1793" s="157">
        <f t="shared" si="1175"/>
        <v>0</v>
      </c>
      <c r="I1793" s="270">
        <f t="shared" si="1176"/>
        <v>34</v>
      </c>
      <c r="J1793" s="347">
        <f t="shared" si="1177"/>
        <v>0</v>
      </c>
      <c r="K1793" s="348">
        <f t="shared" si="1178"/>
        <v>0</v>
      </c>
      <c r="L1793" s="35">
        <f t="shared" ref="L1793:Q1793" si="1221">SUM(L1794:L1795)</f>
        <v>20000</v>
      </c>
      <c r="M1793" s="34">
        <f t="shared" si="1221"/>
        <v>14000</v>
      </c>
      <c r="N1793" s="34">
        <f t="shared" si="1221"/>
        <v>0</v>
      </c>
      <c r="O1793" s="34">
        <f t="shared" si="1221"/>
        <v>0</v>
      </c>
      <c r="P1793" s="34">
        <f t="shared" si="1221"/>
        <v>0</v>
      </c>
      <c r="Q1793" s="26">
        <f t="shared" si="1221"/>
        <v>34000</v>
      </c>
      <c r="R1793" s="209">
        <f t="shared" ref="R1793:S1793" si="1222">SUM(R1794:R1795)</f>
        <v>0</v>
      </c>
      <c r="S1793" s="116">
        <f t="shared" si="1222"/>
        <v>0</v>
      </c>
      <c r="T1793" s="50">
        <f>T168</f>
        <v>0</v>
      </c>
      <c r="W1793" s="608">
        <f t="shared" si="1181"/>
        <v>34000</v>
      </c>
      <c r="X1793" s="608">
        <f t="shared" si="1182"/>
        <v>0</v>
      </c>
      <c r="Z1793" s="572">
        <f t="shared" si="1108"/>
        <v>0</v>
      </c>
      <c r="AA1793" s="1">
        <f t="shared" si="1109"/>
        <v>0</v>
      </c>
    </row>
    <row r="1794" spans="1:27" x14ac:dyDescent="0.2">
      <c r="A1794" s="20" t="str">
        <f>A169</f>
        <v>2.5.3.1 Recensement de l'offre</v>
      </c>
      <c r="B1794" s="46"/>
      <c r="C1794" s="297">
        <f>C169</f>
        <v>0</v>
      </c>
      <c r="D1794" s="168">
        <f t="shared" si="1171"/>
        <v>20</v>
      </c>
      <c r="E1794" s="168">
        <f t="shared" si="1172"/>
        <v>0</v>
      </c>
      <c r="F1794" s="168">
        <f t="shared" si="1173"/>
        <v>0</v>
      </c>
      <c r="G1794" s="168">
        <f t="shared" si="1174"/>
        <v>0</v>
      </c>
      <c r="H1794" s="168">
        <f t="shared" si="1175"/>
        <v>0</v>
      </c>
      <c r="I1794" s="271">
        <f t="shared" si="1176"/>
        <v>20</v>
      </c>
      <c r="J1794" s="349" t="str">
        <f t="shared" si="1177"/>
        <v>EPS-DEP</v>
      </c>
      <c r="K1794" s="350">
        <f t="shared" si="1178"/>
        <v>0</v>
      </c>
      <c r="L1794" s="37">
        <f t="shared" ref="L1794:Q1794" si="1223">L169</f>
        <v>20000</v>
      </c>
      <c r="M1794" s="36">
        <f t="shared" si="1223"/>
        <v>0</v>
      </c>
      <c r="N1794" s="36">
        <f t="shared" si="1223"/>
        <v>0</v>
      </c>
      <c r="O1794" s="36">
        <f t="shared" si="1223"/>
        <v>0</v>
      </c>
      <c r="P1794" s="36">
        <f t="shared" si="1223"/>
        <v>0</v>
      </c>
      <c r="Q1794" s="236">
        <f t="shared" si="1223"/>
        <v>20000</v>
      </c>
      <c r="R1794" s="198" t="str">
        <f t="shared" ref="R1794:S1794" si="1224">R169</f>
        <v>EPS-DEP</v>
      </c>
      <c r="S1794" s="115">
        <f t="shared" si="1224"/>
        <v>0</v>
      </c>
      <c r="T1794" s="51">
        <f>T169</f>
        <v>0</v>
      </c>
      <c r="W1794" s="608">
        <f t="shared" si="1181"/>
        <v>20000</v>
      </c>
      <c r="X1794" s="608">
        <f t="shared" si="1182"/>
        <v>0</v>
      </c>
      <c r="Z1794" s="572">
        <f t="shared" si="1108"/>
        <v>0</v>
      </c>
      <c r="AA1794" s="1">
        <f t="shared" si="1109"/>
        <v>0</v>
      </c>
    </row>
    <row r="1795" spans="1:27" x14ac:dyDescent="0.2">
      <c r="A1795" s="20" t="str">
        <f>A172</f>
        <v>2.5.3.2 Programme de mise à niveau de la carte scolaire</v>
      </c>
      <c r="B1795" s="46"/>
      <c r="C1795" s="297">
        <f>C172</f>
        <v>0</v>
      </c>
      <c r="D1795" s="168">
        <f t="shared" si="1171"/>
        <v>0</v>
      </c>
      <c r="E1795" s="168">
        <f t="shared" si="1172"/>
        <v>14</v>
      </c>
      <c r="F1795" s="168">
        <f t="shared" si="1173"/>
        <v>0</v>
      </c>
      <c r="G1795" s="168">
        <f t="shared" si="1174"/>
        <v>0</v>
      </c>
      <c r="H1795" s="168">
        <f t="shared" si="1175"/>
        <v>0</v>
      </c>
      <c r="I1795" s="271">
        <f t="shared" si="1176"/>
        <v>14</v>
      </c>
      <c r="J1795" s="349" t="str">
        <f t="shared" si="1177"/>
        <v>EPS-DEP</v>
      </c>
      <c r="K1795" s="350">
        <f t="shared" si="1178"/>
        <v>0</v>
      </c>
      <c r="L1795" s="37">
        <f t="shared" ref="L1795:Q1795" si="1225">L172</f>
        <v>0</v>
      </c>
      <c r="M1795" s="36">
        <f t="shared" si="1225"/>
        <v>14000</v>
      </c>
      <c r="N1795" s="36">
        <f t="shared" si="1225"/>
        <v>0</v>
      </c>
      <c r="O1795" s="36">
        <f t="shared" si="1225"/>
        <v>0</v>
      </c>
      <c r="P1795" s="36">
        <f t="shared" si="1225"/>
        <v>0</v>
      </c>
      <c r="Q1795" s="236">
        <f t="shared" si="1225"/>
        <v>14000</v>
      </c>
      <c r="R1795" s="198" t="str">
        <f t="shared" ref="R1795:S1795" si="1226">R172</f>
        <v>EPS-DEP</v>
      </c>
      <c r="S1795" s="115">
        <f t="shared" si="1226"/>
        <v>0</v>
      </c>
      <c r="T1795" s="51">
        <f>T172</f>
        <v>0</v>
      </c>
      <c r="W1795" s="608">
        <f t="shared" si="1181"/>
        <v>14000</v>
      </c>
      <c r="X1795" s="608">
        <f t="shared" si="1182"/>
        <v>0</v>
      </c>
      <c r="Z1795" s="572">
        <f t="shared" si="1108"/>
        <v>0</v>
      </c>
      <c r="AA1795" s="1">
        <f t="shared" si="1109"/>
        <v>0</v>
      </c>
    </row>
    <row r="1796" spans="1:27" x14ac:dyDescent="0.2">
      <c r="A1796" s="14" t="str">
        <f>A175</f>
        <v xml:space="preserve">2.6 Matériels et équipements pédagogiques : Rendre accessibles et disponibles les manuels scolaires et le matériel didactique </v>
      </c>
      <c r="B1796" s="44"/>
      <c r="C1796" s="296">
        <f>C175</f>
        <v>0</v>
      </c>
      <c r="D1796" s="217">
        <f t="shared" si="1171"/>
        <v>2229.4</v>
      </c>
      <c r="E1796" s="217">
        <f t="shared" si="1172"/>
        <v>14835.5</v>
      </c>
      <c r="F1796" s="217">
        <f t="shared" si="1173"/>
        <v>18252.5</v>
      </c>
      <c r="G1796" s="217">
        <f t="shared" si="1174"/>
        <v>21792.5</v>
      </c>
      <c r="H1796" s="217">
        <f t="shared" si="1175"/>
        <v>25332.5</v>
      </c>
      <c r="I1796" s="273">
        <f t="shared" si="1176"/>
        <v>82442.399999999994</v>
      </c>
      <c r="J1796" s="345">
        <f t="shared" si="1177"/>
        <v>0</v>
      </c>
      <c r="K1796" s="346">
        <f t="shared" si="1178"/>
        <v>0</v>
      </c>
      <c r="L1796" s="33">
        <f t="shared" ref="L1796:Q1796" si="1227">L1797+L1803+L1807+L1810+L1800</f>
        <v>2229400</v>
      </c>
      <c r="M1796" s="32">
        <f t="shared" si="1227"/>
        <v>14835500</v>
      </c>
      <c r="N1796" s="32">
        <f t="shared" si="1227"/>
        <v>18252500</v>
      </c>
      <c r="O1796" s="32">
        <f t="shared" si="1227"/>
        <v>21792500</v>
      </c>
      <c r="P1796" s="32">
        <f t="shared" si="1227"/>
        <v>25332500</v>
      </c>
      <c r="Q1796" s="25">
        <f t="shared" si="1227"/>
        <v>82442400</v>
      </c>
      <c r="R1796" s="16">
        <f t="shared" ref="R1796:S1796" si="1228">R1797+R1803+R1807+R1810+R1800</f>
        <v>0</v>
      </c>
      <c r="S1796" s="15">
        <f t="shared" si="1228"/>
        <v>0</v>
      </c>
      <c r="T1796" s="112">
        <f>T175</f>
        <v>2</v>
      </c>
      <c r="W1796" s="608">
        <f t="shared" si="1181"/>
        <v>82442400</v>
      </c>
      <c r="X1796" s="608">
        <f t="shared" si="1182"/>
        <v>0</v>
      </c>
      <c r="Z1796" s="572">
        <f t="shared" si="1108"/>
        <v>0</v>
      </c>
      <c r="AA1796" s="1">
        <f t="shared" si="1109"/>
        <v>0</v>
      </c>
    </row>
    <row r="1797" spans="1:27" x14ac:dyDescent="0.2">
      <c r="A1797" s="17" t="str">
        <f>A176</f>
        <v>2.6.1 Équipements pédagogiques</v>
      </c>
      <c r="B1797" s="45"/>
      <c r="C1797" s="297" t="str">
        <f>C176</f>
        <v>En 2025, toutes les écoles disposent de matériels pédagogiques</v>
      </c>
      <c r="D1797" s="157">
        <f t="shared" si="1171"/>
        <v>21</v>
      </c>
      <c r="E1797" s="157">
        <f t="shared" si="1172"/>
        <v>3440</v>
      </c>
      <c r="F1797" s="157">
        <f t="shared" si="1173"/>
        <v>3980</v>
      </c>
      <c r="G1797" s="157">
        <f t="shared" si="1174"/>
        <v>4520</v>
      </c>
      <c r="H1797" s="157">
        <f t="shared" si="1175"/>
        <v>5060</v>
      </c>
      <c r="I1797" s="270">
        <f t="shared" si="1176"/>
        <v>17021</v>
      </c>
      <c r="J1797" s="347">
        <f t="shared" si="1177"/>
        <v>0</v>
      </c>
      <c r="K1797" s="348">
        <f t="shared" si="1178"/>
        <v>0</v>
      </c>
      <c r="L1797" s="35">
        <f t="shared" ref="L1797:Q1797" si="1229">SUM(L1798:L1799)</f>
        <v>21000</v>
      </c>
      <c r="M1797" s="34">
        <f t="shared" si="1229"/>
        <v>3440000</v>
      </c>
      <c r="N1797" s="34">
        <f t="shared" si="1229"/>
        <v>3980000</v>
      </c>
      <c r="O1797" s="34">
        <f t="shared" si="1229"/>
        <v>4520000</v>
      </c>
      <c r="P1797" s="34">
        <f t="shared" si="1229"/>
        <v>5060000</v>
      </c>
      <c r="Q1797" s="26">
        <f t="shared" si="1229"/>
        <v>17021000</v>
      </c>
      <c r="R1797" s="19">
        <f t="shared" ref="R1797:S1797" si="1230">SUM(R1798:R1799)</f>
        <v>0</v>
      </c>
      <c r="S1797" s="18">
        <f t="shared" si="1230"/>
        <v>0</v>
      </c>
      <c r="T1797" s="51">
        <f>T176</f>
        <v>0</v>
      </c>
      <c r="W1797" s="608">
        <f t="shared" si="1181"/>
        <v>17021000</v>
      </c>
      <c r="X1797" s="608">
        <f t="shared" si="1182"/>
        <v>0</v>
      </c>
      <c r="Z1797" s="572">
        <f t="shared" si="1108"/>
        <v>0</v>
      </c>
      <c r="AA1797" s="1">
        <f t="shared" si="1109"/>
        <v>0</v>
      </c>
    </row>
    <row r="1798" spans="1:27" x14ac:dyDescent="0.2">
      <c r="A1798" s="20" t="str">
        <f>A177</f>
        <v>2.6.1.1 Définition d'un kit minimal en matériel pédagogique pour une classe et une école</v>
      </c>
      <c r="B1798" s="46"/>
      <c r="C1798" s="297">
        <f>C177</f>
        <v>0</v>
      </c>
      <c r="D1798" s="168">
        <f t="shared" si="1171"/>
        <v>21</v>
      </c>
      <c r="E1798" s="168">
        <f t="shared" si="1172"/>
        <v>0</v>
      </c>
      <c r="F1798" s="168">
        <f t="shared" si="1173"/>
        <v>0</v>
      </c>
      <c r="G1798" s="168">
        <f t="shared" si="1174"/>
        <v>0</v>
      </c>
      <c r="H1798" s="168">
        <f t="shared" si="1175"/>
        <v>0</v>
      </c>
      <c r="I1798" s="271">
        <f t="shared" si="1176"/>
        <v>21</v>
      </c>
      <c r="J1798" s="349" t="str">
        <f t="shared" si="1177"/>
        <v>EPS-DIPROMAD</v>
      </c>
      <c r="K1798" s="350" t="str">
        <f t="shared" si="1178"/>
        <v>GVT</v>
      </c>
      <c r="L1798" s="37">
        <f t="shared" ref="L1798:Q1798" si="1231">L177</f>
        <v>21000</v>
      </c>
      <c r="M1798" s="36">
        <f t="shared" si="1231"/>
        <v>0</v>
      </c>
      <c r="N1798" s="36">
        <f t="shared" si="1231"/>
        <v>0</v>
      </c>
      <c r="O1798" s="36">
        <f t="shared" si="1231"/>
        <v>0</v>
      </c>
      <c r="P1798" s="36">
        <f t="shared" si="1231"/>
        <v>0</v>
      </c>
      <c r="Q1798" s="236">
        <f t="shared" si="1231"/>
        <v>21000</v>
      </c>
      <c r="R1798" s="198" t="str">
        <f t="shared" ref="R1798:S1798" si="1232">R177</f>
        <v>EPS-DIPROMAD</v>
      </c>
      <c r="S1798" s="147" t="str">
        <f t="shared" si="1232"/>
        <v>GVT</v>
      </c>
      <c r="T1798" s="51">
        <f>T177</f>
        <v>0</v>
      </c>
      <c r="W1798" s="608">
        <f t="shared" si="1181"/>
        <v>21000</v>
      </c>
      <c r="X1798" s="608">
        <f t="shared" si="1182"/>
        <v>0</v>
      </c>
      <c r="Z1798" s="572">
        <f t="shared" si="1108"/>
        <v>0</v>
      </c>
      <c r="AA1798" s="1">
        <f t="shared" si="1109"/>
        <v>0</v>
      </c>
    </row>
    <row r="1799" spans="1:27" x14ac:dyDescent="0.2">
      <c r="A1799" s="20" t="str">
        <f>A180</f>
        <v>2.6.1.2 Production, acquisition et distribution du matériel pédagogique</v>
      </c>
      <c r="B1799" s="46"/>
      <c r="C1799" s="297">
        <f>C180</f>
        <v>0</v>
      </c>
      <c r="D1799" s="168">
        <f t="shared" si="1171"/>
        <v>0</v>
      </c>
      <c r="E1799" s="168">
        <f t="shared" si="1172"/>
        <v>3440</v>
      </c>
      <c r="F1799" s="168">
        <f t="shared" si="1173"/>
        <v>3980</v>
      </c>
      <c r="G1799" s="168">
        <f t="shared" si="1174"/>
        <v>4520</v>
      </c>
      <c r="H1799" s="168">
        <f t="shared" si="1175"/>
        <v>5060</v>
      </c>
      <c r="I1799" s="271">
        <f t="shared" si="1176"/>
        <v>17000</v>
      </c>
      <c r="J1799" s="349" t="str">
        <f t="shared" si="1177"/>
        <v>EPS-DIPROMAD</v>
      </c>
      <c r="K1799" s="350" t="str">
        <f t="shared" si="1178"/>
        <v>ND</v>
      </c>
      <c r="L1799" s="37">
        <f t="shared" ref="L1799:Q1799" si="1233">L180</f>
        <v>0</v>
      </c>
      <c r="M1799" s="36">
        <f t="shared" si="1233"/>
        <v>3440000</v>
      </c>
      <c r="N1799" s="36">
        <f t="shared" si="1233"/>
        <v>3980000</v>
      </c>
      <c r="O1799" s="36">
        <f t="shared" si="1233"/>
        <v>4520000</v>
      </c>
      <c r="P1799" s="36">
        <f t="shared" si="1233"/>
        <v>5060000</v>
      </c>
      <c r="Q1799" s="236">
        <f t="shared" si="1233"/>
        <v>17000000</v>
      </c>
      <c r="R1799" s="198" t="str">
        <f t="shared" ref="R1799:S1799" si="1234">R180</f>
        <v>EPS-DIPROMAD</v>
      </c>
      <c r="S1799" s="115" t="str">
        <f t="shared" si="1234"/>
        <v>ND</v>
      </c>
      <c r="T1799" s="51">
        <f>T180</f>
        <v>0</v>
      </c>
      <c r="W1799" s="608">
        <f t="shared" si="1181"/>
        <v>17000000</v>
      </c>
      <c r="X1799" s="608">
        <f t="shared" si="1182"/>
        <v>0</v>
      </c>
      <c r="Z1799" s="572">
        <f t="shared" si="1108"/>
        <v>0</v>
      </c>
      <c r="AA1799" s="1">
        <f t="shared" si="1109"/>
        <v>0</v>
      </c>
    </row>
    <row r="1800" spans="1:27" x14ac:dyDescent="0.2">
      <c r="A1800" s="17" t="str">
        <f>A182</f>
        <v>2.6.2 Manuels scolaires pour le primaire</v>
      </c>
      <c r="B1800" s="45"/>
      <c r="C1800" s="297" t="str">
        <f>C182</f>
        <v xml:space="preserve">En 2025, tous les enfants disposent de 3 manuels </v>
      </c>
      <c r="D1800" s="157">
        <f t="shared" si="1171"/>
        <v>0</v>
      </c>
      <c r="E1800" s="157">
        <f t="shared" si="1172"/>
        <v>9004.5</v>
      </c>
      <c r="F1800" s="157">
        <f t="shared" si="1173"/>
        <v>12004.5</v>
      </c>
      <c r="G1800" s="157">
        <f t="shared" si="1174"/>
        <v>15004.5</v>
      </c>
      <c r="H1800" s="157">
        <f t="shared" si="1175"/>
        <v>18004.5</v>
      </c>
      <c r="I1800" s="270">
        <f t="shared" si="1176"/>
        <v>54018</v>
      </c>
      <c r="J1800" s="347">
        <f t="shared" si="1177"/>
        <v>0</v>
      </c>
      <c r="K1800" s="348">
        <f t="shared" si="1178"/>
        <v>0</v>
      </c>
      <c r="L1800" s="35">
        <f t="shared" ref="L1800:Q1800" si="1235">SUM(L1801:L1802)</f>
        <v>0</v>
      </c>
      <c r="M1800" s="34">
        <f t="shared" si="1235"/>
        <v>9004500</v>
      </c>
      <c r="N1800" s="34">
        <f t="shared" si="1235"/>
        <v>12004500</v>
      </c>
      <c r="O1800" s="34">
        <f t="shared" si="1235"/>
        <v>15004500</v>
      </c>
      <c r="P1800" s="34">
        <f t="shared" si="1235"/>
        <v>18004500</v>
      </c>
      <c r="Q1800" s="26">
        <f t="shared" si="1235"/>
        <v>54018000</v>
      </c>
      <c r="R1800" s="19">
        <f t="shared" ref="R1800:S1800" si="1236">SUM(R1801:R1802)</f>
        <v>0</v>
      </c>
      <c r="S1800" s="18">
        <f t="shared" si="1236"/>
        <v>0</v>
      </c>
      <c r="T1800" s="51">
        <f>T182</f>
        <v>0</v>
      </c>
      <c r="W1800" s="608">
        <f t="shared" si="1181"/>
        <v>54018000</v>
      </c>
      <c r="X1800" s="608">
        <f t="shared" si="1182"/>
        <v>0</v>
      </c>
      <c r="Z1800" s="572">
        <f t="shared" si="1108"/>
        <v>0</v>
      </c>
      <c r="AA1800" s="1">
        <f t="shared" si="1109"/>
        <v>0</v>
      </c>
    </row>
    <row r="1801" spans="1:27" x14ac:dyDescent="0.2">
      <c r="A1801" s="20" t="str">
        <f>A183</f>
        <v>2.6.2.2 Acquisition et distribution de manuels scolaires</v>
      </c>
      <c r="B1801" s="46"/>
      <c r="C1801" s="297">
        <f>C183</f>
        <v>0</v>
      </c>
      <c r="D1801" s="168">
        <f t="shared" si="1171"/>
        <v>0</v>
      </c>
      <c r="E1801" s="168">
        <f t="shared" si="1172"/>
        <v>9000</v>
      </c>
      <c r="F1801" s="168">
        <f t="shared" si="1173"/>
        <v>12000</v>
      </c>
      <c r="G1801" s="168">
        <f t="shared" si="1174"/>
        <v>15000</v>
      </c>
      <c r="H1801" s="168">
        <f t="shared" si="1175"/>
        <v>18000</v>
      </c>
      <c r="I1801" s="271">
        <f t="shared" si="1176"/>
        <v>54000</v>
      </c>
      <c r="J1801" s="349" t="str">
        <f t="shared" si="1177"/>
        <v>EPS-DIPROMAD</v>
      </c>
      <c r="K1801" s="350">
        <f t="shared" si="1178"/>
        <v>0</v>
      </c>
      <c r="L1801" s="37">
        <f t="shared" ref="L1801:Q1801" si="1237">L183</f>
        <v>0</v>
      </c>
      <c r="M1801" s="36">
        <f t="shared" si="1237"/>
        <v>9000000</v>
      </c>
      <c r="N1801" s="36">
        <f t="shared" si="1237"/>
        <v>12000000</v>
      </c>
      <c r="O1801" s="36">
        <f t="shared" si="1237"/>
        <v>15000000</v>
      </c>
      <c r="P1801" s="36">
        <f t="shared" si="1237"/>
        <v>18000000</v>
      </c>
      <c r="Q1801" s="236">
        <f t="shared" si="1237"/>
        <v>54000000</v>
      </c>
      <c r="R1801" s="198" t="str">
        <f t="shared" ref="R1801:S1801" si="1238">R183</f>
        <v>EPS-DIPROMAD</v>
      </c>
      <c r="S1801" s="197">
        <f t="shared" si="1238"/>
        <v>0</v>
      </c>
      <c r="T1801" s="51">
        <f>T183</f>
        <v>0</v>
      </c>
      <c r="W1801" s="608">
        <f t="shared" si="1181"/>
        <v>54000000</v>
      </c>
      <c r="X1801" s="608">
        <f t="shared" si="1182"/>
        <v>0</v>
      </c>
      <c r="Z1801" s="572">
        <f t="shared" si="1108"/>
        <v>0</v>
      </c>
      <c r="AA1801" s="1">
        <f t="shared" si="1109"/>
        <v>0</v>
      </c>
    </row>
    <row r="1802" spans="1:27" x14ac:dyDescent="0.2">
      <c r="A1802" s="20" t="str">
        <f>A185</f>
        <v>2.6.2.3 Suivi de distribution des manuels scolaires</v>
      </c>
      <c r="B1802" s="108"/>
      <c r="C1802" s="297">
        <f>C185</f>
        <v>0</v>
      </c>
      <c r="D1802" s="168">
        <f t="shared" si="1171"/>
        <v>0</v>
      </c>
      <c r="E1802" s="168">
        <f t="shared" si="1172"/>
        <v>4.5</v>
      </c>
      <c r="F1802" s="168">
        <f t="shared" si="1173"/>
        <v>4.5</v>
      </c>
      <c r="G1802" s="168">
        <f t="shared" si="1174"/>
        <v>4.5</v>
      </c>
      <c r="H1802" s="168">
        <f t="shared" si="1175"/>
        <v>4.5</v>
      </c>
      <c r="I1802" s="271">
        <f t="shared" si="1176"/>
        <v>18</v>
      </c>
      <c r="J1802" s="349" t="str">
        <f t="shared" si="1177"/>
        <v>EPS-DIPROMAD-PROVED</v>
      </c>
      <c r="K1802" s="350" t="str">
        <f t="shared" si="1178"/>
        <v>ND</v>
      </c>
      <c r="L1802" s="37">
        <f t="shared" ref="L1802:Q1802" si="1239">L185</f>
        <v>0</v>
      </c>
      <c r="M1802" s="36">
        <f t="shared" si="1239"/>
        <v>4500</v>
      </c>
      <c r="N1802" s="36">
        <f t="shared" si="1239"/>
        <v>4500</v>
      </c>
      <c r="O1802" s="36">
        <f t="shared" si="1239"/>
        <v>4500</v>
      </c>
      <c r="P1802" s="36">
        <f t="shared" si="1239"/>
        <v>4500</v>
      </c>
      <c r="Q1802" s="236">
        <f t="shared" si="1239"/>
        <v>18000</v>
      </c>
      <c r="R1802" s="198" t="str">
        <f t="shared" ref="R1802:S1802" si="1240">R185</f>
        <v>EPS-DIPROMAD-PROVED</v>
      </c>
      <c r="S1802" s="197" t="str">
        <f t="shared" si="1240"/>
        <v>ND</v>
      </c>
      <c r="T1802" s="51">
        <f>T185</f>
        <v>0</v>
      </c>
      <c r="W1802" s="608">
        <f t="shared" si="1181"/>
        <v>18000</v>
      </c>
      <c r="X1802" s="608">
        <f t="shared" si="1182"/>
        <v>0</v>
      </c>
      <c r="Z1802" s="572">
        <f t="shared" ref="Z1802:Z1865" si="1241">IF($Y1802="P",$I1802,)</f>
        <v>0</v>
      </c>
      <c r="AA1802" s="1">
        <f t="shared" ref="AA1802:AA1865" si="1242">IF($Y1802="G",$I1802,)</f>
        <v>0</v>
      </c>
    </row>
    <row r="1803" spans="1:27" x14ac:dyDescent="0.2">
      <c r="A1803" s="17" t="str">
        <f>A187</f>
        <v>2.6.3 Plaquettes sur l'éducation à la gestion, l'éducation à la paix et la citoyenneté</v>
      </c>
      <c r="B1803" s="45"/>
      <c r="C1803" s="297" t="str">
        <f>C187</f>
        <v>A partir de 2017, toutes les écoles disposent de la documentation</v>
      </c>
      <c r="D1803" s="157">
        <f t="shared" si="1171"/>
        <v>10.199999999999999</v>
      </c>
      <c r="E1803" s="157">
        <f t="shared" si="1172"/>
        <v>123</v>
      </c>
      <c r="F1803" s="157">
        <f t="shared" si="1173"/>
        <v>0</v>
      </c>
      <c r="G1803" s="157">
        <f t="shared" si="1174"/>
        <v>0</v>
      </c>
      <c r="H1803" s="157">
        <f t="shared" si="1175"/>
        <v>0</v>
      </c>
      <c r="I1803" s="270">
        <f t="shared" si="1176"/>
        <v>133.19999999999999</v>
      </c>
      <c r="J1803" s="347">
        <f t="shared" si="1177"/>
        <v>0</v>
      </c>
      <c r="K1803" s="348">
        <f t="shared" si="1178"/>
        <v>0</v>
      </c>
      <c r="L1803" s="35">
        <f t="shared" ref="L1803:Q1803" si="1243">SUM(L1804:L1806)</f>
        <v>10200</v>
      </c>
      <c r="M1803" s="34">
        <f t="shared" si="1243"/>
        <v>123000</v>
      </c>
      <c r="N1803" s="34">
        <f t="shared" si="1243"/>
        <v>0</v>
      </c>
      <c r="O1803" s="34">
        <f t="shared" si="1243"/>
        <v>0</v>
      </c>
      <c r="P1803" s="34">
        <f t="shared" si="1243"/>
        <v>0</v>
      </c>
      <c r="Q1803" s="26">
        <f t="shared" si="1243"/>
        <v>133200</v>
      </c>
      <c r="R1803" s="19">
        <f t="shared" ref="R1803:S1803" si="1244">SUM(R1804:R1806)</f>
        <v>0</v>
      </c>
      <c r="S1803" s="18">
        <f t="shared" si="1244"/>
        <v>0</v>
      </c>
      <c r="T1803" s="47">
        <f>T187</f>
        <v>0</v>
      </c>
      <c r="W1803" s="608">
        <f t="shared" si="1181"/>
        <v>133200</v>
      </c>
      <c r="X1803" s="608">
        <f t="shared" si="1182"/>
        <v>0</v>
      </c>
      <c r="Z1803" s="572">
        <f t="shared" si="1241"/>
        <v>0</v>
      </c>
      <c r="AA1803" s="1">
        <f t="shared" si="1242"/>
        <v>0</v>
      </c>
    </row>
    <row r="1804" spans="1:27" x14ac:dyDescent="0.2">
      <c r="A1804" s="20" t="str">
        <f>A188</f>
        <v>2.6.3.1 Élaboration de plaquettes sur l'éducation à la gestion, l'éducation à la paix et à la citoyenneté</v>
      </c>
      <c r="B1804" s="46"/>
      <c r="C1804" s="297">
        <f>C188</f>
        <v>0</v>
      </c>
      <c r="D1804" s="168">
        <f t="shared" si="1171"/>
        <v>10.199999999999999</v>
      </c>
      <c r="E1804" s="168">
        <f t="shared" si="1172"/>
        <v>0</v>
      </c>
      <c r="F1804" s="168">
        <f t="shared" si="1173"/>
        <v>0</v>
      </c>
      <c r="G1804" s="168">
        <f t="shared" si="1174"/>
        <v>0</v>
      </c>
      <c r="H1804" s="168">
        <f t="shared" si="1175"/>
        <v>0</v>
      </c>
      <c r="I1804" s="271">
        <f t="shared" si="1176"/>
        <v>10.199999999999999</v>
      </c>
      <c r="J1804" s="349" t="str">
        <f t="shared" si="1177"/>
        <v>EPSINC/MAS-DGENF</v>
      </c>
      <c r="K1804" s="350" t="str">
        <f t="shared" si="1178"/>
        <v>ND</v>
      </c>
      <c r="L1804" s="37">
        <f t="shared" ref="L1804:Q1804" si="1245">L188</f>
        <v>10200</v>
      </c>
      <c r="M1804" s="36">
        <f t="shared" si="1245"/>
        <v>0</v>
      </c>
      <c r="N1804" s="36">
        <f t="shared" si="1245"/>
        <v>0</v>
      </c>
      <c r="O1804" s="36">
        <f t="shared" si="1245"/>
        <v>0</v>
      </c>
      <c r="P1804" s="36">
        <f t="shared" si="1245"/>
        <v>0</v>
      </c>
      <c r="Q1804" s="236">
        <f t="shared" si="1245"/>
        <v>10200</v>
      </c>
      <c r="R1804" s="198" t="str">
        <f t="shared" ref="R1804:S1804" si="1246">R188</f>
        <v>EPSINC/MAS-DGENF</v>
      </c>
      <c r="S1804" s="197" t="str">
        <f t="shared" si="1246"/>
        <v>ND</v>
      </c>
      <c r="T1804" s="51">
        <f>T188</f>
        <v>0</v>
      </c>
      <c r="W1804" s="608">
        <f t="shared" si="1181"/>
        <v>10200</v>
      </c>
      <c r="X1804" s="608">
        <f t="shared" si="1182"/>
        <v>0</v>
      </c>
      <c r="Z1804" s="572">
        <f t="shared" si="1241"/>
        <v>0</v>
      </c>
      <c r="AA1804" s="1">
        <f t="shared" si="1242"/>
        <v>0</v>
      </c>
    </row>
    <row r="1805" spans="1:27" x14ac:dyDescent="0.2">
      <c r="A1805" s="20" t="str">
        <f>A192</f>
        <v xml:space="preserve">2.6.3.2 Acquisition et distribution des plaquettes </v>
      </c>
      <c r="B1805" s="46"/>
      <c r="C1805" s="297">
        <f>C192</f>
        <v>0</v>
      </c>
      <c r="D1805" s="168">
        <f t="shared" si="1171"/>
        <v>0</v>
      </c>
      <c r="E1805" s="168">
        <f t="shared" si="1172"/>
        <v>90</v>
      </c>
      <c r="F1805" s="168">
        <f t="shared" si="1173"/>
        <v>0</v>
      </c>
      <c r="G1805" s="168">
        <f t="shared" si="1174"/>
        <v>0</v>
      </c>
      <c r="H1805" s="168">
        <f t="shared" si="1175"/>
        <v>0</v>
      </c>
      <c r="I1805" s="271">
        <f t="shared" si="1176"/>
        <v>90</v>
      </c>
      <c r="J1805" s="349" t="str">
        <f t="shared" si="1177"/>
        <v>EPS-DIPROMAD</v>
      </c>
      <c r="K1805" s="350" t="str">
        <f t="shared" si="1178"/>
        <v>ND</v>
      </c>
      <c r="L1805" s="37">
        <f t="shared" ref="L1805:Q1805" si="1247">L192</f>
        <v>0</v>
      </c>
      <c r="M1805" s="36">
        <f t="shared" si="1247"/>
        <v>90000</v>
      </c>
      <c r="N1805" s="36">
        <f t="shared" si="1247"/>
        <v>0</v>
      </c>
      <c r="O1805" s="36">
        <f t="shared" si="1247"/>
        <v>0</v>
      </c>
      <c r="P1805" s="36">
        <f t="shared" si="1247"/>
        <v>0</v>
      </c>
      <c r="Q1805" s="236">
        <f t="shared" si="1247"/>
        <v>90000</v>
      </c>
      <c r="R1805" s="198" t="str">
        <f t="shared" ref="R1805:S1805" si="1248">R192</f>
        <v>EPS-DIPROMAD</v>
      </c>
      <c r="S1805" s="197" t="str">
        <f t="shared" si="1248"/>
        <v>ND</v>
      </c>
      <c r="T1805" s="51">
        <f>T192</f>
        <v>0</v>
      </c>
      <c r="W1805" s="608">
        <f t="shared" si="1181"/>
        <v>90000</v>
      </c>
      <c r="X1805" s="608">
        <f t="shared" si="1182"/>
        <v>0</v>
      </c>
      <c r="Z1805" s="572">
        <f t="shared" si="1241"/>
        <v>0</v>
      </c>
      <c r="AA1805" s="1">
        <f t="shared" si="1242"/>
        <v>0</v>
      </c>
    </row>
    <row r="1806" spans="1:27" x14ac:dyDescent="0.2">
      <c r="A1806" s="20" t="str">
        <f>A194</f>
        <v>2.6.3.3 Formation à l'utilisation des plaquettes</v>
      </c>
      <c r="B1806" s="46"/>
      <c r="C1806" s="297">
        <f>C194</f>
        <v>0</v>
      </c>
      <c r="D1806" s="168">
        <f t="shared" si="1171"/>
        <v>0</v>
      </c>
      <c r="E1806" s="168">
        <f t="shared" si="1172"/>
        <v>33</v>
      </c>
      <c r="F1806" s="168">
        <f t="shared" si="1173"/>
        <v>0</v>
      </c>
      <c r="G1806" s="168">
        <f t="shared" si="1174"/>
        <v>0</v>
      </c>
      <c r="H1806" s="168">
        <f t="shared" si="1175"/>
        <v>0</v>
      </c>
      <c r="I1806" s="271">
        <f t="shared" si="1176"/>
        <v>33</v>
      </c>
      <c r="J1806" s="349" t="str">
        <f t="shared" si="1177"/>
        <v>EPS-SERNAFOR-INC</v>
      </c>
      <c r="K1806" s="350" t="str">
        <f t="shared" si="1178"/>
        <v>GVT</v>
      </c>
      <c r="L1806" s="37">
        <f t="shared" ref="L1806:Q1806" si="1249">L194</f>
        <v>0</v>
      </c>
      <c r="M1806" s="36">
        <f t="shared" si="1249"/>
        <v>33000</v>
      </c>
      <c r="N1806" s="36">
        <f t="shared" si="1249"/>
        <v>0</v>
      </c>
      <c r="O1806" s="36">
        <f t="shared" si="1249"/>
        <v>0</v>
      </c>
      <c r="P1806" s="36">
        <f t="shared" si="1249"/>
        <v>0</v>
      </c>
      <c r="Q1806" s="236">
        <f t="shared" si="1249"/>
        <v>33000</v>
      </c>
      <c r="R1806" s="198" t="str">
        <f t="shared" ref="R1806:S1806" si="1250">R194</f>
        <v>EPS-SERNAFOR-INC</v>
      </c>
      <c r="S1806" s="197" t="str">
        <f t="shared" si="1250"/>
        <v>GVT</v>
      </c>
      <c r="T1806" s="51">
        <f>T194</f>
        <v>0</v>
      </c>
      <c r="W1806" s="608">
        <f t="shared" si="1181"/>
        <v>33000</v>
      </c>
      <c r="X1806" s="608">
        <f t="shared" si="1182"/>
        <v>0</v>
      </c>
      <c r="Z1806" s="572">
        <f t="shared" si="1241"/>
        <v>0</v>
      </c>
      <c r="AA1806" s="1">
        <f t="shared" si="1242"/>
        <v>0</v>
      </c>
    </row>
    <row r="1807" spans="1:27" x14ac:dyDescent="0.2">
      <c r="A1807" s="17" t="str">
        <f>A196</f>
        <v>2.6.4 Guides pédagogiques pour les enseignants</v>
      </c>
      <c r="B1807" s="45"/>
      <c r="C1807" s="297">
        <f>C196</f>
        <v>0</v>
      </c>
      <c r="D1807" s="157">
        <f t="shared" si="1171"/>
        <v>10.199999999999999</v>
      </c>
      <c r="E1807" s="157">
        <f t="shared" si="1172"/>
        <v>80</v>
      </c>
      <c r="F1807" s="157">
        <f t="shared" si="1173"/>
        <v>80</v>
      </c>
      <c r="G1807" s="157">
        <f t="shared" si="1174"/>
        <v>80</v>
      </c>
      <c r="H1807" s="157">
        <f t="shared" si="1175"/>
        <v>80</v>
      </c>
      <c r="I1807" s="270">
        <f t="shared" si="1176"/>
        <v>330.2</v>
      </c>
      <c r="J1807" s="347">
        <f t="shared" si="1177"/>
        <v>0</v>
      </c>
      <c r="K1807" s="348">
        <f t="shared" si="1178"/>
        <v>0</v>
      </c>
      <c r="L1807" s="35">
        <f t="shared" ref="L1807:Q1807" si="1251">SUM(L1808:L1809)</f>
        <v>10200</v>
      </c>
      <c r="M1807" s="34">
        <f t="shared" si="1251"/>
        <v>80000</v>
      </c>
      <c r="N1807" s="34">
        <f t="shared" si="1251"/>
        <v>80000</v>
      </c>
      <c r="O1807" s="34">
        <f t="shared" si="1251"/>
        <v>80000</v>
      </c>
      <c r="P1807" s="34">
        <f t="shared" si="1251"/>
        <v>80000</v>
      </c>
      <c r="Q1807" s="26">
        <f t="shared" si="1251"/>
        <v>330200</v>
      </c>
      <c r="R1807" s="19">
        <f t="shared" ref="R1807:S1807" si="1252">SUM(R1808:R1809)</f>
        <v>0</v>
      </c>
      <c r="S1807" s="18">
        <f t="shared" si="1252"/>
        <v>0</v>
      </c>
      <c r="T1807" s="51" t="str">
        <f>T196</f>
        <v>En 2025, tous les enseignants du préscolaire au 1er cycle secondaire disposent de 2 guides</v>
      </c>
      <c r="W1807" s="608">
        <f t="shared" si="1181"/>
        <v>330200</v>
      </c>
      <c r="X1807" s="608">
        <f t="shared" si="1182"/>
        <v>0</v>
      </c>
      <c r="Z1807" s="572">
        <f t="shared" si="1241"/>
        <v>0</v>
      </c>
      <c r="AA1807" s="1">
        <f t="shared" si="1242"/>
        <v>0</v>
      </c>
    </row>
    <row r="1808" spans="1:27" x14ac:dyDescent="0.2">
      <c r="A1808" s="20" t="str">
        <f>A197</f>
        <v>2.6.4.1 Élaboration des guides pédagogiques</v>
      </c>
      <c r="B1808" s="46"/>
      <c r="C1808" s="297">
        <f>C197</f>
        <v>0</v>
      </c>
      <c r="D1808" s="168">
        <f t="shared" si="1171"/>
        <v>10.199999999999999</v>
      </c>
      <c r="E1808" s="168">
        <f t="shared" si="1172"/>
        <v>0</v>
      </c>
      <c r="F1808" s="168">
        <f t="shared" si="1173"/>
        <v>0</v>
      </c>
      <c r="G1808" s="168">
        <f t="shared" si="1174"/>
        <v>0</v>
      </c>
      <c r="H1808" s="168">
        <f t="shared" si="1175"/>
        <v>0</v>
      </c>
      <c r="I1808" s="271">
        <f t="shared" si="1176"/>
        <v>10.199999999999999</v>
      </c>
      <c r="J1808" s="349" t="str">
        <f t="shared" si="1177"/>
        <v>EPS-DIPROMAD</v>
      </c>
      <c r="K1808" s="350" t="str">
        <f t="shared" si="1178"/>
        <v>UNICEF/BM</v>
      </c>
      <c r="L1808" s="37">
        <f t="shared" ref="L1808:Q1808" si="1253">L197</f>
        <v>10200</v>
      </c>
      <c r="M1808" s="36">
        <f t="shared" si="1253"/>
        <v>0</v>
      </c>
      <c r="N1808" s="36">
        <f t="shared" si="1253"/>
        <v>0</v>
      </c>
      <c r="O1808" s="36">
        <f t="shared" si="1253"/>
        <v>0</v>
      </c>
      <c r="P1808" s="36">
        <f t="shared" si="1253"/>
        <v>0</v>
      </c>
      <c r="Q1808" s="236">
        <f t="shared" si="1253"/>
        <v>10200</v>
      </c>
      <c r="R1808" s="198" t="str">
        <f t="shared" ref="R1808:S1808" si="1254">R197</f>
        <v>EPS-DIPROMAD</v>
      </c>
      <c r="S1808" s="197" t="str">
        <f t="shared" si="1254"/>
        <v>UNICEF/BM</v>
      </c>
      <c r="T1808" s="51">
        <f>T197</f>
        <v>0</v>
      </c>
      <c r="W1808" s="608">
        <f t="shared" si="1181"/>
        <v>10200</v>
      </c>
      <c r="X1808" s="608">
        <f t="shared" si="1182"/>
        <v>0</v>
      </c>
      <c r="Z1808" s="572">
        <f t="shared" si="1241"/>
        <v>0</v>
      </c>
      <c r="AA1808" s="1">
        <f t="shared" si="1242"/>
        <v>0</v>
      </c>
    </row>
    <row r="1809" spans="1:27" x14ac:dyDescent="0.2">
      <c r="A1809" s="20" t="str">
        <f>A201</f>
        <v>2.6.4.2 Production et distribution des guides pédagogiques</v>
      </c>
      <c r="B1809" s="46"/>
      <c r="C1809" s="297">
        <f>C201</f>
        <v>0</v>
      </c>
      <c r="D1809" s="168">
        <f t="shared" si="1171"/>
        <v>0</v>
      </c>
      <c r="E1809" s="168">
        <f t="shared" si="1172"/>
        <v>80</v>
      </c>
      <c r="F1809" s="168">
        <f t="shared" si="1173"/>
        <v>80</v>
      </c>
      <c r="G1809" s="168">
        <f t="shared" si="1174"/>
        <v>80</v>
      </c>
      <c r="H1809" s="168">
        <f t="shared" si="1175"/>
        <v>80</v>
      </c>
      <c r="I1809" s="271">
        <f t="shared" si="1176"/>
        <v>320</v>
      </c>
      <c r="J1809" s="349" t="str">
        <f t="shared" si="1177"/>
        <v>EPS-SERNAFOR</v>
      </c>
      <c r="K1809" s="350" t="str">
        <f t="shared" si="1178"/>
        <v>UNICEF/BM</v>
      </c>
      <c r="L1809" s="37">
        <f t="shared" ref="L1809:Q1809" si="1255">L201</f>
        <v>0</v>
      </c>
      <c r="M1809" s="36">
        <f t="shared" si="1255"/>
        <v>80000</v>
      </c>
      <c r="N1809" s="36">
        <f t="shared" si="1255"/>
        <v>80000</v>
      </c>
      <c r="O1809" s="36">
        <f t="shared" si="1255"/>
        <v>80000</v>
      </c>
      <c r="P1809" s="36">
        <f t="shared" si="1255"/>
        <v>80000</v>
      </c>
      <c r="Q1809" s="236">
        <f t="shared" si="1255"/>
        <v>320000</v>
      </c>
      <c r="R1809" s="198" t="str">
        <f t="shared" ref="R1809:S1809" si="1256">R201</f>
        <v>EPS-SERNAFOR</v>
      </c>
      <c r="S1809" s="197" t="str">
        <f t="shared" si="1256"/>
        <v>UNICEF/BM</v>
      </c>
      <c r="T1809" s="51">
        <f>T201</f>
        <v>0</v>
      </c>
      <c r="W1809" s="608">
        <f t="shared" si="1181"/>
        <v>320000</v>
      </c>
      <c r="X1809" s="608">
        <f t="shared" si="1182"/>
        <v>0</v>
      </c>
      <c r="Z1809" s="572">
        <f t="shared" si="1241"/>
        <v>0</v>
      </c>
      <c r="AA1809" s="1">
        <f t="shared" si="1242"/>
        <v>0</v>
      </c>
    </row>
    <row r="1810" spans="1:27" x14ac:dyDescent="0.2">
      <c r="A1810" s="17" t="str">
        <f>A203</f>
        <v>2.6.5 Les COGES disposant de moyens de conservation des matériels</v>
      </c>
      <c r="B1810" s="45"/>
      <c r="C1810" s="297">
        <f>C203</f>
        <v>0</v>
      </c>
      <c r="D1810" s="157">
        <f t="shared" si="1171"/>
        <v>2188</v>
      </c>
      <c r="E1810" s="157">
        <f t="shared" si="1172"/>
        <v>2188</v>
      </c>
      <c r="F1810" s="157">
        <f t="shared" si="1173"/>
        <v>2188</v>
      </c>
      <c r="G1810" s="157">
        <f t="shared" si="1174"/>
        <v>2188</v>
      </c>
      <c r="H1810" s="157">
        <f t="shared" si="1175"/>
        <v>2188</v>
      </c>
      <c r="I1810" s="270">
        <f t="shared" si="1176"/>
        <v>10940</v>
      </c>
      <c r="J1810" s="347">
        <f t="shared" si="1177"/>
        <v>0</v>
      </c>
      <c r="K1810" s="348">
        <f t="shared" si="1178"/>
        <v>0</v>
      </c>
      <c r="L1810" s="35">
        <f t="shared" ref="L1810:S1810" si="1257">SUM(L1811)</f>
        <v>2188000</v>
      </c>
      <c r="M1810" s="34">
        <f t="shared" si="1257"/>
        <v>2188000</v>
      </c>
      <c r="N1810" s="34">
        <f t="shared" si="1257"/>
        <v>2188000</v>
      </c>
      <c r="O1810" s="34">
        <f t="shared" si="1257"/>
        <v>2188000</v>
      </c>
      <c r="P1810" s="34">
        <f t="shared" si="1257"/>
        <v>2188000</v>
      </c>
      <c r="Q1810" s="26">
        <f t="shared" si="1257"/>
        <v>10940000</v>
      </c>
      <c r="R1810" s="19">
        <f t="shared" si="1257"/>
        <v>0</v>
      </c>
      <c r="S1810" s="18">
        <f t="shared" si="1257"/>
        <v>0</v>
      </c>
      <c r="T1810" s="51" t="str">
        <f>T203</f>
        <v>En 2020, toutes les écoles disposent d'armoires de stockage</v>
      </c>
      <c r="W1810" s="608">
        <f t="shared" si="1181"/>
        <v>10940000</v>
      </c>
      <c r="X1810" s="608">
        <f t="shared" si="1182"/>
        <v>0</v>
      </c>
      <c r="Z1810" s="572">
        <f t="shared" si="1241"/>
        <v>0</v>
      </c>
      <c r="AA1810" s="1">
        <f t="shared" si="1242"/>
        <v>0</v>
      </c>
    </row>
    <row r="1811" spans="1:27" x14ac:dyDescent="0.2">
      <c r="A1811" s="20" t="str">
        <f>A204</f>
        <v>2.6.5.1 Acquisition et distribution d'armoires de stockage</v>
      </c>
      <c r="B1811" s="46"/>
      <c r="C1811" s="297">
        <f>C204</f>
        <v>0</v>
      </c>
      <c r="D1811" s="168">
        <f t="shared" si="1171"/>
        <v>2188</v>
      </c>
      <c r="E1811" s="168">
        <f t="shared" si="1172"/>
        <v>2188</v>
      </c>
      <c r="F1811" s="168">
        <f t="shared" si="1173"/>
        <v>2188</v>
      </c>
      <c r="G1811" s="168">
        <f t="shared" si="1174"/>
        <v>2188</v>
      </c>
      <c r="H1811" s="168">
        <f t="shared" si="1175"/>
        <v>2188</v>
      </c>
      <c r="I1811" s="271">
        <f t="shared" si="1176"/>
        <v>10940</v>
      </c>
      <c r="J1811" s="349" t="str">
        <f t="shared" si="1177"/>
        <v>EPS-DIS-PROVED</v>
      </c>
      <c r="K1811" s="350" t="str">
        <f t="shared" si="1178"/>
        <v>ND</v>
      </c>
      <c r="L1811" s="37">
        <f t="shared" ref="L1811:Q1811" si="1258">L204</f>
        <v>2188000</v>
      </c>
      <c r="M1811" s="36">
        <f t="shared" si="1258"/>
        <v>2188000</v>
      </c>
      <c r="N1811" s="36">
        <f t="shared" si="1258"/>
        <v>2188000</v>
      </c>
      <c r="O1811" s="36">
        <f t="shared" si="1258"/>
        <v>2188000</v>
      </c>
      <c r="P1811" s="36">
        <f t="shared" si="1258"/>
        <v>2188000</v>
      </c>
      <c r="Q1811" s="236">
        <f t="shared" si="1258"/>
        <v>10940000</v>
      </c>
      <c r="R1811" s="198" t="str">
        <f t="shared" ref="R1811:S1811" si="1259">R204</f>
        <v>EPS-DIS-PROVED</v>
      </c>
      <c r="S1811" s="197" t="str">
        <f t="shared" si="1259"/>
        <v>ND</v>
      </c>
      <c r="T1811" s="51">
        <f>T204</f>
        <v>0</v>
      </c>
      <c r="W1811" s="608">
        <f t="shared" si="1181"/>
        <v>10940000</v>
      </c>
      <c r="X1811" s="608">
        <f t="shared" si="1182"/>
        <v>0</v>
      </c>
      <c r="Z1811" s="572">
        <f t="shared" si="1241"/>
        <v>0</v>
      </c>
      <c r="AA1811" s="1">
        <f t="shared" si="1242"/>
        <v>0</v>
      </c>
    </row>
    <row r="1812" spans="1:27" x14ac:dyDescent="0.2">
      <c r="A1812" s="14" t="str">
        <f>A206</f>
        <v>2.7 Apprentissage de la lecture-écriture : améliorer les apprentissages de la lecture-écriture</v>
      </c>
      <c r="B1812" s="44"/>
      <c r="C1812" s="296">
        <f>C206</f>
        <v>0</v>
      </c>
      <c r="D1812" s="217">
        <f t="shared" si="1171"/>
        <v>124.5</v>
      </c>
      <c r="E1812" s="217">
        <f t="shared" si="1172"/>
        <v>380</v>
      </c>
      <c r="F1812" s="217">
        <f t="shared" si="1173"/>
        <v>90</v>
      </c>
      <c r="G1812" s="217">
        <f t="shared" si="1174"/>
        <v>0</v>
      </c>
      <c r="H1812" s="217">
        <f t="shared" si="1175"/>
        <v>90</v>
      </c>
      <c r="I1812" s="273">
        <f t="shared" si="1176"/>
        <v>684.5</v>
      </c>
      <c r="J1812" s="345">
        <f t="shared" si="1177"/>
        <v>0</v>
      </c>
      <c r="K1812" s="346">
        <f t="shared" si="1178"/>
        <v>0</v>
      </c>
      <c r="L1812" s="33">
        <f t="shared" ref="L1812:Q1812" si="1260">L1813+L1815+L1819+L1823</f>
        <v>124500</v>
      </c>
      <c r="M1812" s="32">
        <f t="shared" si="1260"/>
        <v>380000</v>
      </c>
      <c r="N1812" s="32">
        <f t="shared" si="1260"/>
        <v>90000</v>
      </c>
      <c r="O1812" s="32">
        <f t="shared" si="1260"/>
        <v>0</v>
      </c>
      <c r="P1812" s="32">
        <f t="shared" si="1260"/>
        <v>90000</v>
      </c>
      <c r="Q1812" s="25">
        <f t="shared" si="1260"/>
        <v>684500</v>
      </c>
      <c r="R1812" s="16">
        <f t="shared" ref="R1812:S1812" si="1261">R1813+R1815+R1819+R1823</f>
        <v>0</v>
      </c>
      <c r="S1812" s="15">
        <f t="shared" si="1261"/>
        <v>0</v>
      </c>
      <c r="T1812" s="112">
        <f>T206</f>
        <v>2</v>
      </c>
      <c r="W1812" s="608">
        <f t="shared" si="1181"/>
        <v>684500</v>
      </c>
      <c r="X1812" s="608">
        <f t="shared" si="1182"/>
        <v>0</v>
      </c>
      <c r="Y1812" s="572" t="s">
        <v>1512</v>
      </c>
      <c r="Z1812" s="572">
        <f t="shared" si="1241"/>
        <v>684.5</v>
      </c>
      <c r="AA1812" s="1">
        <f t="shared" si="1242"/>
        <v>0</v>
      </c>
    </row>
    <row r="1813" spans="1:27" x14ac:dyDescent="0.2">
      <c r="A1813" s="17" t="str">
        <f>A207</f>
        <v xml:space="preserve">2.7.1 Former les enseignants </v>
      </c>
      <c r="B1813" s="45"/>
      <c r="C1813" s="297" t="str">
        <f>C207</f>
        <v>Tous les enseignants de 1ère et 2ème année reçoivent une semaine de formation à l'utilisation des programmes lecture, tous les 2 ans</v>
      </c>
      <c r="D1813" s="157">
        <f t="shared" si="1171"/>
        <v>90</v>
      </c>
      <c r="E1813" s="157">
        <f t="shared" si="1172"/>
        <v>0</v>
      </c>
      <c r="F1813" s="157">
        <f t="shared" si="1173"/>
        <v>90</v>
      </c>
      <c r="G1813" s="157">
        <f t="shared" si="1174"/>
        <v>0</v>
      </c>
      <c r="H1813" s="157">
        <f t="shared" si="1175"/>
        <v>90</v>
      </c>
      <c r="I1813" s="270">
        <f t="shared" si="1176"/>
        <v>270</v>
      </c>
      <c r="J1813" s="347">
        <f t="shared" si="1177"/>
        <v>0</v>
      </c>
      <c r="K1813" s="348">
        <f t="shared" si="1178"/>
        <v>0</v>
      </c>
      <c r="L1813" s="35">
        <f t="shared" ref="L1813:S1813" si="1262">SUM(L1814:L1814)</f>
        <v>90000</v>
      </c>
      <c r="M1813" s="34">
        <f t="shared" si="1262"/>
        <v>0</v>
      </c>
      <c r="N1813" s="34">
        <f t="shared" si="1262"/>
        <v>90000</v>
      </c>
      <c r="O1813" s="34">
        <f t="shared" si="1262"/>
        <v>0</v>
      </c>
      <c r="P1813" s="34">
        <f t="shared" si="1262"/>
        <v>90000</v>
      </c>
      <c r="Q1813" s="26">
        <f t="shared" si="1262"/>
        <v>270000</v>
      </c>
      <c r="R1813" s="19">
        <f t="shared" si="1262"/>
        <v>0</v>
      </c>
      <c r="S1813" s="18">
        <f t="shared" si="1262"/>
        <v>0</v>
      </c>
      <c r="T1813" s="51">
        <f>T207</f>
        <v>0</v>
      </c>
      <c r="W1813" s="608">
        <f t="shared" si="1181"/>
        <v>270000</v>
      </c>
      <c r="X1813" s="608">
        <f t="shared" si="1182"/>
        <v>0</v>
      </c>
      <c r="Y1813" s="572" t="s">
        <v>1512</v>
      </c>
      <c r="Z1813" s="572">
        <f t="shared" si="1241"/>
        <v>270</v>
      </c>
      <c r="AA1813" s="1">
        <f t="shared" si="1242"/>
        <v>0</v>
      </c>
    </row>
    <row r="1814" spans="1:27" x14ac:dyDescent="0.2">
      <c r="A1814" s="20" t="str">
        <f>A208</f>
        <v>2.7.1.1 Formation des formateurs</v>
      </c>
      <c r="B1814" s="46"/>
      <c r="C1814" s="297">
        <f>C208</f>
        <v>0</v>
      </c>
      <c r="D1814" s="168">
        <f t="shared" si="1171"/>
        <v>90</v>
      </c>
      <c r="E1814" s="168">
        <f t="shared" si="1172"/>
        <v>0</v>
      </c>
      <c r="F1814" s="168">
        <f t="shared" si="1173"/>
        <v>90</v>
      </c>
      <c r="G1814" s="168">
        <f t="shared" si="1174"/>
        <v>0</v>
      </c>
      <c r="H1814" s="168">
        <f t="shared" si="1175"/>
        <v>90</v>
      </c>
      <c r="I1814" s="271">
        <f t="shared" si="1176"/>
        <v>270</v>
      </c>
      <c r="J1814" s="349" t="str">
        <f t="shared" si="1177"/>
        <v>EPS-SERNAFOR</v>
      </c>
      <c r="K1814" s="350" t="str">
        <f t="shared" si="1178"/>
        <v>ACCELERE</v>
      </c>
      <c r="L1814" s="37">
        <f t="shared" ref="L1814:Q1814" si="1263">L208</f>
        <v>90000</v>
      </c>
      <c r="M1814" s="36">
        <f t="shared" si="1263"/>
        <v>0</v>
      </c>
      <c r="N1814" s="36">
        <f t="shared" si="1263"/>
        <v>90000</v>
      </c>
      <c r="O1814" s="36">
        <f t="shared" si="1263"/>
        <v>0</v>
      </c>
      <c r="P1814" s="36">
        <f t="shared" si="1263"/>
        <v>90000</v>
      </c>
      <c r="Q1814" s="236">
        <f t="shared" si="1263"/>
        <v>270000</v>
      </c>
      <c r="R1814" s="198" t="str">
        <f t="shared" ref="R1814:S1814" si="1264">R208</f>
        <v>EPS-SERNAFOR</v>
      </c>
      <c r="S1814" s="197" t="str">
        <f t="shared" si="1264"/>
        <v>ACCELERE</v>
      </c>
      <c r="T1814" s="51">
        <f>T208</f>
        <v>0</v>
      </c>
      <c r="W1814" s="608">
        <f t="shared" si="1181"/>
        <v>270000</v>
      </c>
      <c r="X1814" s="608">
        <f t="shared" si="1182"/>
        <v>0</v>
      </c>
      <c r="Y1814" s="572" t="s">
        <v>1512</v>
      </c>
      <c r="Z1814" s="572">
        <f t="shared" si="1241"/>
        <v>270</v>
      </c>
      <c r="AA1814" s="1">
        <f t="shared" si="1242"/>
        <v>0</v>
      </c>
    </row>
    <row r="1815" spans="1:27" x14ac:dyDescent="0.2">
      <c r="A1815" s="17" t="str">
        <f>A210</f>
        <v>2.7.2 Activités de lecture harmonisées</v>
      </c>
      <c r="B1815" s="45"/>
      <c r="C1815" s="297" t="str">
        <f>C210</f>
        <v>à partir de 2016, toutes les écoles développent des activités de lecture</v>
      </c>
      <c r="D1815" s="157">
        <f t="shared" si="1171"/>
        <v>12.5</v>
      </c>
      <c r="E1815" s="157">
        <f t="shared" si="1172"/>
        <v>190</v>
      </c>
      <c r="F1815" s="157">
        <f t="shared" si="1173"/>
        <v>0</v>
      </c>
      <c r="G1815" s="157">
        <f t="shared" si="1174"/>
        <v>0</v>
      </c>
      <c r="H1815" s="157">
        <f t="shared" si="1175"/>
        <v>0</v>
      </c>
      <c r="I1815" s="270">
        <f t="shared" si="1176"/>
        <v>202.5</v>
      </c>
      <c r="J1815" s="347">
        <f t="shared" si="1177"/>
        <v>0</v>
      </c>
      <c r="K1815" s="348">
        <f t="shared" si="1178"/>
        <v>0</v>
      </c>
      <c r="L1815" s="35">
        <f t="shared" ref="L1815:Q1815" si="1265">SUM(L1816:L1818)</f>
        <v>12500</v>
      </c>
      <c r="M1815" s="34">
        <f t="shared" si="1265"/>
        <v>190000</v>
      </c>
      <c r="N1815" s="34">
        <f t="shared" si="1265"/>
        <v>0</v>
      </c>
      <c r="O1815" s="34">
        <f t="shared" si="1265"/>
        <v>0</v>
      </c>
      <c r="P1815" s="34">
        <f t="shared" si="1265"/>
        <v>0</v>
      </c>
      <c r="Q1815" s="26">
        <f t="shared" si="1265"/>
        <v>202500</v>
      </c>
      <c r="R1815" s="19">
        <f t="shared" ref="R1815:S1815" si="1266">SUM(R1816:R1818)</f>
        <v>0</v>
      </c>
      <c r="S1815" s="18">
        <f t="shared" si="1266"/>
        <v>0</v>
      </c>
      <c r="T1815" s="51">
        <f>T210</f>
        <v>0</v>
      </c>
      <c r="W1815" s="608">
        <f t="shared" si="1181"/>
        <v>202500</v>
      </c>
      <c r="X1815" s="608">
        <f t="shared" si="1182"/>
        <v>0</v>
      </c>
      <c r="Z1815" s="572">
        <f t="shared" si="1241"/>
        <v>0</v>
      </c>
      <c r="AA1815" s="1">
        <f t="shared" si="1242"/>
        <v>0</v>
      </c>
    </row>
    <row r="1816" spans="1:27" x14ac:dyDescent="0.2">
      <c r="A1816" s="20" t="str">
        <f>A211</f>
        <v>2.7.2.1 Élaboration d'un guide sur des activités de lecture harmonisées</v>
      </c>
      <c r="B1816" s="46"/>
      <c r="C1816" s="297">
        <f>C211</f>
        <v>0</v>
      </c>
      <c r="D1816" s="168">
        <f t="shared" si="1171"/>
        <v>12.5</v>
      </c>
      <c r="E1816" s="168">
        <f t="shared" si="1172"/>
        <v>0</v>
      </c>
      <c r="F1816" s="168">
        <f t="shared" si="1173"/>
        <v>0</v>
      </c>
      <c r="G1816" s="168">
        <f t="shared" si="1174"/>
        <v>0</v>
      </c>
      <c r="H1816" s="168">
        <f t="shared" si="1175"/>
        <v>0</v>
      </c>
      <c r="I1816" s="271">
        <f t="shared" si="1176"/>
        <v>12.5</v>
      </c>
      <c r="J1816" s="349" t="str">
        <f t="shared" si="1177"/>
        <v>EPS-DIPROMAD</v>
      </c>
      <c r="K1816" s="350" t="str">
        <f t="shared" si="1178"/>
        <v>ACCELERE</v>
      </c>
      <c r="L1816" s="37">
        <f t="shared" ref="L1816:Q1816" si="1267">L211</f>
        <v>12500</v>
      </c>
      <c r="M1816" s="36">
        <f t="shared" si="1267"/>
        <v>0</v>
      </c>
      <c r="N1816" s="36">
        <f t="shared" si="1267"/>
        <v>0</v>
      </c>
      <c r="O1816" s="36">
        <f t="shared" si="1267"/>
        <v>0</v>
      </c>
      <c r="P1816" s="36">
        <f t="shared" si="1267"/>
        <v>0</v>
      </c>
      <c r="Q1816" s="236">
        <f t="shared" si="1267"/>
        <v>12500</v>
      </c>
      <c r="R1816" s="198" t="str">
        <f t="shared" ref="R1816:S1816" si="1268">R211</f>
        <v>EPS-DIPROMAD</v>
      </c>
      <c r="S1816" s="197" t="str">
        <f t="shared" si="1268"/>
        <v>ACCELERE</v>
      </c>
      <c r="T1816" s="51">
        <f>T211</f>
        <v>0</v>
      </c>
      <c r="W1816" s="608">
        <f t="shared" si="1181"/>
        <v>12500</v>
      </c>
      <c r="X1816" s="608">
        <f t="shared" si="1182"/>
        <v>0</v>
      </c>
      <c r="Z1816" s="572">
        <f t="shared" si="1241"/>
        <v>0</v>
      </c>
      <c r="AA1816" s="1">
        <f t="shared" si="1242"/>
        <v>0</v>
      </c>
    </row>
    <row r="1817" spans="1:27" x14ac:dyDescent="0.2">
      <c r="A1817" s="20" t="str">
        <f>A214</f>
        <v>2.7.2.2 Acquisition et distribution du guide sur des activités de lecture harmonisées</v>
      </c>
      <c r="B1817" s="46"/>
      <c r="C1817" s="297">
        <f>C214</f>
        <v>0</v>
      </c>
      <c r="D1817" s="168">
        <f t="shared" si="1171"/>
        <v>0</v>
      </c>
      <c r="E1817" s="168">
        <f t="shared" si="1172"/>
        <v>100</v>
      </c>
      <c r="F1817" s="168">
        <f t="shared" si="1173"/>
        <v>0</v>
      </c>
      <c r="G1817" s="168">
        <f t="shared" si="1174"/>
        <v>0</v>
      </c>
      <c r="H1817" s="168">
        <f t="shared" si="1175"/>
        <v>0</v>
      </c>
      <c r="I1817" s="271">
        <f t="shared" si="1176"/>
        <v>100</v>
      </c>
      <c r="J1817" s="349" t="str">
        <f t="shared" si="1177"/>
        <v>EPS-DIPROMAD</v>
      </c>
      <c r="K1817" s="350" t="str">
        <f t="shared" si="1178"/>
        <v>ACCELERE</v>
      </c>
      <c r="L1817" s="37">
        <f t="shared" ref="L1817:Q1817" si="1269">L214</f>
        <v>0</v>
      </c>
      <c r="M1817" s="36">
        <f t="shared" si="1269"/>
        <v>100000</v>
      </c>
      <c r="N1817" s="36">
        <f t="shared" si="1269"/>
        <v>0</v>
      </c>
      <c r="O1817" s="36">
        <f t="shared" si="1269"/>
        <v>0</v>
      </c>
      <c r="P1817" s="36">
        <f t="shared" si="1269"/>
        <v>0</v>
      </c>
      <c r="Q1817" s="236">
        <f t="shared" si="1269"/>
        <v>100000</v>
      </c>
      <c r="R1817" s="198" t="str">
        <f t="shared" ref="R1817:S1817" si="1270">R214</f>
        <v>EPS-DIPROMAD</v>
      </c>
      <c r="S1817" s="197" t="str">
        <f t="shared" si="1270"/>
        <v>ACCELERE</v>
      </c>
      <c r="T1817" s="51">
        <f>T214</f>
        <v>0</v>
      </c>
      <c r="W1817" s="608">
        <f t="shared" si="1181"/>
        <v>100000</v>
      </c>
      <c r="X1817" s="608">
        <f t="shared" si="1182"/>
        <v>0</v>
      </c>
      <c r="Z1817" s="572">
        <f t="shared" si="1241"/>
        <v>0</v>
      </c>
      <c r="AA1817" s="1">
        <f t="shared" si="1242"/>
        <v>0</v>
      </c>
    </row>
    <row r="1818" spans="1:27" x14ac:dyDescent="0.2">
      <c r="A1818" s="20" t="str">
        <f>A216</f>
        <v>2.7.2.3. Formation des formateurs</v>
      </c>
      <c r="B1818" s="46"/>
      <c r="C1818" s="297">
        <f>C216</f>
        <v>0</v>
      </c>
      <c r="D1818" s="168">
        <f t="shared" si="1171"/>
        <v>0</v>
      </c>
      <c r="E1818" s="168">
        <f t="shared" si="1172"/>
        <v>90</v>
      </c>
      <c r="F1818" s="168">
        <f t="shared" si="1173"/>
        <v>0</v>
      </c>
      <c r="G1818" s="168">
        <f t="shared" si="1174"/>
        <v>0</v>
      </c>
      <c r="H1818" s="168">
        <f t="shared" si="1175"/>
        <v>0</v>
      </c>
      <c r="I1818" s="271">
        <f t="shared" si="1176"/>
        <v>90</v>
      </c>
      <c r="J1818" s="349" t="str">
        <f t="shared" si="1177"/>
        <v>EPS-SERNAFOR</v>
      </c>
      <c r="K1818" s="350" t="str">
        <f t="shared" si="1178"/>
        <v>ACCELERE</v>
      </c>
      <c r="L1818" s="37">
        <f t="shared" ref="L1818:Q1818" si="1271">L216</f>
        <v>0</v>
      </c>
      <c r="M1818" s="36">
        <f t="shared" si="1271"/>
        <v>90000</v>
      </c>
      <c r="N1818" s="36">
        <f t="shared" si="1271"/>
        <v>0</v>
      </c>
      <c r="O1818" s="36">
        <f t="shared" si="1271"/>
        <v>0</v>
      </c>
      <c r="P1818" s="36">
        <f t="shared" si="1271"/>
        <v>0</v>
      </c>
      <c r="Q1818" s="236">
        <f t="shared" si="1271"/>
        <v>90000</v>
      </c>
      <c r="R1818" s="198" t="str">
        <f t="shared" ref="R1818:S1818" si="1272">R216</f>
        <v>EPS-SERNAFOR</v>
      </c>
      <c r="S1818" s="197" t="str">
        <f t="shared" si="1272"/>
        <v>ACCELERE</v>
      </c>
      <c r="T1818" s="51">
        <f>T216</f>
        <v>0</v>
      </c>
      <c r="W1818" s="608">
        <f t="shared" si="1181"/>
        <v>90000</v>
      </c>
      <c r="X1818" s="608">
        <f t="shared" si="1182"/>
        <v>0</v>
      </c>
      <c r="Z1818" s="572">
        <f t="shared" si="1241"/>
        <v>0</v>
      </c>
      <c r="AA1818" s="1">
        <f t="shared" si="1242"/>
        <v>0</v>
      </c>
    </row>
    <row r="1819" spans="1:27" x14ac:dyDescent="0.2">
      <c r="A1819" s="17" t="str">
        <f>A218</f>
        <v>2.7.3 Projets pédagogiques centrés sur la lecture</v>
      </c>
      <c r="B1819" s="45"/>
      <c r="C1819" s="297" t="str">
        <f>C218</f>
        <v>En 2020, toutes les écoles disposent d'un projet pédagogique centré sur la lecture</v>
      </c>
      <c r="D1819" s="157">
        <f t="shared" si="1171"/>
        <v>11</v>
      </c>
      <c r="E1819" s="157">
        <f t="shared" si="1172"/>
        <v>190</v>
      </c>
      <c r="F1819" s="157">
        <f t="shared" si="1173"/>
        <v>0</v>
      </c>
      <c r="G1819" s="157">
        <f t="shared" si="1174"/>
        <v>0</v>
      </c>
      <c r="H1819" s="157">
        <f t="shared" si="1175"/>
        <v>0</v>
      </c>
      <c r="I1819" s="270">
        <f t="shared" si="1176"/>
        <v>201</v>
      </c>
      <c r="J1819" s="347">
        <f t="shared" si="1177"/>
        <v>0</v>
      </c>
      <c r="K1819" s="348">
        <f t="shared" si="1178"/>
        <v>0</v>
      </c>
      <c r="L1819" s="35">
        <f t="shared" ref="L1819:Q1819" si="1273">SUM(L1820:L1822)</f>
        <v>11000</v>
      </c>
      <c r="M1819" s="34">
        <f t="shared" si="1273"/>
        <v>190000</v>
      </c>
      <c r="N1819" s="34">
        <f t="shared" si="1273"/>
        <v>0</v>
      </c>
      <c r="O1819" s="34">
        <f t="shared" si="1273"/>
        <v>0</v>
      </c>
      <c r="P1819" s="34">
        <f t="shared" si="1273"/>
        <v>0</v>
      </c>
      <c r="Q1819" s="26">
        <f t="shared" si="1273"/>
        <v>201000</v>
      </c>
      <c r="R1819" s="19">
        <f t="shared" ref="R1819:S1819" si="1274">SUM(R1820:R1822)</f>
        <v>0</v>
      </c>
      <c r="S1819" s="18">
        <f t="shared" si="1274"/>
        <v>0</v>
      </c>
      <c r="T1819" s="51">
        <f>T218</f>
        <v>0</v>
      </c>
      <c r="W1819" s="608">
        <f t="shared" si="1181"/>
        <v>201000</v>
      </c>
      <c r="X1819" s="608">
        <f t="shared" si="1182"/>
        <v>0</v>
      </c>
      <c r="Z1819" s="572">
        <f t="shared" si="1241"/>
        <v>0</v>
      </c>
      <c r="AA1819" s="1">
        <f t="shared" si="1242"/>
        <v>0</v>
      </c>
    </row>
    <row r="1820" spans="1:27" x14ac:dyDescent="0.2">
      <c r="A1820" s="20" t="str">
        <f>A219</f>
        <v>2.7.3.1 Élaboration d'un guide d'aide à la réalisation de projets pédagogiques centrés sur la lecture</v>
      </c>
      <c r="B1820" s="46"/>
      <c r="C1820" s="297">
        <f>C219</f>
        <v>0</v>
      </c>
      <c r="D1820" s="168">
        <f t="shared" si="1171"/>
        <v>11</v>
      </c>
      <c r="E1820" s="168">
        <f t="shared" si="1172"/>
        <v>0</v>
      </c>
      <c r="F1820" s="168">
        <f t="shared" si="1173"/>
        <v>0</v>
      </c>
      <c r="G1820" s="168">
        <f t="shared" si="1174"/>
        <v>0</v>
      </c>
      <c r="H1820" s="168">
        <f t="shared" si="1175"/>
        <v>0</v>
      </c>
      <c r="I1820" s="271">
        <f t="shared" si="1176"/>
        <v>11</v>
      </c>
      <c r="J1820" s="349" t="str">
        <f t="shared" si="1177"/>
        <v>EPS-DIPROMAD</v>
      </c>
      <c r="K1820" s="350" t="str">
        <f t="shared" si="1178"/>
        <v>ACCELERE</v>
      </c>
      <c r="L1820" s="37">
        <f t="shared" ref="L1820:Q1820" si="1275">L219</f>
        <v>11000</v>
      </c>
      <c r="M1820" s="36">
        <f t="shared" si="1275"/>
        <v>0</v>
      </c>
      <c r="N1820" s="36">
        <f t="shared" si="1275"/>
        <v>0</v>
      </c>
      <c r="O1820" s="36">
        <f t="shared" si="1275"/>
        <v>0</v>
      </c>
      <c r="P1820" s="36">
        <f t="shared" si="1275"/>
        <v>0</v>
      </c>
      <c r="Q1820" s="236">
        <f t="shared" si="1275"/>
        <v>11000</v>
      </c>
      <c r="R1820" s="198" t="str">
        <f t="shared" ref="R1820:S1820" si="1276">R219</f>
        <v>EPS-DIPROMAD</v>
      </c>
      <c r="S1820" s="197" t="str">
        <f t="shared" si="1276"/>
        <v>ACCELERE</v>
      </c>
      <c r="T1820" s="51">
        <f>T219</f>
        <v>0</v>
      </c>
      <c r="W1820" s="608">
        <f t="shared" si="1181"/>
        <v>11000</v>
      </c>
      <c r="X1820" s="608">
        <f t="shared" si="1182"/>
        <v>0</v>
      </c>
      <c r="Z1820" s="572">
        <f t="shared" si="1241"/>
        <v>0</v>
      </c>
      <c r="AA1820" s="1">
        <f t="shared" si="1242"/>
        <v>0</v>
      </c>
    </row>
    <row r="1821" spans="1:27" x14ac:dyDescent="0.2">
      <c r="A1821" s="20" t="str">
        <f>A222</f>
        <v>2.7.3.2. Acquisition et distribution du guide d'aide à la réalisation de projets pédagogiques centrés sur la lecture</v>
      </c>
      <c r="B1821" s="46"/>
      <c r="C1821" s="297">
        <f>C222</f>
        <v>0</v>
      </c>
      <c r="D1821" s="168">
        <f t="shared" si="1171"/>
        <v>0</v>
      </c>
      <c r="E1821" s="168">
        <f t="shared" si="1172"/>
        <v>100</v>
      </c>
      <c r="F1821" s="168">
        <f t="shared" si="1173"/>
        <v>0</v>
      </c>
      <c r="G1821" s="168">
        <f t="shared" si="1174"/>
        <v>0</v>
      </c>
      <c r="H1821" s="168">
        <f t="shared" si="1175"/>
        <v>0</v>
      </c>
      <c r="I1821" s="271">
        <f t="shared" si="1176"/>
        <v>100</v>
      </c>
      <c r="J1821" s="349" t="str">
        <f t="shared" si="1177"/>
        <v>EPS-DIPROMAD</v>
      </c>
      <c r="K1821" s="350" t="str">
        <f t="shared" si="1178"/>
        <v>ACCELERE</v>
      </c>
      <c r="L1821" s="37">
        <f t="shared" ref="L1821:Q1821" si="1277">L222</f>
        <v>0</v>
      </c>
      <c r="M1821" s="36">
        <f t="shared" si="1277"/>
        <v>100000</v>
      </c>
      <c r="N1821" s="36">
        <f t="shared" si="1277"/>
        <v>0</v>
      </c>
      <c r="O1821" s="36">
        <f t="shared" si="1277"/>
        <v>0</v>
      </c>
      <c r="P1821" s="36">
        <f t="shared" si="1277"/>
        <v>0</v>
      </c>
      <c r="Q1821" s="236">
        <f t="shared" si="1277"/>
        <v>100000</v>
      </c>
      <c r="R1821" s="198" t="str">
        <f t="shared" ref="R1821:S1821" si="1278">R222</f>
        <v>EPS-DIPROMAD</v>
      </c>
      <c r="S1821" s="197" t="str">
        <f t="shared" si="1278"/>
        <v>ACCELERE</v>
      </c>
      <c r="T1821" s="51">
        <f>T222</f>
        <v>0</v>
      </c>
      <c r="W1821" s="608">
        <f t="shared" si="1181"/>
        <v>100000</v>
      </c>
      <c r="X1821" s="608">
        <f t="shared" si="1182"/>
        <v>0</v>
      </c>
      <c r="Z1821" s="572">
        <f t="shared" si="1241"/>
        <v>0</v>
      </c>
      <c r="AA1821" s="1">
        <f t="shared" si="1242"/>
        <v>0</v>
      </c>
    </row>
    <row r="1822" spans="1:27" x14ac:dyDescent="0.2">
      <c r="A1822" s="20" t="str">
        <f>A224</f>
        <v>2.7.2.3. Formation des formateurs</v>
      </c>
      <c r="B1822" s="46"/>
      <c r="C1822" s="297">
        <f>C224</f>
        <v>0</v>
      </c>
      <c r="D1822" s="168">
        <f t="shared" si="1171"/>
        <v>0</v>
      </c>
      <c r="E1822" s="168">
        <f t="shared" si="1172"/>
        <v>90</v>
      </c>
      <c r="F1822" s="168">
        <f t="shared" si="1173"/>
        <v>0</v>
      </c>
      <c r="G1822" s="168">
        <f t="shared" si="1174"/>
        <v>0</v>
      </c>
      <c r="H1822" s="168">
        <f t="shared" si="1175"/>
        <v>0</v>
      </c>
      <c r="I1822" s="271">
        <f t="shared" si="1176"/>
        <v>90</v>
      </c>
      <c r="J1822" s="349" t="str">
        <f t="shared" si="1177"/>
        <v>EPS-SERNAFOR</v>
      </c>
      <c r="K1822" s="350" t="str">
        <f t="shared" si="1178"/>
        <v>ACCELERE</v>
      </c>
      <c r="L1822" s="37">
        <f t="shared" ref="L1822:Q1822" si="1279">L224</f>
        <v>0</v>
      </c>
      <c r="M1822" s="36">
        <f t="shared" si="1279"/>
        <v>90000</v>
      </c>
      <c r="N1822" s="36">
        <f t="shared" si="1279"/>
        <v>0</v>
      </c>
      <c r="O1822" s="36">
        <f t="shared" si="1279"/>
        <v>0</v>
      </c>
      <c r="P1822" s="36">
        <f t="shared" si="1279"/>
        <v>0</v>
      </c>
      <c r="Q1822" s="236">
        <f t="shared" si="1279"/>
        <v>90000</v>
      </c>
      <c r="R1822" s="198" t="str">
        <f t="shared" ref="R1822:S1822" si="1280">R224</f>
        <v>EPS-SERNAFOR</v>
      </c>
      <c r="S1822" s="197" t="str">
        <f t="shared" si="1280"/>
        <v>ACCELERE</v>
      </c>
      <c r="T1822" s="51">
        <f>T224</f>
        <v>0</v>
      </c>
      <c r="W1822" s="608">
        <f t="shared" si="1181"/>
        <v>90000</v>
      </c>
      <c r="X1822" s="608">
        <f t="shared" si="1182"/>
        <v>0</v>
      </c>
      <c r="Z1822" s="572">
        <f t="shared" si="1241"/>
        <v>0</v>
      </c>
      <c r="AA1822" s="1">
        <f t="shared" si="1242"/>
        <v>0</v>
      </c>
    </row>
    <row r="1823" spans="1:27" x14ac:dyDescent="0.2">
      <c r="A1823" s="17" t="str">
        <f>A226</f>
        <v>2.7.4 Évaluations périodiques</v>
      </c>
      <c r="B1823" s="45"/>
      <c r="C1823" s="297">
        <f>C226</f>
        <v>0</v>
      </c>
      <c r="D1823" s="157">
        <f t="shared" si="1171"/>
        <v>11</v>
      </c>
      <c r="E1823" s="157">
        <f t="shared" si="1172"/>
        <v>0</v>
      </c>
      <c r="F1823" s="157">
        <f t="shared" si="1173"/>
        <v>0</v>
      </c>
      <c r="G1823" s="157">
        <f t="shared" si="1174"/>
        <v>0</v>
      </c>
      <c r="H1823" s="157">
        <f t="shared" si="1175"/>
        <v>0</v>
      </c>
      <c r="I1823" s="270">
        <f t="shared" si="1176"/>
        <v>11</v>
      </c>
      <c r="J1823" s="347">
        <f t="shared" si="1177"/>
        <v>0</v>
      </c>
      <c r="K1823" s="348">
        <f t="shared" si="1178"/>
        <v>0</v>
      </c>
      <c r="L1823" s="35">
        <f t="shared" ref="L1823:Q1823" si="1281">SUM(L1824:L1825)</f>
        <v>11000</v>
      </c>
      <c r="M1823" s="34">
        <f t="shared" si="1281"/>
        <v>0</v>
      </c>
      <c r="N1823" s="34">
        <f t="shared" si="1281"/>
        <v>0</v>
      </c>
      <c r="O1823" s="34">
        <f t="shared" si="1281"/>
        <v>0</v>
      </c>
      <c r="P1823" s="34">
        <f t="shared" si="1281"/>
        <v>0</v>
      </c>
      <c r="Q1823" s="26">
        <f t="shared" si="1281"/>
        <v>11000</v>
      </c>
      <c r="R1823" s="19">
        <f t="shared" ref="R1823:S1823" si="1282">SUM(R1824:R1825)</f>
        <v>0</v>
      </c>
      <c r="S1823" s="18">
        <f t="shared" si="1282"/>
        <v>0</v>
      </c>
      <c r="T1823" s="51">
        <f>T226</f>
        <v>0</v>
      </c>
      <c r="W1823" s="608">
        <f t="shared" si="1181"/>
        <v>11000</v>
      </c>
      <c r="X1823" s="608">
        <f t="shared" si="1182"/>
        <v>0</v>
      </c>
      <c r="Z1823" s="572">
        <f t="shared" si="1241"/>
        <v>0</v>
      </c>
      <c r="AA1823" s="1">
        <f t="shared" si="1242"/>
        <v>0</v>
      </c>
    </row>
    <row r="1824" spans="1:27" x14ac:dyDescent="0.2">
      <c r="A1824" s="20" t="str">
        <f>A227</f>
        <v>2.7.4.1 Élaboration d'outils d'évaluation</v>
      </c>
      <c r="B1824" s="46"/>
      <c r="C1824" s="297" t="str">
        <f>C227</f>
        <v>A partir de 2016, les inspecteurs effectuent une évaluation régulière des actions des écoles pour la lecture</v>
      </c>
      <c r="D1824" s="168">
        <f t="shared" si="1171"/>
        <v>11</v>
      </c>
      <c r="E1824" s="168">
        <f t="shared" si="1172"/>
        <v>0</v>
      </c>
      <c r="F1824" s="168">
        <f t="shared" si="1173"/>
        <v>0</v>
      </c>
      <c r="G1824" s="168">
        <f t="shared" si="1174"/>
        <v>0</v>
      </c>
      <c r="H1824" s="168">
        <f t="shared" si="1175"/>
        <v>0</v>
      </c>
      <c r="I1824" s="271">
        <f t="shared" si="1176"/>
        <v>11</v>
      </c>
      <c r="J1824" s="349" t="str">
        <f t="shared" si="1177"/>
        <v>EPS-IG</v>
      </c>
      <c r="K1824" s="350" t="str">
        <f t="shared" si="1178"/>
        <v>ACCELERE</v>
      </c>
      <c r="L1824" s="37">
        <f t="shared" ref="L1824:Q1824" si="1283">L227</f>
        <v>11000</v>
      </c>
      <c r="M1824" s="36">
        <f t="shared" si="1283"/>
        <v>0</v>
      </c>
      <c r="N1824" s="36">
        <f t="shared" si="1283"/>
        <v>0</v>
      </c>
      <c r="O1824" s="36">
        <f t="shared" si="1283"/>
        <v>0</v>
      </c>
      <c r="P1824" s="36">
        <f t="shared" si="1283"/>
        <v>0</v>
      </c>
      <c r="Q1824" s="236">
        <f t="shared" si="1283"/>
        <v>11000</v>
      </c>
      <c r="R1824" s="198" t="str">
        <f t="shared" ref="R1824:S1824" si="1284">R227</f>
        <v>EPS-IG</v>
      </c>
      <c r="S1824" s="197" t="str">
        <f t="shared" si="1284"/>
        <v>ACCELERE</v>
      </c>
      <c r="T1824" s="51">
        <f>T227</f>
        <v>0</v>
      </c>
      <c r="W1824" s="608">
        <f t="shared" si="1181"/>
        <v>11000</v>
      </c>
      <c r="X1824" s="608">
        <f t="shared" si="1182"/>
        <v>0</v>
      </c>
      <c r="Z1824" s="572">
        <f t="shared" si="1241"/>
        <v>0</v>
      </c>
      <c r="AA1824" s="1">
        <f t="shared" si="1242"/>
        <v>0</v>
      </c>
    </row>
    <row r="1825" spans="1:27" x14ac:dyDescent="0.2">
      <c r="A1825" s="20" t="str">
        <f>A230</f>
        <v>2.7.4.2 Réalisation par les inspecteurs d'évaluations régulières des actions des écoles pour la lecture</v>
      </c>
      <c r="B1825" s="46"/>
      <c r="C1825" s="297" t="str">
        <f>C230</f>
        <v>A partir de 2016, les inspecteurs effectuent une évaluation régulière des actions des écoles pour la lecture</v>
      </c>
      <c r="D1825" s="168">
        <f t="shared" si="1171"/>
        <v>0</v>
      </c>
      <c r="E1825" s="168">
        <f t="shared" si="1172"/>
        <v>0</v>
      </c>
      <c r="F1825" s="168">
        <f t="shared" si="1173"/>
        <v>0</v>
      </c>
      <c r="G1825" s="168">
        <f t="shared" si="1174"/>
        <v>0</v>
      </c>
      <c r="H1825" s="168">
        <f t="shared" si="1175"/>
        <v>0</v>
      </c>
      <c r="I1825" s="271">
        <f t="shared" si="1176"/>
        <v>0</v>
      </c>
      <c r="J1825" s="349" t="str">
        <f t="shared" si="1177"/>
        <v>EPS-IG</v>
      </c>
      <c r="K1825" s="350" t="str">
        <f t="shared" si="1178"/>
        <v>GVT</v>
      </c>
      <c r="L1825" s="37">
        <f t="shared" ref="L1825:Q1825" si="1285">L230</f>
        <v>0</v>
      </c>
      <c r="M1825" s="36">
        <f t="shared" si="1285"/>
        <v>0</v>
      </c>
      <c r="N1825" s="36">
        <f t="shared" si="1285"/>
        <v>0</v>
      </c>
      <c r="O1825" s="36">
        <f t="shared" si="1285"/>
        <v>0</v>
      </c>
      <c r="P1825" s="36">
        <f t="shared" si="1285"/>
        <v>0</v>
      </c>
      <c r="Q1825" s="236">
        <f t="shared" si="1285"/>
        <v>0</v>
      </c>
      <c r="R1825" s="198" t="str">
        <f t="shared" ref="R1825:S1825" si="1286">R230</f>
        <v>EPS-IG</v>
      </c>
      <c r="S1825" s="197" t="str">
        <f t="shared" si="1286"/>
        <v>GVT</v>
      </c>
      <c r="T1825" s="51">
        <f>T230</f>
        <v>0</v>
      </c>
      <c r="W1825" s="608">
        <f t="shared" si="1181"/>
        <v>0</v>
      </c>
      <c r="X1825" s="608">
        <f t="shared" si="1182"/>
        <v>0</v>
      </c>
      <c r="Z1825" s="572">
        <f t="shared" si="1241"/>
        <v>0</v>
      </c>
      <c r="AA1825" s="1">
        <f t="shared" si="1242"/>
        <v>0</v>
      </c>
    </row>
    <row r="1826" spans="1:27" x14ac:dyDescent="0.2">
      <c r="A1826" s="14" t="str">
        <f>A232</f>
        <v>2.8 Environnement éducatif : Mise à niveau de l'infrastructure et de l'environnement scolaire</v>
      </c>
      <c r="B1826" s="44"/>
      <c r="C1826" s="296">
        <f>C232</f>
        <v>0</v>
      </c>
      <c r="D1826" s="217">
        <f t="shared" si="1171"/>
        <v>3338.57</v>
      </c>
      <c r="E1826" s="217">
        <f t="shared" si="1172"/>
        <v>13101.56</v>
      </c>
      <c r="F1826" s="217">
        <f t="shared" si="1173"/>
        <v>13257.17</v>
      </c>
      <c r="G1826" s="217">
        <f t="shared" si="1174"/>
        <v>13385.62</v>
      </c>
      <c r="H1826" s="217">
        <f t="shared" si="1175"/>
        <v>13480.05</v>
      </c>
      <c r="I1826" s="273">
        <f t="shared" si="1176"/>
        <v>56562.97</v>
      </c>
      <c r="J1826" s="345">
        <f t="shared" si="1177"/>
        <v>0</v>
      </c>
      <c r="K1826" s="346">
        <f t="shared" si="1178"/>
        <v>0</v>
      </c>
      <c r="L1826" s="33">
        <f t="shared" ref="L1826:Q1826" si="1287">L1827+L1830+L1833+L1836+L1839+L1842</f>
        <v>3338570</v>
      </c>
      <c r="M1826" s="32">
        <f t="shared" si="1287"/>
        <v>13101560</v>
      </c>
      <c r="N1826" s="32">
        <f t="shared" si="1287"/>
        <v>13257170</v>
      </c>
      <c r="O1826" s="32">
        <f t="shared" si="1287"/>
        <v>13385620</v>
      </c>
      <c r="P1826" s="32">
        <f t="shared" si="1287"/>
        <v>13480050</v>
      </c>
      <c r="Q1826" s="25">
        <f t="shared" si="1287"/>
        <v>56562970</v>
      </c>
      <c r="R1826" s="16">
        <f t="shared" ref="R1826:S1826" si="1288">R1827+R1830+R1833+R1836+R1839+R1842</f>
        <v>0</v>
      </c>
      <c r="S1826" s="15">
        <f t="shared" si="1288"/>
        <v>0</v>
      </c>
      <c r="T1826" s="112">
        <f>T232</f>
        <v>2</v>
      </c>
      <c r="W1826" s="608">
        <f t="shared" si="1181"/>
        <v>56562970</v>
      </c>
      <c r="X1826" s="608">
        <f t="shared" si="1182"/>
        <v>0</v>
      </c>
      <c r="Z1826" s="572">
        <f t="shared" si="1241"/>
        <v>0</v>
      </c>
      <c r="AA1826" s="1">
        <f t="shared" si="1242"/>
        <v>0</v>
      </c>
    </row>
    <row r="1827" spans="1:27" x14ac:dyDescent="0.2">
      <c r="A1827" s="122" t="str">
        <f>A233</f>
        <v>2.8.1 Construction de latrines</v>
      </c>
      <c r="B1827" s="152"/>
      <c r="C1827" s="298" t="str">
        <f>C233</f>
        <v>En 2025, toutes les écoles disposent d'un bloc latrine pour 2 classes</v>
      </c>
      <c r="D1827" s="157">
        <f t="shared" si="1171"/>
        <v>5.0999999999999996</v>
      </c>
      <c r="E1827" s="157">
        <f t="shared" si="1172"/>
        <v>2250</v>
      </c>
      <c r="F1827" s="157">
        <f t="shared" si="1173"/>
        <v>2250</v>
      </c>
      <c r="G1827" s="157">
        <f t="shared" si="1174"/>
        <v>2250</v>
      </c>
      <c r="H1827" s="157">
        <f t="shared" si="1175"/>
        <v>2250</v>
      </c>
      <c r="I1827" s="270">
        <f t="shared" si="1176"/>
        <v>9005.1</v>
      </c>
      <c r="J1827" s="347">
        <f t="shared" si="1177"/>
        <v>0</v>
      </c>
      <c r="K1827" s="341">
        <f t="shared" si="1178"/>
        <v>0</v>
      </c>
      <c r="L1827" s="35">
        <f t="shared" ref="L1827:Q1827" si="1289">SUM(L1828:L1829)</f>
        <v>5100</v>
      </c>
      <c r="M1827" s="34">
        <f t="shared" si="1289"/>
        <v>2250000</v>
      </c>
      <c r="N1827" s="34">
        <f t="shared" si="1289"/>
        <v>2250000</v>
      </c>
      <c r="O1827" s="34">
        <f t="shared" si="1289"/>
        <v>2250000</v>
      </c>
      <c r="P1827" s="34">
        <f t="shared" si="1289"/>
        <v>2250000</v>
      </c>
      <c r="Q1827" s="26">
        <f t="shared" si="1289"/>
        <v>9005100</v>
      </c>
      <c r="R1827" s="227">
        <f t="shared" ref="R1827:S1827" si="1290">SUM(R1828:R1829)</f>
        <v>0</v>
      </c>
      <c r="S1827" s="155">
        <f t="shared" si="1290"/>
        <v>0</v>
      </c>
      <c r="T1827" s="153">
        <f>T233</f>
        <v>0</v>
      </c>
      <c r="W1827" s="608">
        <f t="shared" si="1181"/>
        <v>9005100</v>
      </c>
      <c r="X1827" s="608">
        <f t="shared" si="1182"/>
        <v>0</v>
      </c>
      <c r="Z1827" s="572">
        <f t="shared" si="1241"/>
        <v>0</v>
      </c>
      <c r="AA1827" s="1">
        <f t="shared" si="1242"/>
        <v>0</v>
      </c>
    </row>
    <row r="1828" spans="1:27" x14ac:dyDescent="0.2">
      <c r="A1828" s="123" t="str">
        <f>A234</f>
        <v>2.8.1.1 Identification des besoins et préparation du programme de mise à niveau</v>
      </c>
      <c r="B1828" s="202"/>
      <c r="C1828" s="298">
        <f>C234</f>
        <v>0</v>
      </c>
      <c r="D1828" s="168">
        <f t="shared" si="1171"/>
        <v>5.0999999999999996</v>
      </c>
      <c r="E1828" s="168">
        <f t="shared" si="1172"/>
        <v>0</v>
      </c>
      <c r="F1828" s="168">
        <f t="shared" si="1173"/>
        <v>0</v>
      </c>
      <c r="G1828" s="168">
        <f t="shared" si="1174"/>
        <v>0</v>
      </c>
      <c r="H1828" s="168">
        <f t="shared" si="1175"/>
        <v>0</v>
      </c>
      <c r="I1828" s="271">
        <f t="shared" si="1176"/>
        <v>5.0999999999999996</v>
      </c>
      <c r="J1828" s="349" t="str">
        <f t="shared" si="1177"/>
        <v>EPS-DEP-DIS</v>
      </c>
      <c r="K1828" s="342" t="str">
        <f t="shared" si="1178"/>
        <v>ND</v>
      </c>
      <c r="L1828" s="37">
        <f t="shared" ref="L1828:Q1828" si="1291">L234</f>
        <v>5100</v>
      </c>
      <c r="M1828" s="36">
        <f t="shared" si="1291"/>
        <v>0</v>
      </c>
      <c r="N1828" s="36">
        <f t="shared" si="1291"/>
        <v>0</v>
      </c>
      <c r="O1828" s="36">
        <f t="shared" si="1291"/>
        <v>0</v>
      </c>
      <c r="P1828" s="36">
        <f t="shared" si="1291"/>
        <v>0</v>
      </c>
      <c r="Q1828" s="236">
        <f t="shared" si="1291"/>
        <v>5100</v>
      </c>
      <c r="R1828" s="521" t="str">
        <f t="shared" ref="R1828:S1828" si="1292">R234</f>
        <v>EPS-DEP-DIS</v>
      </c>
      <c r="S1828" s="94" t="str">
        <f t="shared" si="1292"/>
        <v>ND</v>
      </c>
      <c r="T1828" s="153">
        <f>T234</f>
        <v>0</v>
      </c>
      <c r="W1828" s="608">
        <f t="shared" si="1181"/>
        <v>5100</v>
      </c>
      <c r="X1828" s="608">
        <f t="shared" si="1182"/>
        <v>0</v>
      </c>
      <c r="Z1828" s="572">
        <f t="shared" si="1241"/>
        <v>0</v>
      </c>
      <c r="AA1828" s="1">
        <f t="shared" si="1242"/>
        <v>0</v>
      </c>
    </row>
    <row r="1829" spans="1:27" x14ac:dyDescent="0.2">
      <c r="A1829" s="123" t="str">
        <f>A237</f>
        <v>2.8.1.1 Réalisation du programme de construction de latrines</v>
      </c>
      <c r="B1829" s="202"/>
      <c r="C1829" s="298">
        <f>C237</f>
        <v>0</v>
      </c>
      <c r="D1829" s="168">
        <f t="shared" si="1171"/>
        <v>0</v>
      </c>
      <c r="E1829" s="168">
        <f t="shared" si="1172"/>
        <v>2250</v>
      </c>
      <c r="F1829" s="168">
        <f t="shared" si="1173"/>
        <v>2250</v>
      </c>
      <c r="G1829" s="168">
        <f t="shared" si="1174"/>
        <v>2250</v>
      </c>
      <c r="H1829" s="168">
        <f t="shared" si="1175"/>
        <v>2250</v>
      </c>
      <c r="I1829" s="271">
        <f t="shared" si="1176"/>
        <v>9000</v>
      </c>
      <c r="J1829" s="349" t="str">
        <f t="shared" si="1177"/>
        <v>EPS-DEP-DIS</v>
      </c>
      <c r="K1829" s="342" t="str">
        <f t="shared" si="1178"/>
        <v>ND</v>
      </c>
      <c r="L1829" s="37">
        <f t="shared" ref="L1829:Q1829" si="1293">L237</f>
        <v>0</v>
      </c>
      <c r="M1829" s="36">
        <f t="shared" si="1293"/>
        <v>2250000</v>
      </c>
      <c r="N1829" s="36">
        <f t="shared" si="1293"/>
        <v>2250000</v>
      </c>
      <c r="O1829" s="36">
        <f t="shared" si="1293"/>
        <v>2250000</v>
      </c>
      <c r="P1829" s="36">
        <f t="shared" si="1293"/>
        <v>2250000</v>
      </c>
      <c r="Q1829" s="236">
        <f t="shared" si="1293"/>
        <v>9000000</v>
      </c>
      <c r="R1829" s="521" t="str">
        <f t="shared" ref="R1829:S1829" si="1294">R237</f>
        <v>EPS-DEP-DIS</v>
      </c>
      <c r="S1829" s="94" t="str">
        <f t="shared" si="1294"/>
        <v>ND</v>
      </c>
      <c r="T1829" s="153">
        <f>T237</f>
        <v>0</v>
      </c>
      <c r="W1829" s="608">
        <f t="shared" si="1181"/>
        <v>9000000</v>
      </c>
      <c r="X1829" s="608">
        <f t="shared" si="1182"/>
        <v>0</v>
      </c>
      <c r="Z1829" s="572">
        <f t="shared" si="1241"/>
        <v>0</v>
      </c>
      <c r="AA1829" s="1">
        <f t="shared" si="1242"/>
        <v>0</v>
      </c>
    </row>
    <row r="1830" spans="1:27" x14ac:dyDescent="0.2">
      <c r="A1830" s="122" t="str">
        <f>A239</f>
        <v>2.8.2 Accès à l'eau</v>
      </c>
      <c r="B1830" s="152"/>
      <c r="C1830" s="298" t="str">
        <f>C239</f>
        <v>En 2025, toutes les écoles ont accès à l'eau potable</v>
      </c>
      <c r="D1830" s="157">
        <f t="shared" si="1171"/>
        <v>5.0999999999999996</v>
      </c>
      <c r="E1830" s="157">
        <f t="shared" si="1172"/>
        <v>2800</v>
      </c>
      <c r="F1830" s="157">
        <f t="shared" si="1173"/>
        <v>2800</v>
      </c>
      <c r="G1830" s="157">
        <f t="shared" si="1174"/>
        <v>2800</v>
      </c>
      <c r="H1830" s="157">
        <f t="shared" si="1175"/>
        <v>2800</v>
      </c>
      <c r="I1830" s="270">
        <f t="shared" si="1176"/>
        <v>11205.1</v>
      </c>
      <c r="J1830" s="347">
        <f t="shared" si="1177"/>
        <v>0</v>
      </c>
      <c r="K1830" s="341">
        <f t="shared" si="1178"/>
        <v>0</v>
      </c>
      <c r="L1830" s="35">
        <f t="shared" ref="L1830:Q1830" si="1295">SUM(L1831:L1832)</f>
        <v>5100</v>
      </c>
      <c r="M1830" s="34">
        <f t="shared" si="1295"/>
        <v>2800000</v>
      </c>
      <c r="N1830" s="34">
        <f t="shared" si="1295"/>
        <v>2800000</v>
      </c>
      <c r="O1830" s="34">
        <f t="shared" si="1295"/>
        <v>2800000</v>
      </c>
      <c r="P1830" s="34">
        <f t="shared" si="1295"/>
        <v>2800000</v>
      </c>
      <c r="Q1830" s="26">
        <f t="shared" si="1295"/>
        <v>11205100</v>
      </c>
      <c r="R1830" s="227">
        <f t="shared" ref="R1830:S1830" si="1296">SUM(R1831:R1832)</f>
        <v>0</v>
      </c>
      <c r="S1830" s="155">
        <f t="shared" si="1296"/>
        <v>0</v>
      </c>
      <c r="T1830" s="153">
        <f>T239</f>
        <v>0</v>
      </c>
      <c r="W1830" s="608">
        <f t="shared" si="1181"/>
        <v>11205100</v>
      </c>
      <c r="X1830" s="608">
        <f t="shared" si="1182"/>
        <v>0</v>
      </c>
      <c r="Z1830" s="572">
        <f t="shared" si="1241"/>
        <v>0</v>
      </c>
      <c r="AA1830" s="1">
        <f t="shared" si="1242"/>
        <v>0</v>
      </c>
    </row>
    <row r="1831" spans="1:27" x14ac:dyDescent="0.2">
      <c r="A1831" s="123" t="str">
        <f>A240</f>
        <v>2.8.2.1 Identification des besoins et préparation du programme de mise à niveau</v>
      </c>
      <c r="B1831" s="202"/>
      <c r="C1831" s="298">
        <f>C240</f>
        <v>0</v>
      </c>
      <c r="D1831" s="168">
        <f t="shared" si="1171"/>
        <v>5.0999999999999996</v>
      </c>
      <c r="E1831" s="168">
        <f t="shared" si="1172"/>
        <v>0</v>
      </c>
      <c r="F1831" s="168">
        <f t="shared" si="1173"/>
        <v>0</v>
      </c>
      <c r="G1831" s="168">
        <f t="shared" si="1174"/>
        <v>0</v>
      </c>
      <c r="H1831" s="168">
        <f t="shared" si="1175"/>
        <v>0</v>
      </c>
      <c r="I1831" s="271">
        <f t="shared" si="1176"/>
        <v>5.0999999999999996</v>
      </c>
      <c r="J1831" s="349" t="str">
        <f t="shared" si="1177"/>
        <v>EPS-DEP-DIS</v>
      </c>
      <c r="K1831" s="342" t="str">
        <f t="shared" si="1178"/>
        <v>ND</v>
      </c>
      <c r="L1831" s="37">
        <f t="shared" ref="L1831:Q1831" si="1297">L240</f>
        <v>5100</v>
      </c>
      <c r="M1831" s="36">
        <f t="shared" si="1297"/>
        <v>0</v>
      </c>
      <c r="N1831" s="36">
        <f t="shared" si="1297"/>
        <v>0</v>
      </c>
      <c r="O1831" s="36">
        <f t="shared" si="1297"/>
        <v>0</v>
      </c>
      <c r="P1831" s="36">
        <f t="shared" si="1297"/>
        <v>0</v>
      </c>
      <c r="Q1831" s="236">
        <f t="shared" si="1297"/>
        <v>5100</v>
      </c>
      <c r="R1831" s="521" t="str">
        <f t="shared" ref="R1831:S1831" si="1298">R240</f>
        <v>EPS-DEP-DIS</v>
      </c>
      <c r="S1831" s="94" t="str">
        <f t="shared" si="1298"/>
        <v>ND</v>
      </c>
      <c r="T1831" s="153">
        <f>T240</f>
        <v>0</v>
      </c>
      <c r="W1831" s="608">
        <f t="shared" si="1181"/>
        <v>5100</v>
      </c>
      <c r="X1831" s="608">
        <f t="shared" si="1182"/>
        <v>0</v>
      </c>
      <c r="Z1831" s="572">
        <f t="shared" si="1241"/>
        <v>0</v>
      </c>
      <c r="AA1831" s="1">
        <f t="shared" si="1242"/>
        <v>0</v>
      </c>
    </row>
    <row r="1832" spans="1:27" x14ac:dyDescent="0.2">
      <c r="A1832" s="123" t="str">
        <f>A243</f>
        <v>2.8.2.2 Réalisation du programme d'équipement en point d'eau</v>
      </c>
      <c r="B1832" s="202"/>
      <c r="C1832" s="298">
        <f>C243</f>
        <v>0</v>
      </c>
      <c r="D1832" s="168">
        <f t="shared" si="1171"/>
        <v>0</v>
      </c>
      <c r="E1832" s="168">
        <f t="shared" si="1172"/>
        <v>2800</v>
      </c>
      <c r="F1832" s="168">
        <f t="shared" si="1173"/>
        <v>2800</v>
      </c>
      <c r="G1832" s="168">
        <f t="shared" si="1174"/>
        <v>2800</v>
      </c>
      <c r="H1832" s="168">
        <f t="shared" si="1175"/>
        <v>2800</v>
      </c>
      <c r="I1832" s="271">
        <f t="shared" si="1176"/>
        <v>11200</v>
      </c>
      <c r="J1832" s="349" t="str">
        <f t="shared" si="1177"/>
        <v>EPS-DEP-DIS</v>
      </c>
      <c r="K1832" s="342">
        <f t="shared" si="1178"/>
        <v>0</v>
      </c>
      <c r="L1832" s="37">
        <f t="shared" ref="L1832:Q1832" si="1299">L243</f>
        <v>0</v>
      </c>
      <c r="M1832" s="36">
        <f t="shared" si="1299"/>
        <v>2800000</v>
      </c>
      <c r="N1832" s="36">
        <f t="shared" si="1299"/>
        <v>2800000</v>
      </c>
      <c r="O1832" s="36">
        <f t="shared" si="1299"/>
        <v>2800000</v>
      </c>
      <c r="P1832" s="36">
        <f t="shared" si="1299"/>
        <v>2800000</v>
      </c>
      <c r="Q1832" s="236">
        <f t="shared" si="1299"/>
        <v>11200000</v>
      </c>
      <c r="R1832" s="228" t="str">
        <f t="shared" ref="R1832:S1832" si="1300">R243</f>
        <v>EPS-DEP-DIS</v>
      </c>
      <c r="S1832" s="203">
        <f t="shared" si="1300"/>
        <v>0</v>
      </c>
      <c r="T1832" s="153">
        <f>T243</f>
        <v>0</v>
      </c>
      <c r="W1832" s="608">
        <f t="shared" si="1181"/>
        <v>11200000</v>
      </c>
      <c r="X1832" s="608">
        <f t="shared" si="1182"/>
        <v>0</v>
      </c>
      <c r="Z1832" s="572">
        <f t="shared" si="1241"/>
        <v>0</v>
      </c>
      <c r="AA1832" s="1">
        <f t="shared" si="1242"/>
        <v>0</v>
      </c>
    </row>
    <row r="1833" spans="1:27" x14ac:dyDescent="0.2">
      <c r="A1833" s="122" t="str">
        <f>A245</f>
        <v>2.8.3 Accès à l'électricité</v>
      </c>
      <c r="B1833" s="152"/>
      <c r="C1833" s="298" t="str">
        <f>C245</f>
        <v>En 2025, 50% des écoles ont accès à l'énergie électrique</v>
      </c>
      <c r="D1833" s="157">
        <f t="shared" si="1171"/>
        <v>5.0999999999999996</v>
      </c>
      <c r="E1833" s="157">
        <f t="shared" si="1172"/>
        <v>2200</v>
      </c>
      <c r="F1833" s="157">
        <f t="shared" si="1173"/>
        <v>2200</v>
      </c>
      <c r="G1833" s="157">
        <f t="shared" si="1174"/>
        <v>2200</v>
      </c>
      <c r="H1833" s="157">
        <f t="shared" si="1175"/>
        <v>2200</v>
      </c>
      <c r="I1833" s="270">
        <f t="shared" si="1176"/>
        <v>8805.1</v>
      </c>
      <c r="J1833" s="347">
        <f t="shared" si="1177"/>
        <v>0</v>
      </c>
      <c r="K1833" s="341">
        <f t="shared" si="1178"/>
        <v>0</v>
      </c>
      <c r="L1833" s="35">
        <f t="shared" ref="L1833:Q1833" si="1301">SUM(L1834:L1835)</f>
        <v>5100</v>
      </c>
      <c r="M1833" s="34">
        <f t="shared" si="1301"/>
        <v>2200000</v>
      </c>
      <c r="N1833" s="34">
        <f t="shared" si="1301"/>
        <v>2200000</v>
      </c>
      <c r="O1833" s="34">
        <f t="shared" si="1301"/>
        <v>2200000</v>
      </c>
      <c r="P1833" s="34">
        <f t="shared" si="1301"/>
        <v>2200000</v>
      </c>
      <c r="Q1833" s="26">
        <f t="shared" si="1301"/>
        <v>8805100</v>
      </c>
      <c r="R1833" s="227">
        <f t="shared" ref="R1833:S1833" si="1302">SUM(R1834:R1835)</f>
        <v>0</v>
      </c>
      <c r="S1833" s="155">
        <f t="shared" si="1302"/>
        <v>0</v>
      </c>
      <c r="T1833" s="153">
        <f>T245</f>
        <v>0</v>
      </c>
      <c r="W1833" s="608">
        <f t="shared" si="1181"/>
        <v>8805100</v>
      </c>
      <c r="X1833" s="608">
        <f t="shared" si="1182"/>
        <v>0</v>
      </c>
      <c r="Z1833" s="572">
        <f t="shared" si="1241"/>
        <v>0</v>
      </c>
      <c r="AA1833" s="1">
        <f t="shared" si="1242"/>
        <v>0</v>
      </c>
    </row>
    <row r="1834" spans="1:27" x14ac:dyDescent="0.2">
      <c r="A1834" s="123" t="str">
        <f>A246</f>
        <v>2.8.3.1 Identification des besoins et préparation du programme de mise à niveau</v>
      </c>
      <c r="B1834" s="202"/>
      <c r="C1834" s="298">
        <f>C246</f>
        <v>0</v>
      </c>
      <c r="D1834" s="168">
        <f t="shared" si="1171"/>
        <v>5.0999999999999996</v>
      </c>
      <c r="E1834" s="168">
        <f t="shared" si="1172"/>
        <v>0</v>
      </c>
      <c r="F1834" s="168">
        <f t="shared" si="1173"/>
        <v>0</v>
      </c>
      <c r="G1834" s="168">
        <f t="shared" si="1174"/>
        <v>0</v>
      </c>
      <c r="H1834" s="168">
        <f t="shared" si="1175"/>
        <v>0</v>
      </c>
      <c r="I1834" s="271">
        <f t="shared" si="1176"/>
        <v>5.0999999999999996</v>
      </c>
      <c r="J1834" s="349" t="str">
        <f t="shared" si="1177"/>
        <v>EPS-DEP-DIS</v>
      </c>
      <c r="K1834" s="342" t="str">
        <f t="shared" si="1178"/>
        <v>ND</v>
      </c>
      <c r="L1834" s="37">
        <f t="shared" ref="L1834:Q1834" si="1303">L246</f>
        <v>5100</v>
      </c>
      <c r="M1834" s="36">
        <f t="shared" si="1303"/>
        <v>0</v>
      </c>
      <c r="N1834" s="36">
        <f t="shared" si="1303"/>
        <v>0</v>
      </c>
      <c r="O1834" s="36">
        <f t="shared" si="1303"/>
        <v>0</v>
      </c>
      <c r="P1834" s="36">
        <f t="shared" si="1303"/>
        <v>0</v>
      </c>
      <c r="Q1834" s="236">
        <f t="shared" si="1303"/>
        <v>5100</v>
      </c>
      <c r="R1834" s="521" t="str">
        <f t="shared" ref="R1834:S1834" si="1304">R246</f>
        <v>EPS-DEP-DIS</v>
      </c>
      <c r="S1834" s="94" t="str">
        <f t="shared" si="1304"/>
        <v>ND</v>
      </c>
      <c r="T1834" s="153">
        <f>T246</f>
        <v>0</v>
      </c>
      <c r="W1834" s="608">
        <f t="shared" si="1181"/>
        <v>5100</v>
      </c>
      <c r="X1834" s="608">
        <f t="shared" si="1182"/>
        <v>0</v>
      </c>
      <c r="Z1834" s="572">
        <f t="shared" si="1241"/>
        <v>0</v>
      </c>
      <c r="AA1834" s="1">
        <f t="shared" si="1242"/>
        <v>0</v>
      </c>
    </row>
    <row r="1835" spans="1:27" x14ac:dyDescent="0.2">
      <c r="A1835" s="123" t="str">
        <f>A249</f>
        <v>2.8.3.2 Réalisation du programme d'équipement en électricité</v>
      </c>
      <c r="B1835" s="202"/>
      <c r="C1835" s="298">
        <f>C249</f>
        <v>0</v>
      </c>
      <c r="D1835" s="168">
        <f t="shared" si="1171"/>
        <v>0</v>
      </c>
      <c r="E1835" s="168">
        <f t="shared" si="1172"/>
        <v>2200</v>
      </c>
      <c r="F1835" s="168">
        <f t="shared" si="1173"/>
        <v>2200</v>
      </c>
      <c r="G1835" s="168">
        <f t="shared" si="1174"/>
        <v>2200</v>
      </c>
      <c r="H1835" s="168">
        <f t="shared" si="1175"/>
        <v>2200</v>
      </c>
      <c r="I1835" s="271">
        <f t="shared" si="1176"/>
        <v>8800</v>
      </c>
      <c r="J1835" s="349" t="str">
        <f t="shared" si="1177"/>
        <v>EPS-DEP-DIS</v>
      </c>
      <c r="K1835" s="342">
        <f t="shared" si="1178"/>
        <v>0</v>
      </c>
      <c r="L1835" s="37">
        <f t="shared" ref="L1835:Q1835" si="1305">L249</f>
        <v>0</v>
      </c>
      <c r="M1835" s="36">
        <f t="shared" si="1305"/>
        <v>2200000</v>
      </c>
      <c r="N1835" s="36">
        <f t="shared" si="1305"/>
        <v>2200000</v>
      </c>
      <c r="O1835" s="36">
        <f t="shared" si="1305"/>
        <v>2200000</v>
      </c>
      <c r="P1835" s="36">
        <f t="shared" si="1305"/>
        <v>2200000</v>
      </c>
      <c r="Q1835" s="236">
        <f t="shared" si="1305"/>
        <v>8800000</v>
      </c>
      <c r="R1835" s="169" t="str">
        <f t="shared" ref="R1835:S1835" si="1306">R249</f>
        <v>EPS-DEP-DIS</v>
      </c>
      <c r="S1835" s="203">
        <f t="shared" si="1306"/>
        <v>0</v>
      </c>
      <c r="T1835" s="153">
        <f>T249</f>
        <v>0</v>
      </c>
      <c r="W1835" s="608">
        <f t="shared" si="1181"/>
        <v>8800000</v>
      </c>
      <c r="X1835" s="608">
        <f t="shared" si="1182"/>
        <v>0</v>
      </c>
      <c r="Z1835" s="572">
        <f t="shared" si="1241"/>
        <v>0</v>
      </c>
      <c r="AA1835" s="1">
        <f t="shared" si="1242"/>
        <v>0</v>
      </c>
    </row>
    <row r="1836" spans="1:27" x14ac:dyDescent="0.2">
      <c r="A1836" s="122" t="str">
        <f>A251</f>
        <v>2.8.4 Clôtures des écoles</v>
      </c>
      <c r="B1836" s="152"/>
      <c r="C1836" s="298" t="str">
        <f>C251</f>
        <v>En 2025, toutes les écoles ont une clôture</v>
      </c>
      <c r="D1836" s="157">
        <f t="shared" si="1171"/>
        <v>5.0999999999999996</v>
      </c>
      <c r="E1836" s="157">
        <f t="shared" si="1172"/>
        <v>2400</v>
      </c>
      <c r="F1836" s="157">
        <f t="shared" si="1173"/>
        <v>2400</v>
      </c>
      <c r="G1836" s="157">
        <f t="shared" si="1174"/>
        <v>2400</v>
      </c>
      <c r="H1836" s="157">
        <f t="shared" si="1175"/>
        <v>2400</v>
      </c>
      <c r="I1836" s="270">
        <f t="shared" si="1176"/>
        <v>9605.1</v>
      </c>
      <c r="J1836" s="347">
        <f t="shared" si="1177"/>
        <v>0</v>
      </c>
      <c r="K1836" s="341">
        <f t="shared" si="1178"/>
        <v>0</v>
      </c>
      <c r="L1836" s="35">
        <f t="shared" ref="L1836:Q1836" si="1307">SUM(L1837:L1838)</f>
        <v>5100</v>
      </c>
      <c r="M1836" s="34">
        <f t="shared" si="1307"/>
        <v>2400000</v>
      </c>
      <c r="N1836" s="34">
        <f t="shared" si="1307"/>
        <v>2400000</v>
      </c>
      <c r="O1836" s="34">
        <f t="shared" si="1307"/>
        <v>2400000</v>
      </c>
      <c r="P1836" s="34">
        <f t="shared" si="1307"/>
        <v>2400000</v>
      </c>
      <c r="Q1836" s="26">
        <f t="shared" si="1307"/>
        <v>9605100</v>
      </c>
      <c r="R1836" s="227">
        <f t="shared" ref="R1836:S1836" si="1308">SUM(R1837:R1838)</f>
        <v>0</v>
      </c>
      <c r="S1836" s="155">
        <f t="shared" si="1308"/>
        <v>0</v>
      </c>
      <c r="T1836" s="153">
        <f>T251</f>
        <v>0</v>
      </c>
      <c r="W1836" s="608">
        <f t="shared" si="1181"/>
        <v>9605100</v>
      </c>
      <c r="X1836" s="608">
        <f t="shared" si="1182"/>
        <v>0</v>
      </c>
      <c r="Z1836" s="572">
        <f t="shared" si="1241"/>
        <v>0</v>
      </c>
      <c r="AA1836" s="1">
        <f t="shared" si="1242"/>
        <v>0</v>
      </c>
    </row>
    <row r="1837" spans="1:27" x14ac:dyDescent="0.2">
      <c r="A1837" s="123" t="str">
        <f>A252</f>
        <v>2.8.4.1 Identification des besoins et préparation du programme de mise à niveau</v>
      </c>
      <c r="B1837" s="202"/>
      <c r="C1837" s="298">
        <f>C252</f>
        <v>0</v>
      </c>
      <c r="D1837" s="168">
        <f t="shared" ref="D1837:D1912" si="1309">L1837/1000</f>
        <v>5.0999999999999996</v>
      </c>
      <c r="E1837" s="168">
        <f t="shared" ref="E1837:E1912" si="1310">M1837/1000</f>
        <v>0</v>
      </c>
      <c r="F1837" s="168">
        <f t="shared" ref="F1837:F1912" si="1311">N1837/1000</f>
        <v>0</v>
      </c>
      <c r="G1837" s="168">
        <f t="shared" ref="G1837:G1912" si="1312">O1837/1000</f>
        <v>0</v>
      </c>
      <c r="H1837" s="168">
        <f t="shared" ref="H1837:H1912" si="1313">P1837/1000</f>
        <v>0</v>
      </c>
      <c r="I1837" s="271">
        <f t="shared" ref="I1837:I1912" si="1314">Q1837/1000</f>
        <v>5.0999999999999996</v>
      </c>
      <c r="J1837" s="349" t="str">
        <f t="shared" ref="J1837:J1912" si="1315">R1837</f>
        <v>EPS-DEP-DIS</v>
      </c>
      <c r="K1837" s="342" t="str">
        <f t="shared" ref="K1837:K1912" si="1316">S1837</f>
        <v>ND</v>
      </c>
      <c r="L1837" s="37">
        <f t="shared" ref="L1837:Q1837" si="1317">L252</f>
        <v>5100</v>
      </c>
      <c r="M1837" s="36">
        <f t="shared" si="1317"/>
        <v>0</v>
      </c>
      <c r="N1837" s="36">
        <f t="shared" si="1317"/>
        <v>0</v>
      </c>
      <c r="O1837" s="36">
        <f t="shared" si="1317"/>
        <v>0</v>
      </c>
      <c r="P1837" s="36">
        <f t="shared" si="1317"/>
        <v>0</v>
      </c>
      <c r="Q1837" s="27">
        <f t="shared" si="1317"/>
        <v>5100</v>
      </c>
      <c r="R1837" s="521" t="str">
        <f t="shared" ref="R1837:S1837" si="1318">R252</f>
        <v>EPS-DEP-DIS</v>
      </c>
      <c r="S1837" s="94" t="str">
        <f t="shared" si="1318"/>
        <v>ND</v>
      </c>
      <c r="T1837" s="153">
        <f>T252</f>
        <v>0</v>
      </c>
      <c r="W1837" s="608">
        <f t="shared" ref="W1837:W1912" si="1319">SUM(L1837:P1837)</f>
        <v>5100</v>
      </c>
      <c r="X1837" s="608">
        <f t="shared" ref="X1837:X1912" si="1320">W1837-Q1837</f>
        <v>0</v>
      </c>
      <c r="Z1837" s="572">
        <f t="shared" si="1241"/>
        <v>0</v>
      </c>
      <c r="AA1837" s="1">
        <f t="shared" si="1242"/>
        <v>0</v>
      </c>
    </row>
    <row r="1838" spans="1:27" x14ac:dyDescent="0.2">
      <c r="A1838" s="123" t="str">
        <f>A255</f>
        <v xml:space="preserve">2.8.4.2 Réalisation du programme de construction des clôtures </v>
      </c>
      <c r="B1838" s="202"/>
      <c r="C1838" s="298">
        <f>C255</f>
        <v>0</v>
      </c>
      <c r="D1838" s="168">
        <f t="shared" si="1309"/>
        <v>0</v>
      </c>
      <c r="E1838" s="168">
        <f t="shared" si="1310"/>
        <v>2400</v>
      </c>
      <c r="F1838" s="168">
        <f t="shared" si="1311"/>
        <v>2400</v>
      </c>
      <c r="G1838" s="168">
        <f t="shared" si="1312"/>
        <v>2400</v>
      </c>
      <c r="H1838" s="168">
        <f t="shared" si="1313"/>
        <v>2400</v>
      </c>
      <c r="I1838" s="271">
        <f t="shared" si="1314"/>
        <v>9600</v>
      </c>
      <c r="J1838" s="349" t="str">
        <f t="shared" si="1315"/>
        <v>EPS-DEP-DIS</v>
      </c>
      <c r="K1838" s="342">
        <f t="shared" si="1316"/>
        <v>0</v>
      </c>
      <c r="L1838" s="37">
        <f t="shared" ref="L1838:Q1838" si="1321">L255</f>
        <v>0</v>
      </c>
      <c r="M1838" s="36">
        <f t="shared" si="1321"/>
        <v>2400000</v>
      </c>
      <c r="N1838" s="36">
        <f t="shared" si="1321"/>
        <v>2400000</v>
      </c>
      <c r="O1838" s="36">
        <f t="shared" si="1321"/>
        <v>2400000</v>
      </c>
      <c r="P1838" s="36">
        <f t="shared" si="1321"/>
        <v>2400000</v>
      </c>
      <c r="Q1838" s="236">
        <f t="shared" si="1321"/>
        <v>9600000</v>
      </c>
      <c r="R1838" s="169" t="str">
        <f t="shared" ref="R1838:S1838" si="1322">R255</f>
        <v>EPS-DEP-DIS</v>
      </c>
      <c r="S1838" s="203">
        <f t="shared" si="1322"/>
        <v>0</v>
      </c>
      <c r="T1838" s="153">
        <f>T255</f>
        <v>0</v>
      </c>
      <c r="W1838" s="608">
        <f t="shared" si="1319"/>
        <v>9600000</v>
      </c>
      <c r="X1838" s="608">
        <f t="shared" si="1320"/>
        <v>0</v>
      </c>
      <c r="Z1838" s="572">
        <f t="shared" si="1241"/>
        <v>0</v>
      </c>
      <c r="AA1838" s="1">
        <f t="shared" si="1242"/>
        <v>0</v>
      </c>
    </row>
    <row r="1839" spans="1:27" x14ac:dyDescent="0.2">
      <c r="A1839" s="17" t="str">
        <f>A257</f>
        <v>2.8.5 Équipement pour activités physiques et sportives</v>
      </c>
      <c r="B1839" s="45"/>
      <c r="C1839" s="297" t="str">
        <f>C257</f>
        <v>A partir de 2016, toutes les écoles reçoivent chaque année un lot de matériels pour les activités physiques et sportives</v>
      </c>
      <c r="D1839" s="157">
        <f t="shared" si="1309"/>
        <v>2346.0500000000002</v>
      </c>
      <c r="E1839" s="157">
        <f t="shared" si="1310"/>
        <v>2465.4</v>
      </c>
      <c r="F1839" s="157">
        <f t="shared" si="1311"/>
        <v>2576.5500000000002</v>
      </c>
      <c r="G1839" s="157">
        <f t="shared" si="1312"/>
        <v>2668.3</v>
      </c>
      <c r="H1839" s="157">
        <f t="shared" si="1313"/>
        <v>2735.75</v>
      </c>
      <c r="I1839" s="270">
        <f t="shared" si="1314"/>
        <v>12792.05</v>
      </c>
      <c r="J1839" s="347">
        <f t="shared" si="1315"/>
        <v>0</v>
      </c>
      <c r="K1839" s="348">
        <f t="shared" si="1316"/>
        <v>0</v>
      </c>
      <c r="L1839" s="35">
        <f t="shared" ref="L1839:Q1839" si="1323">SUM(L1840:L1841)</f>
        <v>2346050</v>
      </c>
      <c r="M1839" s="34">
        <f t="shared" si="1323"/>
        <v>2465400</v>
      </c>
      <c r="N1839" s="34">
        <f t="shared" si="1323"/>
        <v>2576550</v>
      </c>
      <c r="O1839" s="34">
        <f t="shared" si="1323"/>
        <v>2668300</v>
      </c>
      <c r="P1839" s="34">
        <f t="shared" si="1323"/>
        <v>2735750</v>
      </c>
      <c r="Q1839" s="26">
        <f t="shared" si="1323"/>
        <v>12792050</v>
      </c>
      <c r="R1839" s="19">
        <f t="shared" ref="R1839:S1839" si="1324">SUM(R1840:R1841)</f>
        <v>0</v>
      </c>
      <c r="S1839" s="18">
        <f t="shared" si="1324"/>
        <v>0</v>
      </c>
      <c r="T1839" s="51">
        <f>T257</f>
        <v>0</v>
      </c>
      <c r="W1839" s="608">
        <f t="shared" si="1319"/>
        <v>12792050</v>
      </c>
      <c r="X1839" s="608">
        <f t="shared" si="1320"/>
        <v>0</v>
      </c>
      <c r="Z1839" s="572">
        <f t="shared" si="1241"/>
        <v>0</v>
      </c>
      <c r="AA1839" s="1">
        <f t="shared" si="1242"/>
        <v>0</v>
      </c>
    </row>
    <row r="1840" spans="1:27" x14ac:dyDescent="0.2">
      <c r="A1840" s="20" t="str">
        <f>A258</f>
        <v xml:space="preserve">2.8.5.1 Définition d'un kit minimum pour une école d'équipements pour activités physiques et sportives </v>
      </c>
      <c r="B1840" s="46"/>
      <c r="C1840" s="297">
        <f>C258</f>
        <v>0</v>
      </c>
      <c r="D1840" s="168">
        <f t="shared" si="1309"/>
        <v>7</v>
      </c>
      <c r="E1840" s="168">
        <f t="shared" si="1310"/>
        <v>0</v>
      </c>
      <c r="F1840" s="168">
        <f t="shared" si="1311"/>
        <v>0</v>
      </c>
      <c r="G1840" s="168">
        <f t="shared" si="1312"/>
        <v>0</v>
      </c>
      <c r="H1840" s="168">
        <f t="shared" si="1313"/>
        <v>0</v>
      </c>
      <c r="I1840" s="271">
        <f t="shared" si="1314"/>
        <v>7</v>
      </c>
      <c r="J1840" s="349" t="str">
        <f t="shared" si="1315"/>
        <v>EPS-Dir. Sport et loisirs</v>
      </c>
      <c r="K1840" s="350" t="str">
        <f t="shared" si="1316"/>
        <v>GVT</v>
      </c>
      <c r="L1840" s="37">
        <f t="shared" ref="L1840:Q1840" si="1325">L258</f>
        <v>7000</v>
      </c>
      <c r="M1840" s="36">
        <f t="shared" si="1325"/>
        <v>0</v>
      </c>
      <c r="N1840" s="36">
        <f t="shared" si="1325"/>
        <v>0</v>
      </c>
      <c r="O1840" s="36">
        <f t="shared" si="1325"/>
        <v>0</v>
      </c>
      <c r="P1840" s="36">
        <f t="shared" si="1325"/>
        <v>0</v>
      </c>
      <c r="Q1840" s="236">
        <f t="shared" si="1325"/>
        <v>7000</v>
      </c>
      <c r="R1840" s="198" t="str">
        <f t="shared" ref="R1840:S1840" si="1326">R258</f>
        <v>EPS-Dir. Sport et loisirs</v>
      </c>
      <c r="S1840" s="115" t="str">
        <f t="shared" si="1326"/>
        <v>GVT</v>
      </c>
      <c r="T1840" s="51">
        <f>T258</f>
        <v>0</v>
      </c>
      <c r="W1840" s="608">
        <f t="shared" si="1319"/>
        <v>7000</v>
      </c>
      <c r="X1840" s="608">
        <f t="shared" si="1320"/>
        <v>0</v>
      </c>
      <c r="Z1840" s="572">
        <f t="shared" si="1241"/>
        <v>0</v>
      </c>
      <c r="AA1840" s="1">
        <f t="shared" si="1242"/>
        <v>0</v>
      </c>
    </row>
    <row r="1841" spans="1:27" x14ac:dyDescent="0.2">
      <c r="A1841" s="20" t="str">
        <f>A261</f>
        <v>2.8.5.2 Acquisition et distribution d'équipement pour activités physiques et sportives</v>
      </c>
      <c r="B1841" s="46"/>
      <c r="C1841" s="297">
        <f>C261</f>
        <v>0</v>
      </c>
      <c r="D1841" s="168">
        <f t="shared" si="1309"/>
        <v>2339.0500000000002</v>
      </c>
      <c r="E1841" s="168">
        <f t="shared" si="1310"/>
        <v>2465.4</v>
      </c>
      <c r="F1841" s="168">
        <f t="shared" si="1311"/>
        <v>2576.5500000000002</v>
      </c>
      <c r="G1841" s="168">
        <f t="shared" si="1312"/>
        <v>2668.3</v>
      </c>
      <c r="H1841" s="168">
        <f t="shared" si="1313"/>
        <v>2735.75</v>
      </c>
      <c r="I1841" s="271">
        <f t="shared" si="1314"/>
        <v>12785.05</v>
      </c>
      <c r="J1841" s="349" t="str">
        <f t="shared" si="1315"/>
        <v>EPS-Dir. Sport et loisirs</v>
      </c>
      <c r="K1841" s="350" t="str">
        <f t="shared" si="1316"/>
        <v>GVT</v>
      </c>
      <c r="L1841" s="37">
        <f t="shared" ref="L1841:Q1841" si="1327">L261</f>
        <v>2339050</v>
      </c>
      <c r="M1841" s="36">
        <f t="shared" si="1327"/>
        <v>2465400</v>
      </c>
      <c r="N1841" s="36">
        <f t="shared" si="1327"/>
        <v>2576550</v>
      </c>
      <c r="O1841" s="36">
        <f t="shared" si="1327"/>
        <v>2668300</v>
      </c>
      <c r="P1841" s="36">
        <f t="shared" si="1327"/>
        <v>2735750</v>
      </c>
      <c r="Q1841" s="236">
        <f t="shared" si="1327"/>
        <v>12785050</v>
      </c>
      <c r="R1841" s="198" t="str">
        <f t="shared" ref="R1841:S1841" si="1328">R261</f>
        <v>EPS-Dir. Sport et loisirs</v>
      </c>
      <c r="S1841" s="115" t="str">
        <f t="shared" si="1328"/>
        <v>GVT</v>
      </c>
      <c r="T1841" s="51">
        <f>T261</f>
        <v>0</v>
      </c>
      <c r="W1841" s="608">
        <f t="shared" si="1319"/>
        <v>12785050</v>
      </c>
      <c r="X1841" s="608">
        <f t="shared" si="1320"/>
        <v>0</v>
      </c>
      <c r="Z1841" s="572">
        <f t="shared" si="1241"/>
        <v>0</v>
      </c>
      <c r="AA1841" s="1">
        <f t="shared" si="1242"/>
        <v>0</v>
      </c>
    </row>
    <row r="1842" spans="1:27" x14ac:dyDescent="0.2">
      <c r="A1842" s="17" t="str">
        <f>A263</f>
        <v>2.8.6 Équipement en bibliothèques</v>
      </c>
      <c r="B1842" s="45"/>
      <c r="C1842" s="297" t="str">
        <f>C263</f>
        <v>A partir de 2016, toutes les écoles reçoivent chaque année un lot de livres ou une dotation financière</v>
      </c>
      <c r="D1842" s="157">
        <f t="shared" si="1309"/>
        <v>972.12</v>
      </c>
      <c r="E1842" s="157">
        <f t="shared" si="1310"/>
        <v>986.16</v>
      </c>
      <c r="F1842" s="157">
        <f t="shared" si="1311"/>
        <v>1030.6199999999999</v>
      </c>
      <c r="G1842" s="157">
        <f t="shared" si="1312"/>
        <v>1067.32</v>
      </c>
      <c r="H1842" s="157">
        <f t="shared" si="1313"/>
        <v>1094.3</v>
      </c>
      <c r="I1842" s="270">
        <f t="shared" si="1314"/>
        <v>5150.5200000000004</v>
      </c>
      <c r="J1842" s="347">
        <f t="shared" si="1315"/>
        <v>0</v>
      </c>
      <c r="K1842" s="348">
        <f t="shared" si="1316"/>
        <v>0</v>
      </c>
      <c r="L1842" s="35">
        <f t="shared" ref="L1842:Q1842" si="1329">SUM(L1843:L1845)</f>
        <v>972120</v>
      </c>
      <c r="M1842" s="34">
        <f t="shared" si="1329"/>
        <v>986160</v>
      </c>
      <c r="N1842" s="34">
        <f t="shared" si="1329"/>
        <v>1030620</v>
      </c>
      <c r="O1842" s="34">
        <f t="shared" si="1329"/>
        <v>1067320</v>
      </c>
      <c r="P1842" s="34">
        <f t="shared" si="1329"/>
        <v>1094300</v>
      </c>
      <c r="Q1842" s="26">
        <f t="shared" si="1329"/>
        <v>5150520</v>
      </c>
      <c r="R1842" s="19">
        <f t="shared" ref="R1842:S1842" si="1330">SUM(R1843:R1845)</f>
        <v>0</v>
      </c>
      <c r="S1842" s="18">
        <f t="shared" si="1330"/>
        <v>0</v>
      </c>
      <c r="T1842" s="51">
        <f>T263</f>
        <v>0</v>
      </c>
      <c r="W1842" s="608">
        <f t="shared" si="1319"/>
        <v>5150520</v>
      </c>
      <c r="X1842" s="608">
        <f t="shared" si="1320"/>
        <v>0</v>
      </c>
      <c r="Z1842" s="572">
        <f t="shared" si="1241"/>
        <v>0</v>
      </c>
      <c r="AA1842" s="1">
        <f t="shared" si="1242"/>
        <v>0</v>
      </c>
    </row>
    <row r="1843" spans="1:27" x14ac:dyDescent="0.2">
      <c r="A1843" s="20" t="str">
        <f>A264</f>
        <v>2.8.6.1 Diagnostic de la situation et définition d'une bibliothèque standard (équipements, ouvrages, etc.)</v>
      </c>
      <c r="B1843" s="46"/>
      <c r="C1843" s="297">
        <f>C264</f>
        <v>0</v>
      </c>
      <c r="D1843" s="168">
        <f t="shared" si="1309"/>
        <v>8.5</v>
      </c>
      <c r="E1843" s="168">
        <f t="shared" si="1310"/>
        <v>0</v>
      </c>
      <c r="F1843" s="168">
        <f t="shared" si="1311"/>
        <v>0</v>
      </c>
      <c r="G1843" s="168">
        <f t="shared" si="1312"/>
        <v>0</v>
      </c>
      <c r="H1843" s="168">
        <f t="shared" si="1313"/>
        <v>0</v>
      </c>
      <c r="I1843" s="271">
        <f t="shared" si="1314"/>
        <v>8.5</v>
      </c>
      <c r="J1843" s="349" t="str">
        <f t="shared" si="1315"/>
        <v>EPS-DIPROMAD</v>
      </c>
      <c r="K1843" s="350" t="str">
        <f t="shared" si="1316"/>
        <v>ND</v>
      </c>
      <c r="L1843" s="37">
        <f t="shared" ref="L1843:Q1843" si="1331">L264</f>
        <v>8500</v>
      </c>
      <c r="M1843" s="36">
        <f t="shared" si="1331"/>
        <v>0</v>
      </c>
      <c r="N1843" s="36">
        <f t="shared" si="1331"/>
        <v>0</v>
      </c>
      <c r="O1843" s="36">
        <f t="shared" si="1331"/>
        <v>0</v>
      </c>
      <c r="P1843" s="36">
        <f t="shared" si="1331"/>
        <v>0</v>
      </c>
      <c r="Q1843" s="236">
        <f t="shared" si="1331"/>
        <v>8500</v>
      </c>
      <c r="R1843" s="198" t="str">
        <f t="shared" ref="R1843:S1843" si="1332">R264</f>
        <v>EPS-DIPROMAD</v>
      </c>
      <c r="S1843" s="115" t="str">
        <f t="shared" si="1332"/>
        <v>ND</v>
      </c>
      <c r="T1843" s="51">
        <f>T264</f>
        <v>0</v>
      </c>
      <c r="W1843" s="608">
        <f t="shared" si="1319"/>
        <v>8500</v>
      </c>
      <c r="X1843" s="608">
        <f t="shared" si="1320"/>
        <v>0</v>
      </c>
      <c r="Z1843" s="572">
        <f t="shared" si="1241"/>
        <v>0</v>
      </c>
      <c r="AA1843" s="1">
        <f t="shared" si="1242"/>
        <v>0</v>
      </c>
    </row>
    <row r="1844" spans="1:27" x14ac:dyDescent="0.2">
      <c r="A1844" s="20" t="str">
        <f>A267</f>
        <v>2.8.6.3 Élaboration d'un guide de gestion d'une bibliothèque (archivage, etc.) et formation à la gestion de bibliothèque</v>
      </c>
      <c r="B1844" s="46"/>
      <c r="C1844" s="297">
        <f>C267</f>
        <v>0</v>
      </c>
      <c r="D1844" s="168">
        <f t="shared" si="1309"/>
        <v>28</v>
      </c>
      <c r="E1844" s="168">
        <f t="shared" si="1310"/>
        <v>0</v>
      </c>
      <c r="F1844" s="168">
        <f t="shared" si="1311"/>
        <v>0</v>
      </c>
      <c r="G1844" s="168">
        <f t="shared" si="1312"/>
        <v>0</v>
      </c>
      <c r="H1844" s="168">
        <f t="shared" si="1313"/>
        <v>0</v>
      </c>
      <c r="I1844" s="271">
        <f t="shared" si="1314"/>
        <v>28</v>
      </c>
      <c r="J1844" s="349" t="str">
        <f t="shared" si="1315"/>
        <v>EPS-DIPROMAD</v>
      </c>
      <c r="K1844" s="350" t="str">
        <f t="shared" si="1316"/>
        <v>ND</v>
      </c>
      <c r="L1844" s="37">
        <f t="shared" ref="L1844:Q1844" si="1333">L267</f>
        <v>28000</v>
      </c>
      <c r="M1844" s="36">
        <f t="shared" si="1333"/>
        <v>0</v>
      </c>
      <c r="N1844" s="36">
        <f t="shared" si="1333"/>
        <v>0</v>
      </c>
      <c r="O1844" s="36">
        <f t="shared" si="1333"/>
        <v>0</v>
      </c>
      <c r="P1844" s="36">
        <f t="shared" si="1333"/>
        <v>0</v>
      </c>
      <c r="Q1844" s="236">
        <f t="shared" si="1333"/>
        <v>28000</v>
      </c>
      <c r="R1844" s="198" t="str">
        <f t="shared" ref="R1844:S1844" si="1334">R267</f>
        <v>EPS-DIPROMAD</v>
      </c>
      <c r="S1844" s="115" t="str">
        <f t="shared" si="1334"/>
        <v>ND</v>
      </c>
      <c r="T1844" s="51">
        <f>T267</f>
        <v>0</v>
      </c>
      <c r="W1844" s="608">
        <f t="shared" si="1319"/>
        <v>28000</v>
      </c>
      <c r="X1844" s="608">
        <f t="shared" si="1320"/>
        <v>0</v>
      </c>
      <c r="Z1844" s="572">
        <f t="shared" si="1241"/>
        <v>0</v>
      </c>
      <c r="AA1844" s="1">
        <f t="shared" si="1242"/>
        <v>0</v>
      </c>
    </row>
    <row r="1845" spans="1:27" x14ac:dyDescent="0.2">
      <c r="A1845" s="20" t="str">
        <f>A271</f>
        <v>2.8.6.4 Acquisition et distribution de livres</v>
      </c>
      <c r="B1845" s="46"/>
      <c r="C1845" s="297">
        <f>C271</f>
        <v>0</v>
      </c>
      <c r="D1845" s="168">
        <f t="shared" si="1309"/>
        <v>935.62</v>
      </c>
      <c r="E1845" s="168">
        <f t="shared" si="1310"/>
        <v>986.16</v>
      </c>
      <c r="F1845" s="168">
        <f t="shared" si="1311"/>
        <v>1030.6199999999999</v>
      </c>
      <c r="G1845" s="168">
        <f t="shared" si="1312"/>
        <v>1067.32</v>
      </c>
      <c r="H1845" s="168">
        <f t="shared" si="1313"/>
        <v>1094.3</v>
      </c>
      <c r="I1845" s="271">
        <f t="shared" si="1314"/>
        <v>5114.0200000000004</v>
      </c>
      <c r="J1845" s="349" t="str">
        <f t="shared" si="1315"/>
        <v>EPS-DIPROMAD</v>
      </c>
      <c r="K1845" s="350" t="str">
        <f t="shared" si="1316"/>
        <v>ND</v>
      </c>
      <c r="L1845" s="37">
        <f t="shared" ref="L1845:Q1845" si="1335">L271</f>
        <v>935620</v>
      </c>
      <c r="M1845" s="36">
        <f t="shared" si="1335"/>
        <v>986160</v>
      </c>
      <c r="N1845" s="36">
        <f t="shared" si="1335"/>
        <v>1030620</v>
      </c>
      <c r="O1845" s="36">
        <f t="shared" si="1335"/>
        <v>1067320</v>
      </c>
      <c r="P1845" s="36">
        <f t="shared" si="1335"/>
        <v>1094300</v>
      </c>
      <c r="Q1845" s="236">
        <f t="shared" si="1335"/>
        <v>5114020</v>
      </c>
      <c r="R1845" s="198" t="str">
        <f t="shared" ref="R1845:S1845" si="1336">R271</f>
        <v>EPS-DIPROMAD</v>
      </c>
      <c r="S1845" s="115" t="str">
        <f t="shared" si="1336"/>
        <v>ND</v>
      </c>
      <c r="T1845" s="51">
        <f>T271</f>
        <v>0</v>
      </c>
      <c r="W1845" s="608">
        <f t="shared" si="1319"/>
        <v>5114020</v>
      </c>
      <c r="X1845" s="608">
        <f t="shared" si="1320"/>
        <v>0</v>
      </c>
      <c r="Z1845" s="572">
        <f t="shared" si="1241"/>
        <v>0</v>
      </c>
      <c r="AA1845" s="1">
        <f t="shared" si="1242"/>
        <v>0</v>
      </c>
    </row>
    <row r="1846" spans="1:27" x14ac:dyDescent="0.2">
      <c r="A1846" s="14" t="str">
        <f>A273</f>
        <v>2.9 Formation continue des enseignants : renforcer la formation continue</v>
      </c>
      <c r="B1846" s="44"/>
      <c r="C1846" s="296">
        <f>C273</f>
        <v>0</v>
      </c>
      <c r="D1846" s="217">
        <f t="shared" si="1309"/>
        <v>1702.652</v>
      </c>
      <c r="E1846" s="217">
        <f t="shared" si="1310"/>
        <v>1434.98</v>
      </c>
      <c r="F1846" s="217">
        <f t="shared" si="1311"/>
        <v>1344.7349999999999</v>
      </c>
      <c r="G1846" s="217">
        <f t="shared" si="1312"/>
        <v>1368.377</v>
      </c>
      <c r="H1846" s="217">
        <f t="shared" si="1313"/>
        <v>1393.1079999999999</v>
      </c>
      <c r="I1846" s="273">
        <f t="shared" si="1314"/>
        <v>7243.8519999999999</v>
      </c>
      <c r="J1846" s="345">
        <f t="shared" si="1315"/>
        <v>0</v>
      </c>
      <c r="K1846" s="346">
        <f t="shared" si="1316"/>
        <v>0</v>
      </c>
      <c r="L1846" s="33">
        <f t="shared" ref="L1846:Q1846" si="1337">L1847+L1854+L1856+L1859</f>
        <v>1702652</v>
      </c>
      <c r="M1846" s="32">
        <f t="shared" si="1337"/>
        <v>1434980</v>
      </c>
      <c r="N1846" s="32">
        <f t="shared" si="1337"/>
        <v>1344735</v>
      </c>
      <c r="O1846" s="32">
        <f t="shared" si="1337"/>
        <v>1368377</v>
      </c>
      <c r="P1846" s="32">
        <f t="shared" si="1337"/>
        <v>1393108</v>
      </c>
      <c r="Q1846" s="25">
        <f t="shared" si="1337"/>
        <v>7243852</v>
      </c>
      <c r="R1846" s="16"/>
      <c r="S1846" s="15"/>
      <c r="T1846" s="112">
        <f>T273</f>
        <v>2</v>
      </c>
      <c r="W1846" s="608">
        <f t="shared" si="1319"/>
        <v>7243852</v>
      </c>
      <c r="X1846" s="608">
        <f t="shared" si="1320"/>
        <v>0</v>
      </c>
      <c r="Y1846" s="572" t="s">
        <v>1512</v>
      </c>
      <c r="Z1846" s="572">
        <f t="shared" si="1241"/>
        <v>7243.8519999999999</v>
      </c>
      <c r="AA1846" s="1">
        <f t="shared" si="1242"/>
        <v>0</v>
      </c>
    </row>
    <row r="1847" spans="1:27" x14ac:dyDescent="0.2">
      <c r="A1847" s="17" t="str">
        <f>A274</f>
        <v>2.9.1 Renforcer la formation continue des enseignants</v>
      </c>
      <c r="B1847" s="45"/>
      <c r="C1847" s="297" t="str">
        <f>C274</f>
        <v>Tous les enseignants reçoivent deux semaines de formation tous les deux ans</v>
      </c>
      <c r="D1847" s="157">
        <f t="shared" si="1309"/>
        <v>822</v>
      </c>
      <c r="E1847" s="157">
        <f t="shared" si="1310"/>
        <v>531</v>
      </c>
      <c r="F1847" s="157">
        <f t="shared" si="1311"/>
        <v>400</v>
      </c>
      <c r="G1847" s="157">
        <f t="shared" si="1312"/>
        <v>390</v>
      </c>
      <c r="H1847" s="157">
        <f t="shared" si="1313"/>
        <v>390</v>
      </c>
      <c r="I1847" s="270">
        <f t="shared" si="1314"/>
        <v>2533</v>
      </c>
      <c r="J1847" s="347">
        <f t="shared" si="1315"/>
        <v>0</v>
      </c>
      <c r="K1847" s="348">
        <f t="shared" si="1316"/>
        <v>0</v>
      </c>
      <c r="L1847" s="35">
        <f t="shared" ref="L1847:Q1847" si="1338">SUM(L1848:L1853)</f>
        <v>822000</v>
      </c>
      <c r="M1847" s="34">
        <f t="shared" si="1338"/>
        <v>531000</v>
      </c>
      <c r="N1847" s="34">
        <f t="shared" si="1338"/>
        <v>400000</v>
      </c>
      <c r="O1847" s="34">
        <f t="shared" si="1338"/>
        <v>390000</v>
      </c>
      <c r="P1847" s="34">
        <f t="shared" si="1338"/>
        <v>390000</v>
      </c>
      <c r="Q1847" s="26">
        <f t="shared" si="1338"/>
        <v>2533000</v>
      </c>
      <c r="R1847" s="19"/>
      <c r="S1847" s="18"/>
      <c r="T1847" s="51">
        <f>T274</f>
        <v>0</v>
      </c>
      <c r="W1847" s="608">
        <f t="shared" si="1319"/>
        <v>2533000</v>
      </c>
      <c r="X1847" s="608">
        <f t="shared" si="1320"/>
        <v>0</v>
      </c>
      <c r="Y1847" s="572" t="s">
        <v>1512</v>
      </c>
      <c r="Z1847" s="572">
        <f t="shared" si="1241"/>
        <v>2533</v>
      </c>
      <c r="AA1847" s="1">
        <f t="shared" si="1242"/>
        <v>0</v>
      </c>
    </row>
    <row r="1848" spans="1:27" x14ac:dyDescent="0.2">
      <c r="A1848" s="20" t="str">
        <f>A275</f>
        <v>2.9.1.1 Développement et actualisation des modules de formation</v>
      </c>
      <c r="B1848" s="46"/>
      <c r="C1848" s="297">
        <f>C275</f>
        <v>0</v>
      </c>
      <c r="D1848" s="168">
        <f t="shared" si="1309"/>
        <v>16</v>
      </c>
      <c r="E1848" s="168">
        <f t="shared" si="1310"/>
        <v>16</v>
      </c>
      <c r="F1848" s="168">
        <f t="shared" si="1311"/>
        <v>0</v>
      </c>
      <c r="G1848" s="168">
        <f t="shared" si="1312"/>
        <v>0</v>
      </c>
      <c r="H1848" s="168">
        <f t="shared" si="1313"/>
        <v>0</v>
      </c>
      <c r="I1848" s="271">
        <f t="shared" si="1314"/>
        <v>32</v>
      </c>
      <c r="J1848" s="349" t="str">
        <f t="shared" si="1315"/>
        <v>EPS-SERNAFOR</v>
      </c>
      <c r="K1848" s="350" t="str">
        <f t="shared" si="1316"/>
        <v>GVT/ACCELERE</v>
      </c>
      <c r="L1848" s="37">
        <f t="shared" ref="L1848:Q1848" si="1339">L275</f>
        <v>16000</v>
      </c>
      <c r="M1848" s="36">
        <f t="shared" si="1339"/>
        <v>16000</v>
      </c>
      <c r="N1848" s="36">
        <f t="shared" si="1339"/>
        <v>0</v>
      </c>
      <c r="O1848" s="36">
        <f t="shared" si="1339"/>
        <v>0</v>
      </c>
      <c r="P1848" s="36">
        <f t="shared" si="1339"/>
        <v>0</v>
      </c>
      <c r="Q1848" s="236">
        <f t="shared" si="1339"/>
        <v>32000</v>
      </c>
      <c r="R1848" s="198" t="str">
        <f t="shared" ref="R1848:S1848" si="1340">R275</f>
        <v>EPS-SERNAFOR</v>
      </c>
      <c r="S1848" s="147" t="str">
        <f t="shared" si="1340"/>
        <v>GVT/ACCELERE</v>
      </c>
      <c r="T1848" s="51">
        <f>T275</f>
        <v>0</v>
      </c>
      <c r="W1848" s="608">
        <f t="shared" si="1319"/>
        <v>32000</v>
      </c>
      <c r="X1848" s="608">
        <f t="shared" si="1320"/>
        <v>0</v>
      </c>
      <c r="Y1848" s="572" t="s">
        <v>1512</v>
      </c>
      <c r="Z1848" s="572">
        <f t="shared" si="1241"/>
        <v>32</v>
      </c>
      <c r="AA1848" s="1">
        <f t="shared" si="1242"/>
        <v>0</v>
      </c>
    </row>
    <row r="1849" spans="1:27" x14ac:dyDescent="0.2">
      <c r="A1849" s="20" t="str">
        <f>A278</f>
        <v>2.9.1.2 Numérisation et opérationnalisation des modules de formation</v>
      </c>
      <c r="B1849" s="46"/>
      <c r="C1849" s="297">
        <f>C278</f>
        <v>0</v>
      </c>
      <c r="D1849" s="168">
        <f t="shared" si="1309"/>
        <v>400</v>
      </c>
      <c r="E1849" s="168">
        <f t="shared" si="1310"/>
        <v>10</v>
      </c>
      <c r="F1849" s="168">
        <f t="shared" si="1311"/>
        <v>10</v>
      </c>
      <c r="G1849" s="168">
        <f t="shared" si="1312"/>
        <v>0</v>
      </c>
      <c r="H1849" s="168">
        <f t="shared" si="1313"/>
        <v>0</v>
      </c>
      <c r="I1849" s="271">
        <f t="shared" si="1314"/>
        <v>420</v>
      </c>
      <c r="J1849" s="349" t="str">
        <f t="shared" si="1315"/>
        <v>EPS-SERNAFOR</v>
      </c>
      <c r="K1849" s="350" t="str">
        <f t="shared" si="1316"/>
        <v>PROSEB</v>
      </c>
      <c r="L1849" s="37">
        <f t="shared" ref="L1849:Q1849" si="1341">L278</f>
        <v>400000</v>
      </c>
      <c r="M1849" s="36">
        <f t="shared" si="1341"/>
        <v>10000</v>
      </c>
      <c r="N1849" s="36">
        <f t="shared" si="1341"/>
        <v>10000</v>
      </c>
      <c r="O1849" s="36">
        <f t="shared" si="1341"/>
        <v>0</v>
      </c>
      <c r="P1849" s="36">
        <f t="shared" si="1341"/>
        <v>0</v>
      </c>
      <c r="Q1849" s="236">
        <f t="shared" si="1341"/>
        <v>420000</v>
      </c>
      <c r="R1849" s="198" t="str">
        <f t="shared" ref="R1849:S1849" si="1342">R278</f>
        <v>EPS-SERNAFOR</v>
      </c>
      <c r="S1849" s="147" t="str">
        <f t="shared" si="1342"/>
        <v>PROSEB</v>
      </c>
      <c r="T1849" s="51">
        <f>T278</f>
        <v>0</v>
      </c>
      <c r="W1849" s="608">
        <f t="shared" si="1319"/>
        <v>420000</v>
      </c>
      <c r="X1849" s="608">
        <f t="shared" si="1320"/>
        <v>0</v>
      </c>
      <c r="Y1849" s="572" t="s">
        <v>1512</v>
      </c>
      <c r="Z1849" s="572">
        <f t="shared" si="1241"/>
        <v>420</v>
      </c>
      <c r="AA1849" s="1">
        <f t="shared" si="1242"/>
        <v>0</v>
      </c>
    </row>
    <row r="1850" spans="1:27" x14ac:dyDescent="0.2">
      <c r="A1850" s="20" t="str">
        <f>A281</f>
        <v>2.9.1.3 Évaluation et capitalisation du pilote de la composante "Formation continue" du PROSEB</v>
      </c>
      <c r="B1850" s="46"/>
      <c r="C1850" s="297">
        <f>C281</f>
        <v>0</v>
      </c>
      <c r="D1850" s="168">
        <f t="shared" si="1309"/>
        <v>16</v>
      </c>
      <c r="E1850" s="168">
        <f t="shared" si="1310"/>
        <v>0</v>
      </c>
      <c r="F1850" s="168">
        <f t="shared" si="1311"/>
        <v>0</v>
      </c>
      <c r="G1850" s="168">
        <f t="shared" si="1312"/>
        <v>0</v>
      </c>
      <c r="H1850" s="168">
        <f t="shared" si="1313"/>
        <v>0</v>
      </c>
      <c r="I1850" s="271">
        <f t="shared" si="1314"/>
        <v>16</v>
      </c>
      <c r="J1850" s="349" t="str">
        <f t="shared" si="1315"/>
        <v>EPS/SERNAFOR</v>
      </c>
      <c r="K1850" s="350" t="str">
        <f t="shared" si="1316"/>
        <v>PROSEB</v>
      </c>
      <c r="L1850" s="37">
        <f t="shared" ref="L1850:Q1850" si="1343">L281</f>
        <v>16000</v>
      </c>
      <c r="M1850" s="36">
        <f t="shared" si="1343"/>
        <v>0</v>
      </c>
      <c r="N1850" s="36">
        <f t="shared" si="1343"/>
        <v>0</v>
      </c>
      <c r="O1850" s="36">
        <f t="shared" si="1343"/>
        <v>0</v>
      </c>
      <c r="P1850" s="36">
        <f t="shared" si="1343"/>
        <v>0</v>
      </c>
      <c r="Q1850" s="236">
        <f t="shared" si="1343"/>
        <v>16000</v>
      </c>
      <c r="R1850" s="198" t="str">
        <f t="shared" ref="R1850:S1850" si="1344">R281</f>
        <v>EPS/SERNAFOR</v>
      </c>
      <c r="S1850" s="147" t="str">
        <f t="shared" si="1344"/>
        <v>PROSEB</v>
      </c>
      <c r="T1850" s="51">
        <f>T281</f>
        <v>0</v>
      </c>
      <c r="W1850" s="608">
        <f t="shared" si="1319"/>
        <v>16000</v>
      </c>
      <c r="X1850" s="608">
        <f t="shared" si="1320"/>
        <v>0</v>
      </c>
      <c r="Y1850" s="572" t="s">
        <v>1512</v>
      </c>
      <c r="Z1850" s="572">
        <f t="shared" si="1241"/>
        <v>16</v>
      </c>
      <c r="AA1850" s="1">
        <f t="shared" si="1242"/>
        <v>0</v>
      </c>
    </row>
    <row r="1851" spans="1:27" x14ac:dyDescent="0.2">
      <c r="A1851" s="20" t="str">
        <f>A284</f>
        <v>2.9.1.4 Mise en place des CRESD dans les différentes provinces</v>
      </c>
      <c r="B1851" s="46"/>
      <c r="C1851" s="297">
        <f>C284</f>
        <v>0</v>
      </c>
      <c r="D1851" s="168">
        <f t="shared" si="1309"/>
        <v>0</v>
      </c>
      <c r="E1851" s="168">
        <f t="shared" si="1310"/>
        <v>115</v>
      </c>
      <c r="F1851" s="168">
        <f t="shared" si="1311"/>
        <v>0</v>
      </c>
      <c r="G1851" s="168">
        <f t="shared" si="1312"/>
        <v>0</v>
      </c>
      <c r="H1851" s="168">
        <f t="shared" si="1313"/>
        <v>0</v>
      </c>
      <c r="I1851" s="271">
        <f t="shared" si="1314"/>
        <v>115</v>
      </c>
      <c r="J1851" s="349" t="str">
        <f t="shared" si="1315"/>
        <v>EPS-SERNAFOR/PROVED</v>
      </c>
      <c r="K1851" s="350" t="str">
        <f t="shared" si="1316"/>
        <v>PTF (AFD, CTB, PROSEB)</v>
      </c>
      <c r="L1851" s="37">
        <f t="shared" ref="L1851:Q1851" si="1345">L284</f>
        <v>0</v>
      </c>
      <c r="M1851" s="36">
        <f t="shared" si="1345"/>
        <v>115000</v>
      </c>
      <c r="N1851" s="36">
        <f t="shared" si="1345"/>
        <v>0</v>
      </c>
      <c r="O1851" s="36">
        <f t="shared" si="1345"/>
        <v>0</v>
      </c>
      <c r="P1851" s="36">
        <f t="shared" si="1345"/>
        <v>0</v>
      </c>
      <c r="Q1851" s="236">
        <f t="shared" si="1345"/>
        <v>115000</v>
      </c>
      <c r="R1851" s="198" t="str">
        <f t="shared" ref="R1851:S1851" si="1346">R284</f>
        <v>EPS-SERNAFOR/PROVED</v>
      </c>
      <c r="S1851" s="147" t="str">
        <f t="shared" si="1346"/>
        <v>PTF (AFD, CTB, PROSEB)</v>
      </c>
      <c r="T1851" s="51">
        <f>T284</f>
        <v>0</v>
      </c>
      <c r="W1851" s="608">
        <f t="shared" si="1319"/>
        <v>115000</v>
      </c>
      <c r="X1851" s="608">
        <f t="shared" si="1320"/>
        <v>0</v>
      </c>
      <c r="Y1851" s="572" t="s">
        <v>1512</v>
      </c>
      <c r="Z1851" s="572">
        <f t="shared" si="1241"/>
        <v>115</v>
      </c>
      <c r="AA1851" s="1">
        <f t="shared" si="1242"/>
        <v>0</v>
      </c>
    </row>
    <row r="1852" spans="1:27" x14ac:dyDescent="0.2">
      <c r="A1852" s="20" t="str">
        <f>A286</f>
        <v>2.9.1.5 Formation des inspecteurs et des conseillers d'enseignement</v>
      </c>
      <c r="B1852" s="46"/>
      <c r="C1852" s="297">
        <f>C286</f>
        <v>0</v>
      </c>
      <c r="D1852" s="168">
        <f t="shared" si="1309"/>
        <v>165</v>
      </c>
      <c r="E1852" s="168">
        <f t="shared" si="1310"/>
        <v>165</v>
      </c>
      <c r="F1852" s="168">
        <f t="shared" si="1311"/>
        <v>165</v>
      </c>
      <c r="G1852" s="168">
        <f t="shared" si="1312"/>
        <v>165</v>
      </c>
      <c r="H1852" s="168">
        <f t="shared" si="1313"/>
        <v>165</v>
      </c>
      <c r="I1852" s="271">
        <f t="shared" si="1314"/>
        <v>825</v>
      </c>
      <c r="J1852" s="349" t="str">
        <f t="shared" si="1315"/>
        <v>EPS-SERNAFOR-PROVED</v>
      </c>
      <c r="K1852" s="350" t="str">
        <f t="shared" si="1316"/>
        <v>GVT/PTF (AFD, CTB, PROSEB)</v>
      </c>
      <c r="L1852" s="37">
        <f t="shared" ref="L1852:Q1852" si="1347">L286</f>
        <v>165000</v>
      </c>
      <c r="M1852" s="36">
        <f t="shared" si="1347"/>
        <v>165000</v>
      </c>
      <c r="N1852" s="36">
        <f t="shared" si="1347"/>
        <v>165000</v>
      </c>
      <c r="O1852" s="36">
        <f t="shared" si="1347"/>
        <v>165000</v>
      </c>
      <c r="P1852" s="36">
        <f t="shared" si="1347"/>
        <v>165000</v>
      </c>
      <c r="Q1852" s="236">
        <f t="shared" si="1347"/>
        <v>825000</v>
      </c>
      <c r="R1852" s="198" t="str">
        <f t="shared" ref="R1852:S1852" si="1348">R286</f>
        <v>EPS-SERNAFOR-PROVED</v>
      </c>
      <c r="S1852" s="147" t="str">
        <f t="shared" si="1348"/>
        <v>GVT/PTF (AFD, CTB, PROSEB)</v>
      </c>
      <c r="T1852" s="51">
        <f>T286</f>
        <v>0</v>
      </c>
      <c r="W1852" s="608">
        <f t="shared" si="1319"/>
        <v>825000</v>
      </c>
      <c r="X1852" s="608">
        <f t="shared" si="1320"/>
        <v>0</v>
      </c>
      <c r="Y1852" s="572" t="s">
        <v>1512</v>
      </c>
      <c r="Z1852" s="572">
        <f t="shared" si="1241"/>
        <v>825</v>
      </c>
      <c r="AA1852" s="1">
        <f t="shared" si="1242"/>
        <v>0</v>
      </c>
    </row>
    <row r="1853" spans="1:27" x14ac:dyDescent="0.2">
      <c r="A1853" s="20" t="str">
        <f>A288</f>
        <v>2.9.1.6 Formation des enseignants</v>
      </c>
      <c r="B1853" s="46"/>
      <c r="C1853" s="297">
        <f>C288</f>
        <v>0</v>
      </c>
      <c r="D1853" s="168">
        <f t="shared" si="1309"/>
        <v>225</v>
      </c>
      <c r="E1853" s="168">
        <f t="shared" si="1310"/>
        <v>225</v>
      </c>
      <c r="F1853" s="168">
        <f t="shared" si="1311"/>
        <v>225</v>
      </c>
      <c r="G1853" s="168">
        <f t="shared" si="1312"/>
        <v>225</v>
      </c>
      <c r="H1853" s="168">
        <f t="shared" si="1313"/>
        <v>225</v>
      </c>
      <c r="I1853" s="271">
        <f t="shared" si="1314"/>
        <v>1125</v>
      </c>
      <c r="J1853" s="349" t="str">
        <f t="shared" si="1315"/>
        <v>EPS-SERNAFOR-PROVED</v>
      </c>
      <c r="K1853" s="350" t="str">
        <f t="shared" si="1316"/>
        <v>GVT/PTF (AFD, CTB, PROSEB)</v>
      </c>
      <c r="L1853" s="37">
        <f t="shared" ref="L1853:Q1853" si="1349">L288</f>
        <v>225000</v>
      </c>
      <c r="M1853" s="36">
        <f t="shared" si="1349"/>
        <v>225000</v>
      </c>
      <c r="N1853" s="36">
        <f t="shared" si="1349"/>
        <v>225000</v>
      </c>
      <c r="O1853" s="36">
        <f t="shared" si="1349"/>
        <v>225000</v>
      </c>
      <c r="P1853" s="36">
        <f t="shared" si="1349"/>
        <v>225000</v>
      </c>
      <c r="Q1853" s="236">
        <f t="shared" si="1349"/>
        <v>1125000</v>
      </c>
      <c r="R1853" s="198" t="str">
        <f t="shared" ref="R1853:S1853" si="1350">R288</f>
        <v>EPS-SERNAFOR-PROVED</v>
      </c>
      <c r="S1853" s="147" t="str">
        <f t="shared" si="1350"/>
        <v>GVT/PTF (AFD, CTB, PROSEB)</v>
      </c>
      <c r="T1853" s="51">
        <f>T288</f>
        <v>0</v>
      </c>
      <c r="W1853" s="608">
        <f t="shared" si="1319"/>
        <v>1125000</v>
      </c>
      <c r="X1853" s="608">
        <f t="shared" si="1320"/>
        <v>0</v>
      </c>
      <c r="Y1853" s="572" t="s">
        <v>1512</v>
      </c>
      <c r="Z1853" s="572">
        <f t="shared" si="1241"/>
        <v>1125</v>
      </c>
      <c r="AA1853" s="1">
        <f t="shared" si="1242"/>
        <v>0</v>
      </c>
    </row>
    <row r="1854" spans="1:27" x14ac:dyDescent="0.2">
      <c r="A1854" s="17" t="str">
        <f>A290</f>
        <v>2.9.2 Formation des directeurs d'écoles</v>
      </c>
      <c r="B1854" s="45"/>
      <c r="C1854" s="297" t="str">
        <f>C290</f>
        <v>Tous les directeurs reçoivent une formation d'une semaine chaque année</v>
      </c>
      <c r="D1854" s="157">
        <f t="shared" si="1309"/>
        <v>857.65200000000004</v>
      </c>
      <c r="E1854" s="157">
        <f t="shared" si="1310"/>
        <v>903.98</v>
      </c>
      <c r="F1854" s="157">
        <f t="shared" si="1311"/>
        <v>944.73500000000001</v>
      </c>
      <c r="G1854" s="157">
        <f t="shared" si="1312"/>
        <v>978.37699999999995</v>
      </c>
      <c r="H1854" s="157">
        <f t="shared" si="1313"/>
        <v>1003.1079999999999</v>
      </c>
      <c r="I1854" s="270">
        <f t="shared" si="1314"/>
        <v>4687.8519999999999</v>
      </c>
      <c r="J1854" s="347">
        <f t="shared" si="1315"/>
        <v>0</v>
      </c>
      <c r="K1854" s="348">
        <f t="shared" si="1316"/>
        <v>0</v>
      </c>
      <c r="L1854" s="35">
        <f t="shared" ref="L1854:S1854" si="1351">SUM(L1855:L1855)</f>
        <v>857652</v>
      </c>
      <c r="M1854" s="34">
        <f t="shared" si="1351"/>
        <v>903980</v>
      </c>
      <c r="N1854" s="34">
        <f t="shared" si="1351"/>
        <v>944735</v>
      </c>
      <c r="O1854" s="34">
        <f t="shared" si="1351"/>
        <v>978377</v>
      </c>
      <c r="P1854" s="34">
        <f t="shared" si="1351"/>
        <v>1003108</v>
      </c>
      <c r="Q1854" s="26">
        <f t="shared" si="1351"/>
        <v>4687852</v>
      </c>
      <c r="R1854" s="19">
        <f t="shared" si="1351"/>
        <v>0</v>
      </c>
      <c r="S1854" s="18">
        <f t="shared" si="1351"/>
        <v>0</v>
      </c>
      <c r="T1854" s="51">
        <f>T290</f>
        <v>0</v>
      </c>
      <c r="W1854" s="608">
        <f t="shared" si="1319"/>
        <v>4687852</v>
      </c>
      <c r="X1854" s="608">
        <f t="shared" si="1320"/>
        <v>0</v>
      </c>
      <c r="Y1854" s="572" t="s">
        <v>1512</v>
      </c>
      <c r="Z1854" s="572">
        <f t="shared" si="1241"/>
        <v>4687.8519999999999</v>
      </c>
      <c r="AA1854" s="1">
        <f t="shared" si="1242"/>
        <v>0</v>
      </c>
    </row>
    <row r="1855" spans="1:27" x14ac:dyDescent="0.2">
      <c r="A1855" s="20" t="str">
        <f>A291</f>
        <v>2.9.2.1 Formation aux modules et au leadership</v>
      </c>
      <c r="B1855" s="46"/>
      <c r="C1855" s="297">
        <f>C291</f>
        <v>0</v>
      </c>
      <c r="D1855" s="168">
        <f t="shared" si="1309"/>
        <v>857.65200000000004</v>
      </c>
      <c r="E1855" s="168">
        <f t="shared" si="1310"/>
        <v>903.98</v>
      </c>
      <c r="F1855" s="168">
        <f t="shared" si="1311"/>
        <v>944.73500000000001</v>
      </c>
      <c r="G1855" s="168">
        <f t="shared" si="1312"/>
        <v>978.37699999999995</v>
      </c>
      <c r="H1855" s="168">
        <f t="shared" si="1313"/>
        <v>1003.1079999999999</v>
      </c>
      <c r="I1855" s="271">
        <f t="shared" si="1314"/>
        <v>4687.8519999999999</v>
      </c>
      <c r="J1855" s="349" t="str">
        <f t="shared" si="1315"/>
        <v>EPS-SERNAFOR/PROVED</v>
      </c>
      <c r="K1855" s="350" t="str">
        <f t="shared" si="1316"/>
        <v>GVT</v>
      </c>
      <c r="L1855" s="37">
        <f t="shared" ref="L1855:Q1855" si="1352">L291</f>
        <v>857652</v>
      </c>
      <c r="M1855" s="36">
        <f t="shared" si="1352"/>
        <v>903980</v>
      </c>
      <c r="N1855" s="36">
        <f t="shared" si="1352"/>
        <v>944735</v>
      </c>
      <c r="O1855" s="36">
        <f t="shared" si="1352"/>
        <v>978377</v>
      </c>
      <c r="P1855" s="36">
        <f t="shared" si="1352"/>
        <v>1003108</v>
      </c>
      <c r="Q1855" s="236">
        <f t="shared" si="1352"/>
        <v>4687852</v>
      </c>
      <c r="R1855" s="198" t="str">
        <f t="shared" ref="R1855:S1855" si="1353">R291</f>
        <v>EPS-SERNAFOR/PROVED</v>
      </c>
      <c r="S1855" s="115" t="str">
        <f t="shared" si="1353"/>
        <v>GVT</v>
      </c>
      <c r="T1855" s="51">
        <f>T291</f>
        <v>0</v>
      </c>
      <c r="W1855" s="608">
        <f t="shared" si="1319"/>
        <v>4687852</v>
      </c>
      <c r="X1855" s="608">
        <f t="shared" si="1320"/>
        <v>0</v>
      </c>
      <c r="Y1855" s="572" t="s">
        <v>1512</v>
      </c>
      <c r="Z1855" s="572">
        <f t="shared" si="1241"/>
        <v>4687.8519999999999</v>
      </c>
      <c r="AA1855" s="1">
        <f t="shared" si="1242"/>
        <v>0</v>
      </c>
    </row>
    <row r="1856" spans="1:27" x14ac:dyDescent="0.2">
      <c r="A1856" s="17" t="str">
        <f>A293</f>
        <v>2.9.3 Constitution de réseaux de proximité</v>
      </c>
      <c r="B1856" s="45"/>
      <c r="C1856" s="297" t="str">
        <f>C293</f>
        <v>En 2025, toutes les écoles font partie d'un réseau de proximité</v>
      </c>
      <c r="D1856" s="157">
        <f t="shared" si="1309"/>
        <v>16</v>
      </c>
      <c r="E1856" s="157">
        <f t="shared" si="1310"/>
        <v>0</v>
      </c>
      <c r="F1856" s="157">
        <f t="shared" si="1311"/>
        <v>0</v>
      </c>
      <c r="G1856" s="157">
        <f t="shared" si="1312"/>
        <v>0</v>
      </c>
      <c r="H1856" s="157">
        <f t="shared" si="1313"/>
        <v>0</v>
      </c>
      <c r="I1856" s="270">
        <f t="shared" si="1314"/>
        <v>16</v>
      </c>
      <c r="J1856" s="347">
        <f t="shared" si="1315"/>
        <v>0</v>
      </c>
      <c r="K1856" s="348">
        <f t="shared" si="1316"/>
        <v>0</v>
      </c>
      <c r="L1856" s="35">
        <f t="shared" ref="L1856:Q1856" si="1354">SUM(L1857:L1858)</f>
        <v>16000</v>
      </c>
      <c r="M1856" s="34">
        <f t="shared" si="1354"/>
        <v>0</v>
      </c>
      <c r="N1856" s="34">
        <f t="shared" si="1354"/>
        <v>0</v>
      </c>
      <c r="O1856" s="34">
        <f t="shared" si="1354"/>
        <v>0</v>
      </c>
      <c r="P1856" s="34">
        <f t="shared" si="1354"/>
        <v>0</v>
      </c>
      <c r="Q1856" s="26">
        <f t="shared" si="1354"/>
        <v>16000</v>
      </c>
      <c r="R1856" s="19">
        <f t="shared" ref="R1856:S1856" si="1355">SUM(R1857:R1858)</f>
        <v>0</v>
      </c>
      <c r="S1856" s="18">
        <f t="shared" si="1355"/>
        <v>0</v>
      </c>
      <c r="T1856" s="51">
        <f>T293</f>
        <v>0</v>
      </c>
      <c r="W1856" s="608">
        <f t="shared" si="1319"/>
        <v>16000</v>
      </c>
      <c r="X1856" s="608">
        <f t="shared" si="1320"/>
        <v>0</v>
      </c>
      <c r="Y1856" s="572" t="s">
        <v>1512</v>
      </c>
      <c r="Z1856" s="572">
        <f t="shared" si="1241"/>
        <v>16</v>
      </c>
      <c r="AA1856" s="1">
        <f t="shared" si="1242"/>
        <v>0</v>
      </c>
    </row>
    <row r="1857" spans="1:27" x14ac:dyDescent="0.2">
      <c r="A1857" s="20" t="str">
        <f>A294</f>
        <v>2.9.3.1 Établissement d'une cartographie des REP existants</v>
      </c>
      <c r="B1857" s="46"/>
      <c r="C1857" s="297">
        <f>C294</f>
        <v>0</v>
      </c>
      <c r="D1857" s="168">
        <f t="shared" si="1309"/>
        <v>16</v>
      </c>
      <c r="E1857" s="168">
        <f t="shared" si="1310"/>
        <v>0</v>
      </c>
      <c r="F1857" s="168">
        <f t="shared" si="1311"/>
        <v>0</v>
      </c>
      <c r="G1857" s="168">
        <f t="shared" si="1312"/>
        <v>0</v>
      </c>
      <c r="H1857" s="168">
        <f t="shared" si="1313"/>
        <v>0</v>
      </c>
      <c r="I1857" s="271">
        <f t="shared" si="1314"/>
        <v>16</v>
      </c>
      <c r="J1857" s="349" t="str">
        <f t="shared" si="1315"/>
        <v>EPS</v>
      </c>
      <c r="K1857" s="350" t="str">
        <f t="shared" si="1316"/>
        <v>GVT</v>
      </c>
      <c r="L1857" s="37">
        <f t="shared" ref="L1857:Q1857" si="1356">L294</f>
        <v>16000</v>
      </c>
      <c r="M1857" s="36">
        <f t="shared" si="1356"/>
        <v>0</v>
      </c>
      <c r="N1857" s="36">
        <f t="shared" si="1356"/>
        <v>0</v>
      </c>
      <c r="O1857" s="36">
        <f t="shared" si="1356"/>
        <v>0</v>
      </c>
      <c r="P1857" s="36">
        <f t="shared" si="1356"/>
        <v>0</v>
      </c>
      <c r="Q1857" s="236">
        <f t="shared" si="1356"/>
        <v>16000</v>
      </c>
      <c r="R1857" s="198" t="str">
        <f t="shared" ref="R1857:S1857" si="1357">R294</f>
        <v>EPS</v>
      </c>
      <c r="S1857" s="115" t="str">
        <f t="shared" si="1357"/>
        <v>GVT</v>
      </c>
      <c r="T1857" s="51">
        <f>T294</f>
        <v>0</v>
      </c>
      <c r="W1857" s="608">
        <f t="shared" si="1319"/>
        <v>16000</v>
      </c>
      <c r="X1857" s="608">
        <f t="shared" si="1320"/>
        <v>0</v>
      </c>
      <c r="Y1857" s="572" t="s">
        <v>1512</v>
      </c>
      <c r="Z1857" s="572">
        <f t="shared" si="1241"/>
        <v>16</v>
      </c>
      <c r="AA1857" s="1">
        <f t="shared" si="1242"/>
        <v>0</v>
      </c>
    </row>
    <row r="1858" spans="1:27" x14ac:dyDescent="0.2">
      <c r="A1858" s="20" t="str">
        <f>A297</f>
        <v>2.9.3.2 Extension des REP sur tout le territoire</v>
      </c>
      <c r="B1858" s="46"/>
      <c r="C1858" s="297">
        <f>C297</f>
        <v>0</v>
      </c>
      <c r="D1858" s="168">
        <f t="shared" si="1309"/>
        <v>0</v>
      </c>
      <c r="E1858" s="168">
        <f t="shared" si="1310"/>
        <v>0</v>
      </c>
      <c r="F1858" s="168">
        <f t="shared" si="1311"/>
        <v>0</v>
      </c>
      <c r="G1858" s="168">
        <f t="shared" si="1312"/>
        <v>0</v>
      </c>
      <c r="H1858" s="168">
        <f t="shared" si="1313"/>
        <v>0</v>
      </c>
      <c r="I1858" s="271">
        <f t="shared" si="1314"/>
        <v>0</v>
      </c>
      <c r="J1858" s="349" t="str">
        <f t="shared" si="1315"/>
        <v>EPS</v>
      </c>
      <c r="K1858" s="350" t="str">
        <f t="shared" si="1316"/>
        <v>GVT</v>
      </c>
      <c r="L1858" s="37">
        <f t="shared" ref="L1858:Q1858" si="1358">L297</f>
        <v>0</v>
      </c>
      <c r="M1858" s="36">
        <f t="shared" si="1358"/>
        <v>0</v>
      </c>
      <c r="N1858" s="36">
        <f t="shared" si="1358"/>
        <v>0</v>
      </c>
      <c r="O1858" s="36">
        <f t="shared" si="1358"/>
        <v>0</v>
      </c>
      <c r="P1858" s="36">
        <f t="shared" si="1358"/>
        <v>0</v>
      </c>
      <c r="Q1858" s="27">
        <f t="shared" si="1358"/>
        <v>0</v>
      </c>
      <c r="R1858" s="198" t="str">
        <f t="shared" ref="R1858:S1858" si="1359">R297</f>
        <v>EPS</v>
      </c>
      <c r="S1858" s="115" t="str">
        <f t="shared" si="1359"/>
        <v>GVT</v>
      </c>
      <c r="T1858" s="51">
        <f>T297</f>
        <v>0</v>
      </c>
      <c r="W1858" s="608">
        <f t="shared" si="1319"/>
        <v>0</v>
      </c>
      <c r="X1858" s="608">
        <f t="shared" si="1320"/>
        <v>0</v>
      </c>
      <c r="Y1858" s="572" t="s">
        <v>1512</v>
      </c>
      <c r="Z1858" s="572">
        <f t="shared" si="1241"/>
        <v>0</v>
      </c>
      <c r="AA1858" s="1">
        <f t="shared" si="1242"/>
        <v>0</v>
      </c>
    </row>
    <row r="1859" spans="1:27" x14ac:dyDescent="0.2">
      <c r="A1859" s="17" t="str">
        <f>A298</f>
        <v>2.9.4 Systématisation du mécanisme d'évaluation de l'impact des formations</v>
      </c>
      <c r="B1859" s="45"/>
      <c r="C1859" s="297">
        <f>C298</f>
        <v>0</v>
      </c>
      <c r="D1859" s="157">
        <f t="shared" si="1309"/>
        <v>7</v>
      </c>
      <c r="E1859" s="157">
        <f t="shared" si="1310"/>
        <v>0</v>
      </c>
      <c r="F1859" s="157">
        <f t="shared" si="1311"/>
        <v>0</v>
      </c>
      <c r="G1859" s="157">
        <f t="shared" si="1312"/>
        <v>0</v>
      </c>
      <c r="H1859" s="157">
        <f t="shared" si="1313"/>
        <v>0</v>
      </c>
      <c r="I1859" s="270">
        <f t="shared" si="1314"/>
        <v>7</v>
      </c>
      <c r="J1859" s="347">
        <f t="shared" si="1315"/>
        <v>0</v>
      </c>
      <c r="K1859" s="348">
        <f t="shared" si="1316"/>
        <v>0</v>
      </c>
      <c r="L1859" s="35">
        <f t="shared" ref="L1859:S1859" si="1360">SUM(L1860:L1860)</f>
        <v>7000</v>
      </c>
      <c r="M1859" s="34">
        <f t="shared" si="1360"/>
        <v>0</v>
      </c>
      <c r="N1859" s="34">
        <f t="shared" si="1360"/>
        <v>0</v>
      </c>
      <c r="O1859" s="34">
        <f t="shared" si="1360"/>
        <v>0</v>
      </c>
      <c r="P1859" s="34">
        <f t="shared" si="1360"/>
        <v>0</v>
      </c>
      <c r="Q1859" s="26">
        <f t="shared" si="1360"/>
        <v>7000</v>
      </c>
      <c r="R1859" s="19">
        <f t="shared" si="1360"/>
        <v>0</v>
      </c>
      <c r="S1859" s="18">
        <f t="shared" si="1360"/>
        <v>0</v>
      </c>
      <c r="T1859" s="51">
        <f>T298</f>
        <v>0</v>
      </c>
      <c r="W1859" s="608">
        <f t="shared" si="1319"/>
        <v>7000</v>
      </c>
      <c r="X1859" s="608">
        <f t="shared" si="1320"/>
        <v>0</v>
      </c>
      <c r="Y1859" s="572" t="s">
        <v>1512</v>
      </c>
      <c r="Z1859" s="572">
        <f t="shared" si="1241"/>
        <v>7</v>
      </c>
      <c r="AA1859" s="1">
        <f t="shared" si="1242"/>
        <v>0</v>
      </c>
    </row>
    <row r="1860" spans="1:27" x14ac:dyDescent="0.2">
      <c r="A1860" s="20" t="str">
        <f>A299</f>
        <v xml:space="preserve">2.9.4.1 Élaboration d'outils de suivi et d'évaluation </v>
      </c>
      <c r="B1860" s="46"/>
      <c r="C1860" s="297">
        <f>C299</f>
        <v>0</v>
      </c>
      <c r="D1860" s="168">
        <f t="shared" si="1309"/>
        <v>7</v>
      </c>
      <c r="E1860" s="168">
        <f t="shared" si="1310"/>
        <v>0</v>
      </c>
      <c r="F1860" s="168">
        <f t="shared" si="1311"/>
        <v>0</v>
      </c>
      <c r="G1860" s="168">
        <f t="shared" si="1312"/>
        <v>0</v>
      </c>
      <c r="H1860" s="168">
        <f t="shared" si="1313"/>
        <v>0</v>
      </c>
      <c r="I1860" s="271">
        <f t="shared" si="1314"/>
        <v>7</v>
      </c>
      <c r="J1860" s="349" t="str">
        <f t="shared" si="1315"/>
        <v>EPS-IG</v>
      </c>
      <c r="K1860" s="350" t="str">
        <f t="shared" si="1316"/>
        <v>ND</v>
      </c>
      <c r="L1860" s="37">
        <f t="shared" ref="L1860:Q1860" si="1361">L299</f>
        <v>7000</v>
      </c>
      <c r="M1860" s="36">
        <f t="shared" si="1361"/>
        <v>0</v>
      </c>
      <c r="N1860" s="36">
        <f t="shared" si="1361"/>
        <v>0</v>
      </c>
      <c r="O1860" s="36">
        <f t="shared" si="1361"/>
        <v>0</v>
      </c>
      <c r="P1860" s="36">
        <f t="shared" si="1361"/>
        <v>0</v>
      </c>
      <c r="Q1860" s="236">
        <f t="shared" si="1361"/>
        <v>7000</v>
      </c>
      <c r="R1860" s="198" t="str">
        <f t="shared" ref="R1860:S1860" si="1362">R299</f>
        <v>EPS-IG</v>
      </c>
      <c r="S1860" s="115" t="str">
        <f t="shared" si="1362"/>
        <v>ND</v>
      </c>
      <c r="T1860" s="51">
        <f>T299</f>
        <v>0</v>
      </c>
      <c r="W1860" s="608">
        <f t="shared" si="1319"/>
        <v>7000</v>
      </c>
      <c r="X1860" s="608">
        <f t="shared" si="1320"/>
        <v>0</v>
      </c>
      <c r="Y1860" s="572" t="s">
        <v>1512</v>
      </c>
      <c r="Z1860" s="572">
        <f t="shared" si="1241"/>
        <v>7</v>
      </c>
      <c r="AA1860" s="1">
        <f t="shared" si="1242"/>
        <v>0</v>
      </c>
    </row>
    <row r="1861" spans="1:27" x14ac:dyDescent="0.2">
      <c r="A1861" s="14" t="str">
        <f>+A302</f>
        <v>2.10 Formation initiale des enseignants du primaire : Professionnaliser les humanités pédagogiques</v>
      </c>
      <c r="B1861" s="44"/>
      <c r="C1861" s="296">
        <f>C288</f>
        <v>0</v>
      </c>
      <c r="D1861" s="217">
        <f t="shared" si="1309"/>
        <v>147.25</v>
      </c>
      <c r="E1861" s="217">
        <f t="shared" si="1310"/>
        <v>132</v>
      </c>
      <c r="F1861" s="217">
        <f t="shared" si="1311"/>
        <v>18200</v>
      </c>
      <c r="G1861" s="217">
        <f t="shared" si="1312"/>
        <v>18200</v>
      </c>
      <c r="H1861" s="217">
        <f t="shared" si="1313"/>
        <v>18200</v>
      </c>
      <c r="I1861" s="273">
        <f t="shared" si="1314"/>
        <v>54879.25</v>
      </c>
      <c r="J1861" s="345">
        <f t="shared" ref="J1861" si="1363">R1861</f>
        <v>0</v>
      </c>
      <c r="K1861" s="346">
        <f t="shared" ref="K1861" si="1364">S1861</f>
        <v>0</v>
      </c>
      <c r="L1861" s="33">
        <f t="shared" ref="L1861:Q1861" si="1365">L1862+L1865+L1868+L1871</f>
        <v>147250</v>
      </c>
      <c r="M1861" s="32">
        <f t="shared" si="1365"/>
        <v>132000</v>
      </c>
      <c r="N1861" s="32">
        <f t="shared" si="1365"/>
        <v>18200000</v>
      </c>
      <c r="O1861" s="32">
        <f t="shared" si="1365"/>
        <v>18200000</v>
      </c>
      <c r="P1861" s="32">
        <f t="shared" si="1365"/>
        <v>18200000</v>
      </c>
      <c r="Q1861" s="25">
        <f t="shared" si="1365"/>
        <v>54879250</v>
      </c>
      <c r="R1861" s="16"/>
      <c r="S1861" s="15"/>
      <c r="T1861" s="112">
        <f>T288</f>
        <v>0</v>
      </c>
      <c r="W1861" s="608">
        <f t="shared" ref="W1861:W1872" si="1366">SUM(L1861:P1861)</f>
        <v>54879250</v>
      </c>
      <c r="X1861" s="608">
        <f t="shared" ref="X1861:X1872" si="1367">W1861-Q1861</f>
        <v>0</v>
      </c>
      <c r="Y1861" s="572" t="s">
        <v>1512</v>
      </c>
      <c r="Z1861" s="572">
        <f t="shared" si="1241"/>
        <v>54879.25</v>
      </c>
      <c r="AA1861" s="1">
        <f t="shared" si="1242"/>
        <v>0</v>
      </c>
    </row>
    <row r="1862" spans="1:27" x14ac:dyDescent="0.2">
      <c r="A1862" s="17" t="str">
        <f>+A303</f>
        <v>2.10.1 Élaboration d'un curriculum</v>
      </c>
      <c r="B1862" s="45"/>
      <c r="C1862" s="297" t="str">
        <f>+C303</f>
        <v>Réalisé en 2016</v>
      </c>
      <c r="D1862" s="157">
        <f t="shared" si="1309"/>
        <v>74</v>
      </c>
      <c r="E1862" s="157">
        <f t="shared" si="1310"/>
        <v>0</v>
      </c>
      <c r="F1862" s="157">
        <f t="shared" si="1311"/>
        <v>0</v>
      </c>
      <c r="G1862" s="157">
        <f t="shared" si="1312"/>
        <v>0</v>
      </c>
      <c r="H1862" s="157">
        <f t="shared" si="1313"/>
        <v>0</v>
      </c>
      <c r="I1862" s="270">
        <f t="shared" si="1314"/>
        <v>74</v>
      </c>
      <c r="J1862" s="347">
        <f>+J303</f>
        <v>0</v>
      </c>
      <c r="K1862" s="348">
        <f>+K303</f>
        <v>0</v>
      </c>
      <c r="L1862" s="35">
        <f>SUM(L1863:L1864)</f>
        <v>74000</v>
      </c>
      <c r="M1862" s="34">
        <f t="shared" ref="M1862:Q1862" si="1368">SUM(M1863:M1864)</f>
        <v>0</v>
      </c>
      <c r="N1862" s="34">
        <f t="shared" si="1368"/>
        <v>0</v>
      </c>
      <c r="O1862" s="34">
        <f t="shared" si="1368"/>
        <v>0</v>
      </c>
      <c r="P1862" s="34">
        <f t="shared" si="1368"/>
        <v>0</v>
      </c>
      <c r="Q1862" s="26">
        <f t="shared" si="1368"/>
        <v>74000</v>
      </c>
      <c r="R1862" s="19">
        <f t="shared" ref="R1862:S1862" si="1369">SUM(R1863:R1864)</f>
        <v>0</v>
      </c>
      <c r="S1862" s="18">
        <f t="shared" si="1369"/>
        <v>0</v>
      </c>
      <c r="T1862" s="51">
        <f>T289</f>
        <v>0</v>
      </c>
      <c r="W1862" s="608">
        <f t="shared" si="1366"/>
        <v>74000</v>
      </c>
      <c r="X1862" s="608">
        <f t="shared" si="1367"/>
        <v>0</v>
      </c>
      <c r="Y1862" s="572" t="s">
        <v>1512</v>
      </c>
      <c r="Z1862" s="572">
        <f t="shared" si="1241"/>
        <v>74</v>
      </c>
      <c r="AA1862" s="1">
        <f t="shared" si="1242"/>
        <v>0</v>
      </c>
    </row>
    <row r="1863" spans="1:27" x14ac:dyDescent="0.2">
      <c r="A1863" s="20" t="str">
        <f>+A304</f>
        <v>2.10.1.1 Actualisation du référentiel de compétences des enseignants réalisé en 2013</v>
      </c>
      <c r="B1863" s="46"/>
      <c r="C1863" s="297">
        <f>+C304</f>
        <v>0</v>
      </c>
      <c r="D1863" s="168">
        <f t="shared" si="1309"/>
        <v>9.5</v>
      </c>
      <c r="E1863" s="168">
        <f t="shared" si="1310"/>
        <v>0</v>
      </c>
      <c r="F1863" s="168">
        <f t="shared" si="1311"/>
        <v>0</v>
      </c>
      <c r="G1863" s="168">
        <f t="shared" si="1312"/>
        <v>0</v>
      </c>
      <c r="H1863" s="168">
        <f t="shared" si="1313"/>
        <v>0</v>
      </c>
      <c r="I1863" s="271">
        <f t="shared" si="1314"/>
        <v>9.5</v>
      </c>
      <c r="J1863" s="349">
        <f>+J304</f>
        <v>0</v>
      </c>
      <c r="K1863" s="350">
        <f>+K304</f>
        <v>0</v>
      </c>
      <c r="L1863" s="37">
        <f t="shared" ref="L1863:Q1863" si="1370">+L304</f>
        <v>9500</v>
      </c>
      <c r="M1863" s="36">
        <f t="shared" si="1370"/>
        <v>0</v>
      </c>
      <c r="N1863" s="36">
        <f t="shared" si="1370"/>
        <v>0</v>
      </c>
      <c r="O1863" s="36">
        <f t="shared" si="1370"/>
        <v>0</v>
      </c>
      <c r="P1863" s="36">
        <f t="shared" si="1370"/>
        <v>0</v>
      </c>
      <c r="Q1863" s="236">
        <f t="shared" si="1370"/>
        <v>9500</v>
      </c>
      <c r="R1863" s="198" t="str">
        <f t="shared" ref="R1863" si="1371">+R304</f>
        <v>EPS-DIPROMAD</v>
      </c>
      <c r="S1863" s="147" t="s">
        <v>11</v>
      </c>
      <c r="T1863" s="51">
        <f>T290</f>
        <v>0</v>
      </c>
      <c r="W1863" s="608">
        <f t="shared" si="1366"/>
        <v>9500</v>
      </c>
      <c r="X1863" s="608">
        <f t="shared" si="1367"/>
        <v>0</v>
      </c>
      <c r="Y1863" s="572" t="s">
        <v>1512</v>
      </c>
      <c r="Z1863" s="572">
        <f t="shared" si="1241"/>
        <v>9.5</v>
      </c>
      <c r="AA1863" s="1">
        <f t="shared" si="1242"/>
        <v>0</v>
      </c>
    </row>
    <row r="1864" spans="1:27" x14ac:dyDescent="0.2">
      <c r="A1864" s="20" t="str">
        <f>+A307</f>
        <v>2.10.1.2 Révision du curriculum de formation des enseignants</v>
      </c>
      <c r="B1864" s="46"/>
      <c r="C1864" s="297">
        <f>+C307</f>
        <v>0</v>
      </c>
      <c r="D1864" s="168">
        <f t="shared" si="1309"/>
        <v>64.5</v>
      </c>
      <c r="E1864" s="168">
        <f t="shared" si="1310"/>
        <v>0</v>
      </c>
      <c r="F1864" s="168">
        <f t="shared" si="1311"/>
        <v>0</v>
      </c>
      <c r="G1864" s="168">
        <f t="shared" si="1312"/>
        <v>0</v>
      </c>
      <c r="H1864" s="168">
        <f t="shared" si="1313"/>
        <v>0</v>
      </c>
      <c r="I1864" s="271">
        <f t="shared" si="1314"/>
        <v>64.5</v>
      </c>
      <c r="J1864" s="349">
        <f t="shared" ref="J1864:Q1864" si="1372">+J307</f>
        <v>0</v>
      </c>
      <c r="K1864" s="350">
        <f t="shared" si="1372"/>
        <v>0</v>
      </c>
      <c r="L1864" s="37">
        <f t="shared" si="1372"/>
        <v>64500</v>
      </c>
      <c r="M1864" s="36">
        <f t="shared" si="1372"/>
        <v>0</v>
      </c>
      <c r="N1864" s="36">
        <f t="shared" si="1372"/>
        <v>0</v>
      </c>
      <c r="O1864" s="36">
        <f t="shared" si="1372"/>
        <v>0</v>
      </c>
      <c r="P1864" s="36">
        <f t="shared" si="1372"/>
        <v>0</v>
      </c>
      <c r="Q1864" s="236">
        <f t="shared" si="1372"/>
        <v>64500</v>
      </c>
      <c r="R1864" s="198" t="str">
        <f t="shared" ref="R1864" si="1373">+R307</f>
        <v>EPS-DIPROMAD</v>
      </c>
      <c r="S1864" s="147" t="s">
        <v>11</v>
      </c>
      <c r="T1864" s="51">
        <f>T293</f>
        <v>0</v>
      </c>
      <c r="W1864" s="608">
        <f t="shared" si="1366"/>
        <v>64500</v>
      </c>
      <c r="X1864" s="608">
        <f t="shared" si="1367"/>
        <v>0</v>
      </c>
      <c r="Y1864" s="572" t="s">
        <v>1512</v>
      </c>
      <c r="Z1864" s="572">
        <f t="shared" si="1241"/>
        <v>64.5</v>
      </c>
      <c r="AA1864" s="1">
        <f t="shared" si="1242"/>
        <v>0</v>
      </c>
    </row>
    <row r="1865" spans="1:27" x14ac:dyDescent="0.2">
      <c r="A1865" s="17" t="str">
        <f>+A311</f>
        <v>2.10.2 Définition du profil d'entrée, de sortie et durée de formation des futurs enseignants et du profil de leurs formateurs</v>
      </c>
      <c r="B1865" s="45"/>
      <c r="C1865" s="297" t="str">
        <f>+C311</f>
        <v>Le profil d'entrée, de sortie et la durée de formation sont définis</v>
      </c>
      <c r="D1865" s="157">
        <f t="shared" si="1309"/>
        <v>73.25</v>
      </c>
      <c r="E1865" s="157">
        <f t="shared" si="1310"/>
        <v>0</v>
      </c>
      <c r="F1865" s="157">
        <f t="shared" si="1311"/>
        <v>0</v>
      </c>
      <c r="G1865" s="157">
        <f t="shared" si="1312"/>
        <v>0</v>
      </c>
      <c r="H1865" s="157">
        <f t="shared" si="1313"/>
        <v>0</v>
      </c>
      <c r="I1865" s="270">
        <f t="shared" si="1314"/>
        <v>73.25</v>
      </c>
      <c r="J1865" s="347">
        <f>+J311</f>
        <v>0</v>
      </c>
      <c r="K1865" s="348">
        <f>+K311</f>
        <v>0</v>
      </c>
      <c r="L1865" s="35">
        <f>SUM(L1866:L1867)</f>
        <v>73250</v>
      </c>
      <c r="M1865" s="34">
        <f t="shared" ref="M1865" si="1374">SUM(M1866:M1867)</f>
        <v>0</v>
      </c>
      <c r="N1865" s="34">
        <f t="shared" ref="N1865" si="1375">SUM(N1866:N1867)</f>
        <v>0</v>
      </c>
      <c r="O1865" s="34">
        <f t="shared" ref="O1865" si="1376">SUM(O1866:O1867)</f>
        <v>0</v>
      </c>
      <c r="P1865" s="34">
        <f t="shared" ref="P1865" si="1377">SUM(P1866:P1867)</f>
        <v>0</v>
      </c>
      <c r="Q1865" s="26">
        <f t="shared" ref="Q1865:S1865" si="1378">SUM(Q1866:Q1867)</f>
        <v>73250</v>
      </c>
      <c r="R1865" s="19">
        <f t="shared" si="1378"/>
        <v>0</v>
      </c>
      <c r="S1865" s="18">
        <f t="shared" si="1378"/>
        <v>0</v>
      </c>
      <c r="T1865" s="51">
        <f>T305</f>
        <v>0</v>
      </c>
      <c r="W1865" s="608">
        <f t="shared" si="1366"/>
        <v>73250</v>
      </c>
      <c r="X1865" s="608">
        <f t="shared" si="1367"/>
        <v>0</v>
      </c>
      <c r="Y1865" s="572" t="s">
        <v>1512</v>
      </c>
      <c r="Z1865" s="572">
        <f t="shared" si="1241"/>
        <v>73.25</v>
      </c>
      <c r="AA1865" s="1">
        <f t="shared" si="1242"/>
        <v>0</v>
      </c>
    </row>
    <row r="1866" spans="1:27" x14ac:dyDescent="0.2">
      <c r="A1866" s="20" t="str">
        <f>+A312</f>
        <v>2.10.2.1 Étude sur les profils d'entrée, de sortie et de durée de formation des futurs enseignants</v>
      </c>
      <c r="B1866" s="46"/>
      <c r="C1866" s="297">
        <f>+C312</f>
        <v>0</v>
      </c>
      <c r="D1866" s="168">
        <f t="shared" si="1309"/>
        <v>50.5</v>
      </c>
      <c r="E1866" s="168">
        <f t="shared" si="1310"/>
        <v>0</v>
      </c>
      <c r="F1866" s="168">
        <f t="shared" si="1311"/>
        <v>0</v>
      </c>
      <c r="G1866" s="168">
        <f t="shared" si="1312"/>
        <v>0</v>
      </c>
      <c r="H1866" s="168">
        <f t="shared" si="1313"/>
        <v>0</v>
      </c>
      <c r="I1866" s="271">
        <f t="shared" si="1314"/>
        <v>50.5</v>
      </c>
      <c r="J1866" s="349">
        <f>+J312</f>
        <v>0</v>
      </c>
      <c r="K1866" s="350">
        <f>+K312</f>
        <v>0</v>
      </c>
      <c r="L1866" s="37">
        <f t="shared" ref="L1866:Q1866" si="1379">+L312</f>
        <v>50500</v>
      </c>
      <c r="M1866" s="36">
        <f t="shared" si="1379"/>
        <v>0</v>
      </c>
      <c r="N1866" s="36">
        <f t="shared" si="1379"/>
        <v>0</v>
      </c>
      <c r="O1866" s="36">
        <f t="shared" si="1379"/>
        <v>0</v>
      </c>
      <c r="P1866" s="36">
        <f t="shared" si="1379"/>
        <v>0</v>
      </c>
      <c r="Q1866" s="236">
        <f t="shared" si="1379"/>
        <v>50500</v>
      </c>
      <c r="R1866" s="198" t="str">
        <f t="shared" ref="R1866" si="1380">+R312</f>
        <v>EPS-DIPROMAD</v>
      </c>
      <c r="S1866" s="147" t="s">
        <v>11</v>
      </c>
      <c r="T1866" s="51">
        <f>T306</f>
        <v>0</v>
      </c>
      <c r="W1866" s="608">
        <f t="shared" si="1366"/>
        <v>50500</v>
      </c>
      <c r="X1866" s="608">
        <f t="shared" si="1367"/>
        <v>0</v>
      </c>
      <c r="Y1866" s="572" t="s">
        <v>1512</v>
      </c>
      <c r="Z1866" s="572">
        <f t="shared" ref="Z1866:Z1929" si="1381">IF($Y1866="P",$I1866,)</f>
        <v>50.5</v>
      </c>
      <c r="AA1866" s="1">
        <f t="shared" ref="AA1866:AA1929" si="1382">IF($Y1866="G",$I1866,)</f>
        <v>0</v>
      </c>
    </row>
    <row r="1867" spans="1:27" x14ac:dyDescent="0.2">
      <c r="A1867" s="20" t="str">
        <f>+A316</f>
        <v>2.10.2.2 Définition du profil des formateurs des formateurs</v>
      </c>
      <c r="B1867" s="46"/>
      <c r="C1867" s="297">
        <f>+C316</f>
        <v>0</v>
      </c>
      <c r="D1867" s="168">
        <f t="shared" si="1309"/>
        <v>22.75</v>
      </c>
      <c r="E1867" s="168">
        <f t="shared" si="1310"/>
        <v>0</v>
      </c>
      <c r="F1867" s="168">
        <f t="shared" si="1311"/>
        <v>0</v>
      </c>
      <c r="G1867" s="168">
        <f t="shared" si="1312"/>
        <v>0</v>
      </c>
      <c r="H1867" s="168">
        <f t="shared" si="1313"/>
        <v>0</v>
      </c>
      <c r="I1867" s="271">
        <f t="shared" si="1314"/>
        <v>22.75</v>
      </c>
      <c r="J1867" s="349">
        <f t="shared" ref="J1867:Q1867" si="1383">+J316</f>
        <v>0</v>
      </c>
      <c r="K1867" s="350">
        <f t="shared" si="1383"/>
        <v>0</v>
      </c>
      <c r="L1867" s="37">
        <f t="shared" si="1383"/>
        <v>22750</v>
      </c>
      <c r="M1867" s="36">
        <f t="shared" si="1383"/>
        <v>0</v>
      </c>
      <c r="N1867" s="36">
        <f t="shared" si="1383"/>
        <v>0</v>
      </c>
      <c r="O1867" s="36">
        <f t="shared" si="1383"/>
        <v>0</v>
      </c>
      <c r="P1867" s="36">
        <f t="shared" si="1383"/>
        <v>0</v>
      </c>
      <c r="Q1867" s="236">
        <f t="shared" si="1383"/>
        <v>22750</v>
      </c>
      <c r="R1867" s="198" t="str">
        <f t="shared" ref="R1867" si="1384">+R316</f>
        <v>EPS-DIPROMAD</v>
      </c>
      <c r="S1867" s="147" t="s">
        <v>11</v>
      </c>
      <c r="T1867" s="51">
        <f>T307</f>
        <v>0</v>
      </c>
      <c r="W1867" s="608">
        <f t="shared" ref="W1867" si="1385">SUM(L1867:P1867)</f>
        <v>22750</v>
      </c>
      <c r="X1867" s="608">
        <f t="shared" ref="X1867" si="1386">W1867-Q1867</f>
        <v>0</v>
      </c>
      <c r="Y1867" s="572" t="s">
        <v>1512</v>
      </c>
      <c r="Z1867" s="572">
        <f t="shared" si="1381"/>
        <v>22.75</v>
      </c>
      <c r="AA1867" s="1">
        <f t="shared" si="1382"/>
        <v>0</v>
      </c>
    </row>
    <row r="1868" spans="1:27" x14ac:dyDescent="0.2">
      <c r="A1868" s="17" t="str">
        <f>+A320</f>
        <v>2.10.3 Élaboration et mise en place d'un programme de restructuration/spécialisation des établissements</v>
      </c>
      <c r="B1868" s="45"/>
      <c r="C1868" s="297" t="str">
        <f>+C320</f>
        <v>Programme élaboré en 2017</v>
      </c>
      <c r="D1868" s="157">
        <f t="shared" si="1309"/>
        <v>0</v>
      </c>
      <c r="E1868" s="157">
        <f t="shared" si="1310"/>
        <v>132</v>
      </c>
      <c r="F1868" s="157">
        <f t="shared" si="1311"/>
        <v>18000</v>
      </c>
      <c r="G1868" s="157">
        <f t="shared" si="1312"/>
        <v>18000</v>
      </c>
      <c r="H1868" s="157">
        <f t="shared" si="1313"/>
        <v>18000</v>
      </c>
      <c r="I1868" s="270">
        <f t="shared" si="1314"/>
        <v>54132</v>
      </c>
      <c r="J1868" s="347">
        <f>+J320</f>
        <v>0</v>
      </c>
      <c r="K1868" s="348">
        <f>+K320</f>
        <v>0</v>
      </c>
      <c r="L1868" s="35">
        <f>SUM(L1869:L1870)</f>
        <v>0</v>
      </c>
      <c r="M1868" s="34">
        <f t="shared" ref="M1868" si="1387">SUM(M1869:M1870)</f>
        <v>132000</v>
      </c>
      <c r="N1868" s="34">
        <f t="shared" ref="N1868" si="1388">SUM(N1869:N1870)</f>
        <v>18000000</v>
      </c>
      <c r="O1868" s="34">
        <f t="shared" ref="O1868" si="1389">SUM(O1869:O1870)</f>
        <v>18000000</v>
      </c>
      <c r="P1868" s="34">
        <f t="shared" ref="P1868" si="1390">SUM(P1869:P1870)</f>
        <v>18000000</v>
      </c>
      <c r="Q1868" s="26">
        <f t="shared" ref="Q1868:S1868" si="1391">SUM(Q1869:Q1870)</f>
        <v>54132000</v>
      </c>
      <c r="R1868" s="19">
        <f t="shared" si="1391"/>
        <v>0</v>
      </c>
      <c r="S1868" s="18">
        <f t="shared" si="1391"/>
        <v>0</v>
      </c>
      <c r="T1868" s="51">
        <f>T308</f>
        <v>0</v>
      </c>
      <c r="W1868" s="608">
        <f t="shared" si="1366"/>
        <v>54132000</v>
      </c>
      <c r="X1868" s="608">
        <f t="shared" si="1367"/>
        <v>0</v>
      </c>
      <c r="Y1868" s="572" t="s">
        <v>1512</v>
      </c>
      <c r="Z1868" s="572">
        <f t="shared" si="1381"/>
        <v>54132</v>
      </c>
      <c r="AA1868" s="1">
        <f t="shared" si="1382"/>
        <v>0</v>
      </c>
    </row>
    <row r="1869" spans="1:27" x14ac:dyDescent="0.2">
      <c r="A1869" s="20" t="str">
        <f>+A321</f>
        <v>2.10.3.1 Étude sur la carte scolaire des écoles normales et de l'enseignement des humanités pédagogiques</v>
      </c>
      <c r="B1869" s="46"/>
      <c r="C1869" s="297">
        <f>+C321</f>
        <v>0</v>
      </c>
      <c r="D1869" s="168">
        <f t="shared" si="1309"/>
        <v>0</v>
      </c>
      <c r="E1869" s="168">
        <f t="shared" si="1310"/>
        <v>132</v>
      </c>
      <c r="F1869" s="168">
        <f t="shared" si="1311"/>
        <v>0</v>
      </c>
      <c r="G1869" s="168">
        <f t="shared" si="1312"/>
        <v>0</v>
      </c>
      <c r="H1869" s="168">
        <f t="shared" si="1313"/>
        <v>0</v>
      </c>
      <c r="I1869" s="271">
        <f t="shared" si="1314"/>
        <v>132</v>
      </c>
      <c r="J1869" s="349">
        <f>+J321</f>
        <v>0</v>
      </c>
      <c r="K1869" s="350">
        <f>+K321</f>
        <v>0</v>
      </c>
      <c r="L1869" s="37">
        <f t="shared" ref="L1869:Q1869" si="1392">+L321</f>
        <v>0</v>
      </c>
      <c r="M1869" s="36">
        <f t="shared" si="1392"/>
        <v>132000</v>
      </c>
      <c r="N1869" s="36">
        <f t="shared" si="1392"/>
        <v>0</v>
      </c>
      <c r="O1869" s="36">
        <f t="shared" si="1392"/>
        <v>0</v>
      </c>
      <c r="P1869" s="36">
        <f t="shared" si="1392"/>
        <v>0</v>
      </c>
      <c r="Q1869" s="236">
        <f t="shared" si="1392"/>
        <v>132000</v>
      </c>
      <c r="R1869" s="198" t="str">
        <f t="shared" ref="R1869" si="1393">+R321</f>
        <v>EPS-DIPROMAD</v>
      </c>
      <c r="S1869" s="147" t="s">
        <v>11</v>
      </c>
      <c r="T1869" s="51">
        <f>T309</f>
        <v>0</v>
      </c>
      <c r="W1869" s="608">
        <f t="shared" si="1366"/>
        <v>132000</v>
      </c>
      <c r="X1869" s="608">
        <f t="shared" si="1367"/>
        <v>0</v>
      </c>
      <c r="Y1869" s="572" t="s">
        <v>1512</v>
      </c>
      <c r="Z1869" s="572">
        <f t="shared" si="1381"/>
        <v>132</v>
      </c>
      <c r="AA1869" s="1">
        <f t="shared" si="1382"/>
        <v>0</v>
      </c>
    </row>
    <row r="1870" spans="1:27" x14ac:dyDescent="0.2">
      <c r="A1870" s="20" t="str">
        <f>+A326</f>
        <v>2.10.3.2 Mise en place du programme de restructuration/spécialisation des établissements</v>
      </c>
      <c r="B1870" s="46"/>
      <c r="C1870" s="297" t="str">
        <f>+C326</f>
        <v>Construction des IFM et réhabilitation</v>
      </c>
      <c r="D1870" s="168">
        <f t="shared" si="1309"/>
        <v>0</v>
      </c>
      <c r="E1870" s="168">
        <f t="shared" si="1310"/>
        <v>0</v>
      </c>
      <c r="F1870" s="168">
        <f t="shared" si="1311"/>
        <v>18000</v>
      </c>
      <c r="G1870" s="168">
        <f t="shared" si="1312"/>
        <v>18000</v>
      </c>
      <c r="H1870" s="168">
        <f t="shared" si="1313"/>
        <v>18000</v>
      </c>
      <c r="I1870" s="271">
        <f t="shared" si="1314"/>
        <v>54000</v>
      </c>
      <c r="J1870" s="349">
        <f t="shared" ref="J1870:Q1870" si="1394">+J326</f>
        <v>0</v>
      </c>
      <c r="K1870" s="350">
        <f t="shared" si="1394"/>
        <v>0</v>
      </c>
      <c r="L1870" s="37">
        <f t="shared" si="1394"/>
        <v>0</v>
      </c>
      <c r="M1870" s="36">
        <f t="shared" si="1394"/>
        <v>0</v>
      </c>
      <c r="N1870" s="36">
        <f t="shared" si="1394"/>
        <v>18000000</v>
      </c>
      <c r="O1870" s="36">
        <f t="shared" si="1394"/>
        <v>18000000</v>
      </c>
      <c r="P1870" s="36">
        <f t="shared" si="1394"/>
        <v>18000000</v>
      </c>
      <c r="Q1870" s="27">
        <f t="shared" si="1394"/>
        <v>54000000</v>
      </c>
      <c r="R1870" s="198" t="str">
        <f t="shared" ref="R1870" si="1395">+R326</f>
        <v>EPS-DIPROMAD</v>
      </c>
      <c r="S1870" s="147" t="s">
        <v>11</v>
      </c>
      <c r="T1870" s="51">
        <f>T312</f>
        <v>0</v>
      </c>
      <c r="W1870" s="608">
        <f t="shared" si="1366"/>
        <v>54000000</v>
      </c>
      <c r="X1870" s="608">
        <f t="shared" si="1367"/>
        <v>0</v>
      </c>
      <c r="Y1870" s="572" t="s">
        <v>1512</v>
      </c>
      <c r="Z1870" s="572">
        <f t="shared" si="1381"/>
        <v>54000</v>
      </c>
      <c r="AA1870" s="1">
        <f t="shared" si="1382"/>
        <v>0</v>
      </c>
    </row>
    <row r="1871" spans="1:27" x14ac:dyDescent="0.2">
      <c r="A1871" s="17" t="str">
        <f>+A329</f>
        <v>2.10.4 Bourses d'études pour les élèves enseignants méritants</v>
      </c>
      <c r="B1871" s="45"/>
      <c r="C1871" s="297" t="str">
        <f>+C329</f>
        <v>En 2025, 10% des enseignants en formation reçoivent une bourse</v>
      </c>
      <c r="D1871" s="157">
        <f t="shared" si="1309"/>
        <v>0</v>
      </c>
      <c r="E1871" s="157">
        <f t="shared" si="1310"/>
        <v>0</v>
      </c>
      <c r="F1871" s="157">
        <f t="shared" si="1311"/>
        <v>200</v>
      </c>
      <c r="G1871" s="157">
        <f t="shared" si="1312"/>
        <v>200</v>
      </c>
      <c r="H1871" s="157">
        <f t="shared" si="1313"/>
        <v>200</v>
      </c>
      <c r="I1871" s="270">
        <f t="shared" si="1314"/>
        <v>600</v>
      </c>
      <c r="J1871" s="347">
        <f>+J329</f>
        <v>0</v>
      </c>
      <c r="K1871" s="348">
        <f>+K329</f>
        <v>0</v>
      </c>
      <c r="L1871" s="35">
        <f>+L1872</f>
        <v>0</v>
      </c>
      <c r="M1871" s="34">
        <f t="shared" ref="M1871:Q1871" si="1396">+M1872</f>
        <v>0</v>
      </c>
      <c r="N1871" s="34">
        <f t="shared" si="1396"/>
        <v>200000</v>
      </c>
      <c r="O1871" s="34">
        <f t="shared" si="1396"/>
        <v>200000</v>
      </c>
      <c r="P1871" s="34">
        <f t="shared" si="1396"/>
        <v>200000</v>
      </c>
      <c r="Q1871" s="26">
        <f t="shared" si="1396"/>
        <v>600000</v>
      </c>
      <c r="R1871" s="19"/>
      <c r="S1871" s="18"/>
      <c r="T1871" s="51">
        <f>T313</f>
        <v>0</v>
      </c>
      <c r="W1871" s="608">
        <f t="shared" si="1366"/>
        <v>600000</v>
      </c>
      <c r="X1871" s="608">
        <f t="shared" si="1367"/>
        <v>0</v>
      </c>
      <c r="Y1871" s="572" t="s">
        <v>1512</v>
      </c>
      <c r="Z1871" s="572">
        <f t="shared" si="1381"/>
        <v>600</v>
      </c>
      <c r="AA1871" s="1">
        <f t="shared" si="1382"/>
        <v>0</v>
      </c>
    </row>
    <row r="1872" spans="1:27" x14ac:dyDescent="0.2">
      <c r="A1872" s="20" t="str">
        <f>+A330</f>
        <v>2.10.2.1 Allocation de la bourse d'études pour les enseignants en formation</v>
      </c>
      <c r="B1872" s="46"/>
      <c r="C1872" s="297">
        <f>+C330</f>
        <v>0</v>
      </c>
      <c r="D1872" s="168">
        <f t="shared" si="1309"/>
        <v>0</v>
      </c>
      <c r="E1872" s="168">
        <f t="shared" si="1310"/>
        <v>0</v>
      </c>
      <c r="F1872" s="168">
        <f t="shared" si="1311"/>
        <v>200</v>
      </c>
      <c r="G1872" s="168">
        <f t="shared" si="1312"/>
        <v>200</v>
      </c>
      <c r="H1872" s="168">
        <f t="shared" si="1313"/>
        <v>200</v>
      </c>
      <c r="I1872" s="271">
        <f t="shared" si="1314"/>
        <v>600</v>
      </c>
      <c r="J1872" s="349">
        <f>+J330</f>
        <v>0</v>
      </c>
      <c r="K1872" s="350">
        <f>+K330</f>
        <v>0</v>
      </c>
      <c r="L1872" s="37">
        <f t="shared" ref="L1872:Q1872" si="1397">+L330</f>
        <v>0</v>
      </c>
      <c r="M1872" s="36">
        <f t="shared" si="1397"/>
        <v>0</v>
      </c>
      <c r="N1872" s="36">
        <f t="shared" si="1397"/>
        <v>200000</v>
      </c>
      <c r="O1872" s="36">
        <f t="shared" si="1397"/>
        <v>200000</v>
      </c>
      <c r="P1872" s="36">
        <f t="shared" si="1397"/>
        <v>200000</v>
      </c>
      <c r="Q1872" s="236">
        <f t="shared" si="1397"/>
        <v>600000</v>
      </c>
      <c r="R1872" s="198" t="str">
        <f t="shared" ref="R1872:S1872" si="1398">+R330</f>
        <v>EPS</v>
      </c>
      <c r="S1872" s="115" t="str">
        <f t="shared" si="1398"/>
        <v>GVT</v>
      </c>
      <c r="T1872" s="51">
        <f>T314</f>
        <v>0</v>
      </c>
      <c r="W1872" s="608">
        <f t="shared" si="1366"/>
        <v>600000</v>
      </c>
      <c r="X1872" s="608">
        <f t="shared" si="1367"/>
        <v>0</v>
      </c>
      <c r="Y1872" s="572" t="s">
        <v>1512</v>
      </c>
      <c r="Z1872" s="572">
        <f t="shared" si="1381"/>
        <v>600</v>
      </c>
      <c r="AA1872" s="1">
        <f t="shared" si="1382"/>
        <v>0</v>
      </c>
    </row>
    <row r="1873" spans="1:27" x14ac:dyDescent="0.2">
      <c r="A1873" s="14" t="str">
        <f>A332</f>
        <v>2.11 Supervision des écoles et des enseignants : assurer l'encadrement pédagogique et administratif des écoles</v>
      </c>
      <c r="B1873" s="44"/>
      <c r="C1873" s="296">
        <f>C332</f>
        <v>0</v>
      </c>
      <c r="D1873" s="217">
        <f t="shared" si="1309"/>
        <v>0</v>
      </c>
      <c r="E1873" s="217">
        <f t="shared" si="1310"/>
        <v>1875</v>
      </c>
      <c r="F1873" s="217">
        <f t="shared" si="1311"/>
        <v>4875</v>
      </c>
      <c r="G1873" s="217">
        <f t="shared" si="1312"/>
        <v>4875</v>
      </c>
      <c r="H1873" s="217">
        <f t="shared" si="1313"/>
        <v>4875</v>
      </c>
      <c r="I1873" s="273">
        <f t="shared" si="1314"/>
        <v>16500</v>
      </c>
      <c r="J1873" s="345">
        <f t="shared" si="1315"/>
        <v>0</v>
      </c>
      <c r="K1873" s="346">
        <f t="shared" si="1316"/>
        <v>0</v>
      </c>
      <c r="L1873" s="33">
        <f>L1874</f>
        <v>0</v>
      </c>
      <c r="M1873" s="32">
        <f>M1874+M1876</f>
        <v>1875000</v>
      </c>
      <c r="N1873" s="32">
        <f>N1874+N1876</f>
        <v>4875000</v>
      </c>
      <c r="O1873" s="32">
        <f>O1874+O1876</f>
        <v>4875000</v>
      </c>
      <c r="P1873" s="32">
        <f>P1874+P1876</f>
        <v>4875000</v>
      </c>
      <c r="Q1873" s="25">
        <f>Q1874+Q1876</f>
        <v>16500000</v>
      </c>
      <c r="R1873" s="515">
        <f t="shared" ref="R1873:S1873" si="1399">R1874+R1876</f>
        <v>0</v>
      </c>
      <c r="S1873" s="145">
        <f t="shared" si="1399"/>
        <v>0</v>
      </c>
      <c r="T1873" s="49">
        <f>T332</f>
        <v>3</v>
      </c>
      <c r="W1873" s="608">
        <f t="shared" si="1319"/>
        <v>16500000</v>
      </c>
      <c r="X1873" s="608">
        <f t="shared" si="1320"/>
        <v>0</v>
      </c>
      <c r="Z1873" s="572">
        <f t="shared" si="1381"/>
        <v>0</v>
      </c>
      <c r="AA1873" s="1">
        <f t="shared" si="1382"/>
        <v>0</v>
      </c>
    </row>
    <row r="1874" spans="1:27" x14ac:dyDescent="0.2">
      <c r="A1874" s="17" t="str">
        <f>A333</f>
        <v>2.11.1 Moyens de déplacement des inspecteurs</v>
      </c>
      <c r="B1874" s="45"/>
      <c r="C1874" s="297">
        <f>C333</f>
        <v>0</v>
      </c>
      <c r="D1874" s="157">
        <f t="shared" si="1309"/>
        <v>0</v>
      </c>
      <c r="E1874" s="157">
        <f t="shared" si="1310"/>
        <v>1875</v>
      </c>
      <c r="F1874" s="157">
        <f t="shared" si="1311"/>
        <v>1875</v>
      </c>
      <c r="G1874" s="157">
        <f t="shared" si="1312"/>
        <v>1875</v>
      </c>
      <c r="H1874" s="157">
        <f t="shared" si="1313"/>
        <v>1875</v>
      </c>
      <c r="I1874" s="270">
        <f t="shared" si="1314"/>
        <v>7500</v>
      </c>
      <c r="J1874" s="347">
        <f t="shared" si="1315"/>
        <v>0</v>
      </c>
      <c r="K1874" s="348">
        <f t="shared" si="1316"/>
        <v>0</v>
      </c>
      <c r="L1874" s="35">
        <f t="shared" ref="L1874:S1874" si="1400">SUM(L1875:L1875)</f>
        <v>0</v>
      </c>
      <c r="M1874" s="34">
        <f t="shared" si="1400"/>
        <v>1875000</v>
      </c>
      <c r="N1874" s="34">
        <f t="shared" si="1400"/>
        <v>1875000</v>
      </c>
      <c r="O1874" s="34">
        <f t="shared" si="1400"/>
        <v>1875000</v>
      </c>
      <c r="P1874" s="34">
        <f t="shared" si="1400"/>
        <v>1875000</v>
      </c>
      <c r="Q1874" s="26">
        <f t="shared" si="1400"/>
        <v>7500000</v>
      </c>
      <c r="R1874" s="209">
        <f t="shared" si="1400"/>
        <v>0</v>
      </c>
      <c r="S1874" s="116">
        <f t="shared" si="1400"/>
        <v>0</v>
      </c>
      <c r="T1874" s="50">
        <f>T333</f>
        <v>0</v>
      </c>
      <c r="W1874" s="608">
        <f t="shared" si="1319"/>
        <v>7500000</v>
      </c>
      <c r="X1874" s="608">
        <f t="shared" si="1320"/>
        <v>0</v>
      </c>
      <c r="Z1874" s="572">
        <f t="shared" si="1381"/>
        <v>0</v>
      </c>
      <c r="AA1874" s="1">
        <f t="shared" si="1382"/>
        <v>0</v>
      </c>
    </row>
    <row r="1875" spans="1:27" x14ac:dyDescent="0.2">
      <c r="A1875" s="20" t="str">
        <f>A334</f>
        <v>2.11.1.1 Équipement des inspecteurs en Moto</v>
      </c>
      <c r="B1875" s="149"/>
      <c r="C1875" s="297" t="str">
        <f>C334</f>
        <v>A partir de 2020, tous les inspecteurs disposent des moyens de déplacement</v>
      </c>
      <c r="D1875" s="168">
        <f t="shared" si="1309"/>
        <v>0</v>
      </c>
      <c r="E1875" s="168">
        <f t="shared" si="1310"/>
        <v>1875</v>
      </c>
      <c r="F1875" s="168">
        <f t="shared" si="1311"/>
        <v>1875</v>
      </c>
      <c r="G1875" s="168">
        <f t="shared" si="1312"/>
        <v>1875</v>
      </c>
      <c r="H1875" s="168">
        <f t="shared" si="1313"/>
        <v>1875</v>
      </c>
      <c r="I1875" s="271">
        <f t="shared" si="1314"/>
        <v>7500</v>
      </c>
      <c r="J1875" s="349" t="str">
        <f t="shared" si="1315"/>
        <v>EPS-IG</v>
      </c>
      <c r="K1875" s="350" t="str">
        <f t="shared" si="1316"/>
        <v>ND</v>
      </c>
      <c r="L1875" s="37">
        <f t="shared" ref="L1875:Q1875" si="1401">L334</f>
        <v>0</v>
      </c>
      <c r="M1875" s="36">
        <f t="shared" si="1401"/>
        <v>1875000</v>
      </c>
      <c r="N1875" s="36">
        <f t="shared" si="1401"/>
        <v>1875000</v>
      </c>
      <c r="O1875" s="36">
        <f t="shared" si="1401"/>
        <v>1875000</v>
      </c>
      <c r="P1875" s="36">
        <f t="shared" si="1401"/>
        <v>1875000</v>
      </c>
      <c r="Q1875" s="236">
        <f t="shared" si="1401"/>
        <v>7500000</v>
      </c>
      <c r="R1875" s="198" t="str">
        <f t="shared" ref="R1875:S1875" si="1402">R334</f>
        <v>EPS-IG</v>
      </c>
      <c r="S1875" s="115" t="str">
        <f t="shared" si="1402"/>
        <v>ND</v>
      </c>
      <c r="T1875" s="51">
        <f>T334</f>
        <v>0</v>
      </c>
      <c r="W1875" s="608">
        <f t="shared" si="1319"/>
        <v>7500000</v>
      </c>
      <c r="X1875" s="608">
        <f t="shared" si="1320"/>
        <v>0</v>
      </c>
      <c r="Z1875" s="572">
        <f t="shared" si="1381"/>
        <v>0</v>
      </c>
      <c r="AA1875" s="1">
        <f t="shared" si="1382"/>
        <v>0</v>
      </c>
    </row>
    <row r="1876" spans="1:27" x14ac:dyDescent="0.2">
      <c r="A1876" s="17" t="str">
        <f>A336</f>
        <v>2.11.2 Primes d'itinérance</v>
      </c>
      <c r="B1876" s="149"/>
      <c r="C1876" s="297">
        <f>C336</f>
        <v>0</v>
      </c>
      <c r="D1876" s="168">
        <f t="shared" si="1309"/>
        <v>0</v>
      </c>
      <c r="E1876" s="168">
        <f t="shared" si="1310"/>
        <v>0</v>
      </c>
      <c r="F1876" s="168">
        <f t="shared" si="1311"/>
        <v>3000</v>
      </c>
      <c r="G1876" s="168">
        <f t="shared" si="1312"/>
        <v>3000</v>
      </c>
      <c r="H1876" s="168">
        <f t="shared" si="1313"/>
        <v>3000</v>
      </c>
      <c r="I1876" s="271">
        <f t="shared" si="1314"/>
        <v>9000</v>
      </c>
      <c r="J1876" s="349">
        <f t="shared" si="1315"/>
        <v>0</v>
      </c>
      <c r="K1876" s="350">
        <f t="shared" si="1316"/>
        <v>0</v>
      </c>
      <c r="L1876" s="37">
        <f>L336</f>
        <v>0</v>
      </c>
      <c r="M1876" s="34">
        <f>SUM(M1877:M1877)</f>
        <v>0</v>
      </c>
      <c r="N1876" s="34">
        <f>SUM(N1877:N1877)</f>
        <v>3000000</v>
      </c>
      <c r="O1876" s="34">
        <f>SUM(O1877:O1877)</f>
        <v>3000000</v>
      </c>
      <c r="P1876" s="34">
        <f>SUM(P1877:P1877)</f>
        <v>3000000</v>
      </c>
      <c r="Q1876" s="26">
        <f>SUM(Q1877:Q1877)</f>
        <v>9000000</v>
      </c>
      <c r="R1876" s="198">
        <f t="shared" ref="R1876:S1876" si="1403">SUM(R1877:R1877)</f>
        <v>0</v>
      </c>
      <c r="S1876" s="115">
        <f t="shared" si="1403"/>
        <v>0</v>
      </c>
      <c r="T1876" s="51">
        <f>T336</f>
        <v>0</v>
      </c>
      <c r="W1876" s="608">
        <f t="shared" si="1319"/>
        <v>9000000</v>
      </c>
      <c r="X1876" s="608">
        <f t="shared" si="1320"/>
        <v>0</v>
      </c>
      <c r="Z1876" s="572">
        <f t="shared" si="1381"/>
        <v>0</v>
      </c>
      <c r="AA1876" s="1">
        <f t="shared" si="1382"/>
        <v>0</v>
      </c>
    </row>
    <row r="1877" spans="1:27" x14ac:dyDescent="0.2">
      <c r="A1877" s="20" t="str">
        <f>A337</f>
        <v>2.11.2.1 Assurer l'encadrement pédagogique et administratifs des écoles</v>
      </c>
      <c r="B1877" s="149"/>
      <c r="C1877" s="297" t="str">
        <f>C337</f>
        <v>A partir de 2018, tous les inspecteurs perçoivent la prime d'itinérance</v>
      </c>
      <c r="D1877" s="168">
        <f t="shared" si="1309"/>
        <v>0</v>
      </c>
      <c r="E1877" s="168">
        <f t="shared" si="1310"/>
        <v>0</v>
      </c>
      <c r="F1877" s="168">
        <f t="shared" si="1311"/>
        <v>3000</v>
      </c>
      <c r="G1877" s="168">
        <f t="shared" si="1312"/>
        <v>3000</v>
      </c>
      <c r="H1877" s="168">
        <f t="shared" si="1313"/>
        <v>3000</v>
      </c>
      <c r="I1877" s="271">
        <f t="shared" si="1314"/>
        <v>9000</v>
      </c>
      <c r="J1877" s="349" t="str">
        <f t="shared" si="1315"/>
        <v>EPS-IG</v>
      </c>
      <c r="K1877" s="350" t="str">
        <f t="shared" si="1316"/>
        <v>GVT</v>
      </c>
      <c r="L1877" s="37">
        <f>L337</f>
        <v>0</v>
      </c>
      <c r="M1877" s="36">
        <f>M337</f>
        <v>0</v>
      </c>
      <c r="N1877" s="36">
        <f>N337</f>
        <v>3000000</v>
      </c>
      <c r="O1877" s="36">
        <f>O337</f>
        <v>3000000</v>
      </c>
      <c r="P1877" s="36">
        <f>P337</f>
        <v>3000000</v>
      </c>
      <c r="Q1877" s="236">
        <f>Q337</f>
        <v>9000000</v>
      </c>
      <c r="R1877" s="198" t="str">
        <f t="shared" ref="R1877:S1877" si="1404">R337</f>
        <v>EPS-IG</v>
      </c>
      <c r="S1877" s="115" t="str">
        <f t="shared" si="1404"/>
        <v>GVT</v>
      </c>
      <c r="T1877" s="51">
        <f>T337</f>
        <v>0</v>
      </c>
      <c r="W1877" s="608">
        <f t="shared" si="1319"/>
        <v>9000000</v>
      </c>
      <c r="X1877" s="608">
        <f t="shared" si="1320"/>
        <v>0</v>
      </c>
      <c r="Z1877" s="572">
        <f t="shared" si="1381"/>
        <v>0</v>
      </c>
      <c r="AA1877" s="1">
        <f t="shared" si="1382"/>
        <v>0</v>
      </c>
    </row>
    <row r="1878" spans="1:27" x14ac:dyDescent="0.2">
      <c r="A1878" s="14" t="str">
        <f>A339</f>
        <v>2.12 Équipement informatique des directeurs : permettre aux directeurs de mieux gérer et communiquer</v>
      </c>
      <c r="B1878" s="44"/>
      <c r="C1878" s="296">
        <f>C339</f>
        <v>0</v>
      </c>
      <c r="D1878" s="217">
        <f t="shared" si="1309"/>
        <v>0</v>
      </c>
      <c r="E1878" s="217">
        <f t="shared" si="1310"/>
        <v>9099</v>
      </c>
      <c r="F1878" s="217">
        <f t="shared" si="1311"/>
        <v>9099</v>
      </c>
      <c r="G1878" s="217">
        <f t="shared" si="1312"/>
        <v>9099</v>
      </c>
      <c r="H1878" s="217">
        <f t="shared" si="1313"/>
        <v>9099</v>
      </c>
      <c r="I1878" s="273">
        <f t="shared" si="1314"/>
        <v>36396</v>
      </c>
      <c r="J1878" s="345">
        <f t="shared" si="1315"/>
        <v>0</v>
      </c>
      <c r="K1878" s="346">
        <f t="shared" si="1316"/>
        <v>0</v>
      </c>
      <c r="L1878" s="33">
        <f t="shared" ref="L1878:Q1878" si="1405">L1879+L1881</f>
        <v>0</v>
      </c>
      <c r="M1878" s="32">
        <f t="shared" si="1405"/>
        <v>9099000</v>
      </c>
      <c r="N1878" s="32">
        <f t="shared" si="1405"/>
        <v>9099000</v>
      </c>
      <c r="O1878" s="32">
        <f t="shared" si="1405"/>
        <v>9099000</v>
      </c>
      <c r="P1878" s="32">
        <f t="shared" si="1405"/>
        <v>9099000</v>
      </c>
      <c r="Q1878" s="25">
        <f t="shared" si="1405"/>
        <v>36396000</v>
      </c>
      <c r="R1878" s="515">
        <f t="shared" ref="R1878:S1878" si="1406">R1879+R1881</f>
        <v>0</v>
      </c>
      <c r="S1878" s="145">
        <f t="shared" si="1406"/>
        <v>0</v>
      </c>
      <c r="T1878" s="49">
        <f>T339</f>
        <v>3</v>
      </c>
      <c r="W1878" s="608">
        <f t="shared" si="1319"/>
        <v>36396000</v>
      </c>
      <c r="X1878" s="608">
        <f t="shared" si="1320"/>
        <v>0</v>
      </c>
      <c r="Z1878" s="572">
        <f t="shared" si="1381"/>
        <v>0</v>
      </c>
      <c r="AA1878" s="1">
        <f t="shared" si="1382"/>
        <v>0</v>
      </c>
    </row>
    <row r="1879" spans="1:27" x14ac:dyDescent="0.2">
      <c r="A1879" s="17" t="str">
        <f>A340</f>
        <v>2.12.1 Équipement informatique des directeurs</v>
      </c>
      <c r="B1879" s="45"/>
      <c r="C1879" s="297">
        <f>C340</f>
        <v>0</v>
      </c>
      <c r="D1879" s="157">
        <f t="shared" si="1309"/>
        <v>0</v>
      </c>
      <c r="E1879" s="157">
        <f t="shared" si="1310"/>
        <v>9000</v>
      </c>
      <c r="F1879" s="157">
        <f t="shared" si="1311"/>
        <v>9000</v>
      </c>
      <c r="G1879" s="157">
        <f t="shared" si="1312"/>
        <v>9000</v>
      </c>
      <c r="H1879" s="157">
        <f t="shared" si="1313"/>
        <v>9000</v>
      </c>
      <c r="I1879" s="270">
        <f t="shared" si="1314"/>
        <v>36000</v>
      </c>
      <c r="J1879" s="347">
        <f t="shared" si="1315"/>
        <v>0</v>
      </c>
      <c r="K1879" s="348">
        <f t="shared" si="1316"/>
        <v>0</v>
      </c>
      <c r="L1879" s="35">
        <f t="shared" ref="L1879:S1879" si="1407">SUM(L1880:L1880)</f>
        <v>0</v>
      </c>
      <c r="M1879" s="34">
        <f t="shared" si="1407"/>
        <v>9000000</v>
      </c>
      <c r="N1879" s="34">
        <f t="shared" si="1407"/>
        <v>9000000</v>
      </c>
      <c r="O1879" s="34">
        <f t="shared" si="1407"/>
        <v>9000000</v>
      </c>
      <c r="P1879" s="34">
        <f t="shared" si="1407"/>
        <v>9000000</v>
      </c>
      <c r="Q1879" s="26">
        <f t="shared" si="1407"/>
        <v>36000000</v>
      </c>
      <c r="R1879" s="209">
        <f t="shared" si="1407"/>
        <v>0</v>
      </c>
      <c r="S1879" s="116">
        <f t="shared" si="1407"/>
        <v>0</v>
      </c>
      <c r="T1879" s="50">
        <f>T340</f>
        <v>0</v>
      </c>
      <c r="W1879" s="608">
        <f t="shared" si="1319"/>
        <v>36000000</v>
      </c>
      <c r="X1879" s="608">
        <f t="shared" si="1320"/>
        <v>0</v>
      </c>
      <c r="Z1879" s="572">
        <f t="shared" si="1381"/>
        <v>0</v>
      </c>
      <c r="AA1879" s="1">
        <f t="shared" si="1382"/>
        <v>0</v>
      </c>
    </row>
    <row r="1880" spans="1:27" x14ac:dyDescent="0.2">
      <c r="A1880" s="20" t="str">
        <f>A341</f>
        <v>2.12.1.1 Équipement informatique et de communication</v>
      </c>
      <c r="B1880" s="149"/>
      <c r="C1880" s="297" t="str">
        <f>C341</f>
        <v>En 2025, tous les directeurs sont équipés en matériels informatique</v>
      </c>
      <c r="D1880" s="168">
        <f t="shared" si="1309"/>
        <v>0</v>
      </c>
      <c r="E1880" s="168">
        <f t="shared" si="1310"/>
        <v>9000</v>
      </c>
      <c r="F1880" s="168">
        <f t="shared" si="1311"/>
        <v>9000</v>
      </c>
      <c r="G1880" s="168">
        <f t="shared" si="1312"/>
        <v>9000</v>
      </c>
      <c r="H1880" s="168">
        <f t="shared" si="1313"/>
        <v>9000</v>
      </c>
      <c r="I1880" s="271">
        <f t="shared" si="1314"/>
        <v>36000</v>
      </c>
      <c r="J1880" s="349" t="str">
        <f t="shared" si="1315"/>
        <v>EPS-DEP</v>
      </c>
      <c r="K1880" s="350" t="str">
        <f t="shared" si="1316"/>
        <v>BM/UNESCO</v>
      </c>
      <c r="L1880" s="37">
        <f t="shared" ref="L1880:Q1880" si="1408">L341</f>
        <v>0</v>
      </c>
      <c r="M1880" s="36">
        <f t="shared" si="1408"/>
        <v>9000000</v>
      </c>
      <c r="N1880" s="36">
        <f t="shared" si="1408"/>
        <v>9000000</v>
      </c>
      <c r="O1880" s="36">
        <f t="shared" si="1408"/>
        <v>9000000</v>
      </c>
      <c r="P1880" s="36">
        <f t="shared" si="1408"/>
        <v>9000000</v>
      </c>
      <c r="Q1880" s="236">
        <f t="shared" si="1408"/>
        <v>36000000</v>
      </c>
      <c r="R1880" s="198" t="str">
        <f t="shared" ref="R1880:S1880" si="1409">R341</f>
        <v>EPS-DEP</v>
      </c>
      <c r="S1880" s="115" t="str">
        <f t="shared" si="1409"/>
        <v>BM/UNESCO</v>
      </c>
      <c r="T1880" s="51">
        <f>T341</f>
        <v>0</v>
      </c>
      <c r="W1880" s="608">
        <f t="shared" si="1319"/>
        <v>36000000</v>
      </c>
      <c r="X1880" s="608">
        <f t="shared" si="1320"/>
        <v>0</v>
      </c>
      <c r="Z1880" s="572">
        <f t="shared" si="1381"/>
        <v>0</v>
      </c>
      <c r="AA1880" s="1">
        <f t="shared" si="1382"/>
        <v>0</v>
      </c>
    </row>
    <row r="1881" spans="1:27" x14ac:dyDescent="0.2">
      <c r="A1881" s="17" t="str">
        <f>A343</f>
        <v>2.12.2 Formation en informatique et communication</v>
      </c>
      <c r="B1881" s="45"/>
      <c r="C1881" s="297" t="str">
        <f>C343</f>
        <v>En 2025, tous les directeurs sont formés à l'utilisation de l'informatique</v>
      </c>
      <c r="D1881" s="157">
        <f t="shared" si="1309"/>
        <v>0</v>
      </c>
      <c r="E1881" s="157">
        <f t="shared" si="1310"/>
        <v>99</v>
      </c>
      <c r="F1881" s="157">
        <f t="shared" si="1311"/>
        <v>99</v>
      </c>
      <c r="G1881" s="157">
        <f t="shared" si="1312"/>
        <v>99</v>
      </c>
      <c r="H1881" s="157">
        <f t="shared" si="1313"/>
        <v>99</v>
      </c>
      <c r="I1881" s="270">
        <f t="shared" si="1314"/>
        <v>396</v>
      </c>
      <c r="J1881" s="347">
        <f t="shared" si="1315"/>
        <v>0</v>
      </c>
      <c r="K1881" s="348">
        <f t="shared" si="1316"/>
        <v>0</v>
      </c>
      <c r="L1881" s="35">
        <f t="shared" ref="L1881:S1881" si="1410">SUM(L1882:L1882)</f>
        <v>0</v>
      </c>
      <c r="M1881" s="34">
        <f t="shared" si="1410"/>
        <v>99000</v>
      </c>
      <c r="N1881" s="34">
        <f t="shared" si="1410"/>
        <v>99000</v>
      </c>
      <c r="O1881" s="34">
        <f t="shared" si="1410"/>
        <v>99000</v>
      </c>
      <c r="P1881" s="34">
        <f t="shared" si="1410"/>
        <v>99000</v>
      </c>
      <c r="Q1881" s="26">
        <f t="shared" si="1410"/>
        <v>396000</v>
      </c>
      <c r="R1881" s="209">
        <f t="shared" si="1410"/>
        <v>0</v>
      </c>
      <c r="S1881" s="116">
        <f t="shared" si="1410"/>
        <v>0</v>
      </c>
      <c r="T1881" s="50">
        <f>T343</f>
        <v>0</v>
      </c>
      <c r="W1881" s="608">
        <f t="shared" si="1319"/>
        <v>396000</v>
      </c>
      <c r="X1881" s="608">
        <f t="shared" si="1320"/>
        <v>0</v>
      </c>
      <c r="Z1881" s="572">
        <f t="shared" si="1381"/>
        <v>0</v>
      </c>
      <c r="AA1881" s="1">
        <f t="shared" si="1382"/>
        <v>0</v>
      </c>
    </row>
    <row r="1882" spans="1:27" ht="12" thickBot="1" x14ac:dyDescent="0.25">
      <c r="A1882" s="364" t="str">
        <f>A344</f>
        <v>2.12.2.1 Formation en informatique et aux TIC</v>
      </c>
      <c r="B1882" s="381"/>
      <c r="C1882" s="365">
        <f>C344</f>
        <v>0</v>
      </c>
      <c r="D1882" s="366">
        <f t="shared" si="1309"/>
        <v>0</v>
      </c>
      <c r="E1882" s="366">
        <f t="shared" si="1310"/>
        <v>99</v>
      </c>
      <c r="F1882" s="366">
        <f t="shared" si="1311"/>
        <v>99</v>
      </c>
      <c r="G1882" s="366">
        <f t="shared" si="1312"/>
        <v>99</v>
      </c>
      <c r="H1882" s="366">
        <f t="shared" si="1313"/>
        <v>99</v>
      </c>
      <c r="I1882" s="382">
        <f t="shared" si="1314"/>
        <v>396</v>
      </c>
      <c r="J1882" s="383" t="str">
        <f t="shared" si="1315"/>
        <v>EPS-DEP</v>
      </c>
      <c r="K1882" s="367" t="str">
        <f t="shared" si="1316"/>
        <v>BM/UNESCO</v>
      </c>
      <c r="L1882" s="37">
        <f t="shared" ref="L1882:Q1882" si="1411">L344</f>
        <v>0</v>
      </c>
      <c r="M1882" s="36">
        <f t="shared" si="1411"/>
        <v>99000</v>
      </c>
      <c r="N1882" s="36">
        <f t="shared" si="1411"/>
        <v>99000</v>
      </c>
      <c r="O1882" s="36">
        <f t="shared" si="1411"/>
        <v>99000</v>
      </c>
      <c r="P1882" s="36">
        <f t="shared" si="1411"/>
        <v>99000</v>
      </c>
      <c r="Q1882" s="27">
        <f t="shared" si="1411"/>
        <v>396000</v>
      </c>
      <c r="R1882" s="198" t="str">
        <f t="shared" ref="R1882:S1882" si="1412">R344</f>
        <v>EPS-DEP</v>
      </c>
      <c r="S1882" s="115" t="str">
        <f t="shared" si="1412"/>
        <v>BM/UNESCO</v>
      </c>
      <c r="T1882" s="51">
        <f>T344</f>
        <v>0</v>
      </c>
      <c r="W1882" s="608">
        <f t="shared" si="1319"/>
        <v>396000</v>
      </c>
      <c r="X1882" s="608">
        <f t="shared" si="1320"/>
        <v>0</v>
      </c>
      <c r="Z1882" s="572">
        <f t="shared" si="1381"/>
        <v>0</v>
      </c>
      <c r="AA1882" s="1">
        <f t="shared" si="1382"/>
        <v>0</v>
      </c>
    </row>
    <row r="1883" spans="1:27" ht="12" thickTop="1" x14ac:dyDescent="0.2">
      <c r="A1883" s="360" t="str">
        <f>A347</f>
        <v>3. Éducation non formelle : Permettre aux personnes non scolarisées d'acquérir les savoirs de base</v>
      </c>
      <c r="B1883" s="361"/>
      <c r="C1883" s="384">
        <f>C347</f>
        <v>0</v>
      </c>
      <c r="D1883" s="356">
        <f t="shared" si="1309"/>
        <v>10084.908015983425</v>
      </c>
      <c r="E1883" s="356">
        <f t="shared" si="1310"/>
        <v>11951.512872319972</v>
      </c>
      <c r="F1883" s="356">
        <f t="shared" si="1311"/>
        <v>15355.068047269218</v>
      </c>
      <c r="G1883" s="356">
        <f t="shared" si="1312"/>
        <v>16499.717302845682</v>
      </c>
      <c r="H1883" s="356">
        <f t="shared" si="1313"/>
        <v>16061.804711646975</v>
      </c>
      <c r="I1883" s="379">
        <f t="shared" si="1314"/>
        <v>69953.010950065276</v>
      </c>
      <c r="J1883" s="380">
        <f t="shared" si="1315"/>
        <v>0</v>
      </c>
      <c r="K1883" s="353">
        <f t="shared" si="1316"/>
        <v>0</v>
      </c>
      <c r="L1883" s="30">
        <f t="shared" ref="L1883:Q1883" si="1413">L1884+L1899+L1910+L1915+L1933+L1941+L1949+L1958+L1961+L1970+L1974</f>
        <v>10084908.015983425</v>
      </c>
      <c r="M1883" s="29">
        <f t="shared" si="1413"/>
        <v>11951512.872319972</v>
      </c>
      <c r="N1883" s="29">
        <f t="shared" si="1413"/>
        <v>15355068.047269218</v>
      </c>
      <c r="O1883" s="29">
        <f t="shared" si="1413"/>
        <v>16499717.302845683</v>
      </c>
      <c r="P1883" s="29">
        <f t="shared" si="1413"/>
        <v>16061804.711646976</v>
      </c>
      <c r="Q1883" s="24">
        <f t="shared" si="1413"/>
        <v>69953010.95006527</v>
      </c>
      <c r="R1883" s="516">
        <f t="shared" ref="R1883:S1883" si="1414">R1884+R1899+R1910+R1915+R1933+R1941+R1949+R1958+R1961+R1970+R1974</f>
        <v>0</v>
      </c>
      <c r="S1883" s="177">
        <f t="shared" si="1414"/>
        <v>0</v>
      </c>
      <c r="T1883" s="48">
        <f>T347</f>
        <v>0</v>
      </c>
      <c r="U1883" s="653">
        <f>+Q1883+U1749</f>
        <v>3415095951.8872113</v>
      </c>
      <c r="W1883" s="608">
        <f t="shared" si="1319"/>
        <v>69953010.95006527</v>
      </c>
      <c r="X1883" s="608">
        <f t="shared" si="1320"/>
        <v>0</v>
      </c>
      <c r="Z1883" s="572">
        <f t="shared" si="1381"/>
        <v>0</v>
      </c>
      <c r="AA1883" s="1">
        <f t="shared" si="1382"/>
        <v>0</v>
      </c>
    </row>
    <row r="1884" spans="1:27" x14ac:dyDescent="0.2">
      <c r="A1884" s="14" t="str">
        <f>A348</f>
        <v>3.1. Amélioration de l’accès aux offres de formation : Diversifier l’offre en développant les partenariats pour satisfaire la demande plurielle d’AENF provenant des provinces sous-scolarisées et des groupes marginalisés d’éducation pour</v>
      </c>
      <c r="B1884" s="44"/>
      <c r="C1884" s="385">
        <f>C348</f>
        <v>0</v>
      </c>
      <c r="D1884" s="217">
        <f t="shared" si="1309"/>
        <v>414.63</v>
      </c>
      <c r="E1884" s="217">
        <f t="shared" si="1310"/>
        <v>1530.78</v>
      </c>
      <c r="F1884" s="217">
        <f t="shared" si="1311"/>
        <v>1499.28</v>
      </c>
      <c r="G1884" s="217">
        <f t="shared" si="1312"/>
        <v>1350</v>
      </c>
      <c r="H1884" s="217">
        <f t="shared" si="1313"/>
        <v>150</v>
      </c>
      <c r="I1884" s="220">
        <f t="shared" si="1314"/>
        <v>4944.6899999999996</v>
      </c>
      <c r="J1884" s="373">
        <f t="shared" si="1315"/>
        <v>0</v>
      </c>
      <c r="K1884" s="346">
        <f t="shared" si="1316"/>
        <v>0</v>
      </c>
      <c r="L1884" s="33">
        <f t="shared" ref="L1884:Q1884" si="1415">L1885+L1889+L1895+L1893</f>
        <v>414630</v>
      </c>
      <c r="M1884" s="32">
        <f t="shared" si="1415"/>
        <v>1530780</v>
      </c>
      <c r="N1884" s="32">
        <f t="shared" si="1415"/>
        <v>1499280</v>
      </c>
      <c r="O1884" s="32">
        <f t="shared" si="1415"/>
        <v>1350000</v>
      </c>
      <c r="P1884" s="32">
        <f t="shared" si="1415"/>
        <v>150000</v>
      </c>
      <c r="Q1884" s="25">
        <f t="shared" si="1415"/>
        <v>4944690</v>
      </c>
      <c r="R1884" s="517">
        <f t="shared" ref="R1884:S1884" si="1416">R1885+R1889+R1895+R1893</f>
        <v>0</v>
      </c>
      <c r="S1884" s="179">
        <f t="shared" si="1416"/>
        <v>0</v>
      </c>
      <c r="T1884" s="49">
        <f>T348</f>
        <v>1</v>
      </c>
      <c r="W1884" s="608">
        <f t="shared" si="1319"/>
        <v>4944690</v>
      </c>
      <c r="X1884" s="608">
        <f t="shared" si="1320"/>
        <v>0</v>
      </c>
      <c r="Z1884" s="572">
        <f t="shared" si="1381"/>
        <v>0</v>
      </c>
      <c r="AA1884" s="1">
        <f t="shared" si="1382"/>
        <v>0</v>
      </c>
    </row>
    <row r="1885" spans="1:27" x14ac:dyDescent="0.2">
      <c r="A1885" s="17" t="str">
        <f>A349</f>
        <v>3.1.1 Implication des communautés locales et renforcement des capacités des organisations et des facilitateurs communautaires qui serviront de relais pour la mobilisation et la sensibilisation</v>
      </c>
      <c r="B1885" s="45"/>
      <c r="C1885" s="386" t="str">
        <f>C349</f>
        <v>Des campagnes de sensibilisation des communautés sont menées dans chaque province administrative</v>
      </c>
      <c r="D1885" s="157">
        <f t="shared" si="1309"/>
        <v>218.5</v>
      </c>
      <c r="E1885" s="168">
        <f t="shared" si="1310"/>
        <v>132.9</v>
      </c>
      <c r="F1885" s="168">
        <f t="shared" si="1311"/>
        <v>132.9</v>
      </c>
      <c r="G1885" s="168">
        <f t="shared" si="1312"/>
        <v>0</v>
      </c>
      <c r="H1885" s="168">
        <f t="shared" si="1313"/>
        <v>0</v>
      </c>
      <c r="I1885" s="166">
        <f t="shared" si="1314"/>
        <v>484.3</v>
      </c>
      <c r="J1885" s="371">
        <f t="shared" si="1315"/>
        <v>0</v>
      </c>
      <c r="K1885" s="348">
        <f t="shared" si="1316"/>
        <v>0</v>
      </c>
      <c r="L1885" s="35">
        <f t="shared" ref="L1885:Q1885" si="1417">SUM(L1886:L1888)</f>
        <v>218500</v>
      </c>
      <c r="M1885" s="34">
        <f t="shared" si="1417"/>
        <v>132900</v>
      </c>
      <c r="N1885" s="34">
        <f t="shared" si="1417"/>
        <v>132900</v>
      </c>
      <c r="O1885" s="34">
        <f t="shared" si="1417"/>
        <v>0</v>
      </c>
      <c r="P1885" s="34">
        <f t="shared" si="1417"/>
        <v>0</v>
      </c>
      <c r="Q1885" s="26">
        <f t="shared" si="1417"/>
        <v>484300</v>
      </c>
      <c r="R1885" s="514">
        <f t="shared" ref="R1885:S1885" si="1418">SUM(R1886:R1888)</f>
        <v>0</v>
      </c>
      <c r="S1885" s="181">
        <f t="shared" si="1418"/>
        <v>0</v>
      </c>
      <c r="T1885" s="50">
        <f>T349</f>
        <v>0</v>
      </c>
      <c r="W1885" s="608">
        <f t="shared" si="1319"/>
        <v>484300</v>
      </c>
      <c r="X1885" s="608">
        <f t="shared" si="1320"/>
        <v>0</v>
      </c>
      <c r="Z1885" s="572">
        <f t="shared" si="1381"/>
        <v>0</v>
      </c>
      <c r="AA1885" s="1">
        <f t="shared" si="1382"/>
        <v>0</v>
      </c>
    </row>
    <row r="1886" spans="1:27" x14ac:dyDescent="0.2">
      <c r="A1886" s="20" t="str">
        <f>A350</f>
        <v>3.1.1.1 Définir un plan de communication</v>
      </c>
      <c r="B1886" s="46"/>
      <c r="C1886" s="386">
        <f>C350</f>
        <v>0</v>
      </c>
      <c r="D1886" s="168">
        <f t="shared" si="1309"/>
        <v>4.5999999999999996</v>
      </c>
      <c r="E1886" s="168">
        <f t="shared" si="1310"/>
        <v>0</v>
      </c>
      <c r="F1886" s="168">
        <f t="shared" si="1311"/>
        <v>0</v>
      </c>
      <c r="G1886" s="168">
        <f t="shared" si="1312"/>
        <v>0</v>
      </c>
      <c r="H1886" s="168">
        <f t="shared" si="1313"/>
        <v>0</v>
      </c>
      <c r="I1886" s="166">
        <f t="shared" si="1314"/>
        <v>4.5999999999999996</v>
      </c>
      <c r="J1886" s="371" t="str">
        <f t="shared" si="1315"/>
        <v>MAS-DGENF/CGC</v>
      </c>
      <c r="K1886" s="350" t="str">
        <f t="shared" si="1316"/>
        <v>GVT</v>
      </c>
      <c r="L1886" s="37">
        <f t="shared" ref="L1886:Q1886" si="1419">L350</f>
        <v>4600</v>
      </c>
      <c r="M1886" s="36">
        <f t="shared" si="1419"/>
        <v>0</v>
      </c>
      <c r="N1886" s="36">
        <f t="shared" si="1419"/>
        <v>0</v>
      </c>
      <c r="O1886" s="36">
        <f t="shared" si="1419"/>
        <v>0</v>
      </c>
      <c r="P1886" s="36">
        <f t="shared" si="1419"/>
        <v>0</v>
      </c>
      <c r="Q1886" s="27">
        <f t="shared" si="1419"/>
        <v>4600</v>
      </c>
      <c r="R1886" s="205" t="str">
        <f t="shared" ref="R1886:S1886" si="1420">R350</f>
        <v>MAS-DGENF/CGC</v>
      </c>
      <c r="S1886" s="183" t="str">
        <f t="shared" si="1420"/>
        <v>GVT</v>
      </c>
      <c r="T1886" s="51">
        <f>T350</f>
        <v>0</v>
      </c>
      <c r="W1886" s="608">
        <f t="shared" si="1319"/>
        <v>4600</v>
      </c>
      <c r="X1886" s="608">
        <f t="shared" si="1320"/>
        <v>0</v>
      </c>
      <c r="Z1886" s="572">
        <f t="shared" si="1381"/>
        <v>0</v>
      </c>
      <c r="AA1886" s="1">
        <f t="shared" si="1382"/>
        <v>0</v>
      </c>
    </row>
    <row r="1887" spans="1:27" x14ac:dyDescent="0.2">
      <c r="A1887" s="20" t="str">
        <f>A353</f>
        <v>3.1.1.2 Développer des outils et des supports</v>
      </c>
      <c r="B1887" s="46"/>
      <c r="C1887" s="386">
        <f>C353</f>
        <v>0</v>
      </c>
      <c r="D1887" s="168">
        <f t="shared" si="1309"/>
        <v>129.4</v>
      </c>
      <c r="E1887" s="168">
        <f t="shared" si="1310"/>
        <v>87.4</v>
      </c>
      <c r="F1887" s="168">
        <f t="shared" si="1311"/>
        <v>87.4</v>
      </c>
      <c r="G1887" s="168">
        <f t="shared" si="1312"/>
        <v>0</v>
      </c>
      <c r="H1887" s="168">
        <f t="shared" si="1313"/>
        <v>0</v>
      </c>
      <c r="I1887" s="166">
        <f t="shared" si="1314"/>
        <v>304.2</v>
      </c>
      <c r="J1887" s="371" t="str">
        <f t="shared" si="1315"/>
        <v>MAS-DGENF/CGC</v>
      </c>
      <c r="K1887" s="350" t="str">
        <f t="shared" si="1316"/>
        <v>GVT</v>
      </c>
      <c r="L1887" s="37">
        <f t="shared" ref="L1887:Q1887" si="1421">L353</f>
        <v>129400</v>
      </c>
      <c r="M1887" s="36">
        <f t="shared" si="1421"/>
        <v>87400</v>
      </c>
      <c r="N1887" s="36">
        <f t="shared" si="1421"/>
        <v>87400</v>
      </c>
      <c r="O1887" s="36">
        <f t="shared" si="1421"/>
        <v>0</v>
      </c>
      <c r="P1887" s="36">
        <f t="shared" si="1421"/>
        <v>0</v>
      </c>
      <c r="Q1887" s="27">
        <f t="shared" si="1421"/>
        <v>304200</v>
      </c>
      <c r="R1887" s="205" t="str">
        <f t="shared" ref="R1887:S1887" si="1422">R353</f>
        <v>MAS-DGENF/CGC</v>
      </c>
      <c r="S1887" s="183" t="str">
        <f t="shared" si="1422"/>
        <v>GVT</v>
      </c>
      <c r="T1887" s="51">
        <f>T353</f>
        <v>0</v>
      </c>
      <c r="W1887" s="608">
        <f t="shared" si="1319"/>
        <v>304200</v>
      </c>
      <c r="X1887" s="608">
        <f t="shared" si="1320"/>
        <v>0</v>
      </c>
      <c r="Z1887" s="572">
        <f t="shared" si="1381"/>
        <v>0</v>
      </c>
      <c r="AA1887" s="1">
        <f t="shared" si="1382"/>
        <v>0</v>
      </c>
    </row>
    <row r="1888" spans="1:27" x14ac:dyDescent="0.2">
      <c r="A1888" s="20" t="str">
        <f>A357</f>
        <v>3.1.1.3 Assurer des campagnes IEC</v>
      </c>
      <c r="B1888" s="46"/>
      <c r="C1888" s="386">
        <f>C357</f>
        <v>0</v>
      </c>
      <c r="D1888" s="168">
        <f t="shared" si="1309"/>
        <v>84.5</v>
      </c>
      <c r="E1888" s="168">
        <f t="shared" si="1310"/>
        <v>45.5</v>
      </c>
      <c r="F1888" s="168">
        <f t="shared" si="1311"/>
        <v>45.5</v>
      </c>
      <c r="G1888" s="168">
        <f t="shared" si="1312"/>
        <v>0</v>
      </c>
      <c r="H1888" s="168">
        <f t="shared" si="1313"/>
        <v>0</v>
      </c>
      <c r="I1888" s="166">
        <f t="shared" si="1314"/>
        <v>175.5</v>
      </c>
      <c r="J1888" s="371" t="str">
        <f t="shared" si="1315"/>
        <v>MAS-DGENF/CGC</v>
      </c>
      <c r="K1888" s="350" t="str">
        <f t="shared" si="1316"/>
        <v>GVT</v>
      </c>
      <c r="L1888" s="37">
        <f t="shared" ref="L1888:Q1888" si="1423">L357</f>
        <v>84500</v>
      </c>
      <c r="M1888" s="36">
        <f t="shared" si="1423"/>
        <v>45500</v>
      </c>
      <c r="N1888" s="36">
        <f t="shared" si="1423"/>
        <v>45500</v>
      </c>
      <c r="O1888" s="36">
        <f t="shared" si="1423"/>
        <v>0</v>
      </c>
      <c r="P1888" s="36">
        <f t="shared" si="1423"/>
        <v>0</v>
      </c>
      <c r="Q1888" s="27">
        <f t="shared" si="1423"/>
        <v>175500</v>
      </c>
      <c r="R1888" s="205" t="str">
        <f t="shared" ref="R1888:S1888" si="1424">R357</f>
        <v>MAS-DGENF/CGC</v>
      </c>
      <c r="S1888" s="183" t="str">
        <f t="shared" si="1424"/>
        <v>GVT</v>
      </c>
      <c r="T1888" s="51">
        <f>T357</f>
        <v>0</v>
      </c>
      <c r="W1888" s="608">
        <f t="shared" si="1319"/>
        <v>175500</v>
      </c>
      <c r="X1888" s="608">
        <f t="shared" si="1320"/>
        <v>0</v>
      </c>
      <c r="Z1888" s="572">
        <f t="shared" si="1381"/>
        <v>0</v>
      </c>
      <c r="AA1888" s="1">
        <f t="shared" si="1382"/>
        <v>0</v>
      </c>
    </row>
    <row r="1889" spans="1:27" x14ac:dyDescent="0.2">
      <c r="A1889" s="17" t="str">
        <f>A360</f>
        <v>3.1.2 Ouverture de centres, réhabilitation et construction, équipements des centres, identification des écoles primaires qui serviront en même temps des centres de rattrapage scolaire et d’alphabétisation</v>
      </c>
      <c r="B1889" s="45"/>
      <c r="C1889" s="386" t="str">
        <f>C360</f>
        <v>La capacité des centres d'AENF est doublée entre 2016 et 2025</v>
      </c>
      <c r="D1889" s="157">
        <f t="shared" si="1309"/>
        <v>16.38</v>
      </c>
      <c r="E1889" s="168">
        <f t="shared" si="1310"/>
        <v>1216.3800000000001</v>
      </c>
      <c r="F1889" s="168">
        <f t="shared" si="1311"/>
        <v>1216.3800000000001</v>
      </c>
      <c r="G1889" s="168">
        <f t="shared" si="1312"/>
        <v>1200</v>
      </c>
      <c r="H1889" s="168">
        <f t="shared" si="1313"/>
        <v>0</v>
      </c>
      <c r="I1889" s="166">
        <f t="shared" si="1314"/>
        <v>3649.14</v>
      </c>
      <c r="J1889" s="371">
        <f t="shared" si="1315"/>
        <v>0</v>
      </c>
      <c r="K1889" s="348">
        <f t="shared" si="1316"/>
        <v>0</v>
      </c>
      <c r="L1889" s="35">
        <f t="shared" ref="L1889:Q1889" si="1425">SUM(L1890:L1892)</f>
        <v>16380</v>
      </c>
      <c r="M1889" s="34">
        <f t="shared" si="1425"/>
        <v>1216380</v>
      </c>
      <c r="N1889" s="34">
        <f t="shared" si="1425"/>
        <v>1216380</v>
      </c>
      <c r="O1889" s="34">
        <f t="shared" si="1425"/>
        <v>1200000</v>
      </c>
      <c r="P1889" s="34">
        <f t="shared" si="1425"/>
        <v>0</v>
      </c>
      <c r="Q1889" s="26">
        <f t="shared" si="1425"/>
        <v>3649140</v>
      </c>
      <c r="R1889" s="518">
        <f t="shared" ref="R1889:S1889" si="1426">SUM(R1890:R1892)</f>
        <v>0</v>
      </c>
      <c r="S1889" s="181">
        <f t="shared" si="1426"/>
        <v>0</v>
      </c>
      <c r="T1889" s="50">
        <f>T360</f>
        <v>0</v>
      </c>
      <c r="W1889" s="608">
        <f t="shared" si="1319"/>
        <v>3649140</v>
      </c>
      <c r="X1889" s="608">
        <f t="shared" si="1320"/>
        <v>0</v>
      </c>
      <c r="Z1889" s="572">
        <f t="shared" si="1381"/>
        <v>0</v>
      </c>
      <c r="AA1889" s="1">
        <f t="shared" si="1382"/>
        <v>0</v>
      </c>
    </row>
    <row r="1890" spans="1:27" x14ac:dyDescent="0.2">
      <c r="A1890" s="20" t="str">
        <f>A361</f>
        <v>3.1.2.1 Identification des écoles primaires pouvant servir d'appui</v>
      </c>
      <c r="B1890" s="46"/>
      <c r="C1890" s="386">
        <f>C361</f>
        <v>0</v>
      </c>
      <c r="D1890" s="168">
        <f t="shared" si="1309"/>
        <v>16.38</v>
      </c>
      <c r="E1890" s="168">
        <f t="shared" si="1310"/>
        <v>16.38</v>
      </c>
      <c r="F1890" s="168">
        <f t="shared" si="1311"/>
        <v>16.38</v>
      </c>
      <c r="G1890" s="168">
        <f t="shared" si="1312"/>
        <v>0</v>
      </c>
      <c r="H1890" s="168">
        <f t="shared" si="1313"/>
        <v>0</v>
      </c>
      <c r="I1890" s="166">
        <f t="shared" si="1314"/>
        <v>49.14</v>
      </c>
      <c r="J1890" s="371" t="str">
        <f t="shared" si="1315"/>
        <v>MAS-DGENF/EPS-DEP</v>
      </c>
      <c r="K1890" s="350" t="str">
        <f t="shared" si="1316"/>
        <v>GVT</v>
      </c>
      <c r="L1890" s="37">
        <f t="shared" ref="L1890:Q1890" si="1427">L361</f>
        <v>16380</v>
      </c>
      <c r="M1890" s="36">
        <f t="shared" si="1427"/>
        <v>16380</v>
      </c>
      <c r="N1890" s="36">
        <f t="shared" si="1427"/>
        <v>16380</v>
      </c>
      <c r="O1890" s="36">
        <f t="shared" si="1427"/>
        <v>0</v>
      </c>
      <c r="P1890" s="36">
        <f t="shared" si="1427"/>
        <v>0</v>
      </c>
      <c r="Q1890" s="27">
        <f t="shared" si="1427"/>
        <v>49140</v>
      </c>
      <c r="R1890" s="205" t="str">
        <f t="shared" ref="R1890:S1890" si="1428">R361</f>
        <v>MAS-DGENF/EPS-DEP</v>
      </c>
      <c r="S1890" s="183" t="str">
        <f t="shared" si="1428"/>
        <v>GVT</v>
      </c>
      <c r="T1890" s="51">
        <f>T361</f>
        <v>0</v>
      </c>
      <c r="W1890" s="608">
        <f t="shared" si="1319"/>
        <v>49140</v>
      </c>
      <c r="X1890" s="608">
        <f t="shared" si="1320"/>
        <v>0</v>
      </c>
      <c r="Z1890" s="572">
        <f t="shared" si="1381"/>
        <v>0</v>
      </c>
      <c r="AA1890" s="1">
        <f t="shared" si="1382"/>
        <v>0</v>
      </c>
    </row>
    <row r="1891" spans="1:27" x14ac:dyDescent="0.2">
      <c r="A1891" s="20" t="str">
        <f>A364</f>
        <v>3.1.2.2 Construction et équipement de centres de promotion sociale (alphabétisation, rattrapage)</v>
      </c>
      <c r="B1891" s="46"/>
      <c r="C1891" s="386">
        <f>C364</f>
        <v>0</v>
      </c>
      <c r="D1891" s="168">
        <f t="shared" si="1309"/>
        <v>0</v>
      </c>
      <c r="E1891" s="168">
        <f t="shared" si="1310"/>
        <v>800</v>
      </c>
      <c r="F1891" s="168">
        <f t="shared" si="1311"/>
        <v>800</v>
      </c>
      <c r="G1891" s="168">
        <f t="shared" si="1312"/>
        <v>800</v>
      </c>
      <c r="H1891" s="168">
        <f t="shared" si="1313"/>
        <v>0</v>
      </c>
      <c r="I1891" s="166">
        <f t="shared" si="1314"/>
        <v>2400</v>
      </c>
      <c r="J1891" s="371" t="str">
        <f t="shared" si="1315"/>
        <v>MAS-DSG</v>
      </c>
      <c r="K1891" s="350" t="str">
        <f t="shared" si="1316"/>
        <v>Fonds Qatar</v>
      </c>
      <c r="L1891" s="37">
        <f t="shared" ref="L1891:Q1891" si="1429">L364</f>
        <v>0</v>
      </c>
      <c r="M1891" s="36">
        <f t="shared" si="1429"/>
        <v>800000</v>
      </c>
      <c r="N1891" s="36">
        <f t="shared" si="1429"/>
        <v>800000</v>
      </c>
      <c r="O1891" s="36">
        <f t="shared" si="1429"/>
        <v>800000</v>
      </c>
      <c r="P1891" s="36">
        <f t="shared" si="1429"/>
        <v>0</v>
      </c>
      <c r="Q1891" s="236">
        <f t="shared" si="1429"/>
        <v>2400000</v>
      </c>
      <c r="R1891" s="205" t="str">
        <f t="shared" ref="R1891:S1891" si="1430">R364</f>
        <v>MAS-DSG</v>
      </c>
      <c r="S1891" s="183" t="str">
        <f t="shared" si="1430"/>
        <v>Fonds Qatar</v>
      </c>
      <c r="T1891" s="51">
        <f>T364</f>
        <v>0</v>
      </c>
      <c r="W1891" s="608">
        <f t="shared" si="1319"/>
        <v>2400000</v>
      </c>
      <c r="X1891" s="608">
        <f t="shared" si="1320"/>
        <v>0</v>
      </c>
      <c r="Z1891" s="572">
        <f t="shared" si="1381"/>
        <v>0</v>
      </c>
      <c r="AA1891" s="1">
        <f t="shared" si="1382"/>
        <v>0</v>
      </c>
    </row>
    <row r="1892" spans="1:27" x14ac:dyDescent="0.2">
      <c r="A1892" s="20" t="str">
        <f>A366</f>
        <v>3.1.2.3 Réhabilitation et équipement de centres de promotion sociale</v>
      </c>
      <c r="B1892" s="46"/>
      <c r="C1892" s="386">
        <f>C366</f>
        <v>0</v>
      </c>
      <c r="D1892" s="168">
        <f t="shared" si="1309"/>
        <v>0</v>
      </c>
      <c r="E1892" s="168">
        <f t="shared" si="1310"/>
        <v>400</v>
      </c>
      <c r="F1892" s="168">
        <f t="shared" si="1311"/>
        <v>400</v>
      </c>
      <c r="G1892" s="168">
        <f t="shared" si="1312"/>
        <v>400</v>
      </c>
      <c r="H1892" s="168">
        <f t="shared" si="1313"/>
        <v>0</v>
      </c>
      <c r="I1892" s="166">
        <f t="shared" si="1314"/>
        <v>1200</v>
      </c>
      <c r="J1892" s="371" t="str">
        <f t="shared" si="1315"/>
        <v>MAS-DSG</v>
      </c>
      <c r="K1892" s="350" t="str">
        <f t="shared" si="1316"/>
        <v>Fonds Qatar</v>
      </c>
      <c r="L1892" s="37">
        <f t="shared" ref="L1892:Q1892" si="1431">L366</f>
        <v>0</v>
      </c>
      <c r="M1892" s="36">
        <f t="shared" si="1431"/>
        <v>400000</v>
      </c>
      <c r="N1892" s="36">
        <f t="shared" si="1431"/>
        <v>400000</v>
      </c>
      <c r="O1892" s="36">
        <f t="shared" si="1431"/>
        <v>400000</v>
      </c>
      <c r="P1892" s="36">
        <f t="shared" si="1431"/>
        <v>0</v>
      </c>
      <c r="Q1892" s="236">
        <f t="shared" si="1431"/>
        <v>1200000</v>
      </c>
      <c r="R1892" s="205" t="str">
        <f t="shared" ref="R1892:S1892" si="1432">R366</f>
        <v>MAS-DSG</v>
      </c>
      <c r="S1892" s="183" t="str">
        <f t="shared" si="1432"/>
        <v>Fonds Qatar</v>
      </c>
      <c r="T1892" s="51">
        <f>T366</f>
        <v>0</v>
      </c>
      <c r="W1892" s="608">
        <f t="shared" si="1319"/>
        <v>1200000</v>
      </c>
      <c r="X1892" s="608">
        <f t="shared" si="1320"/>
        <v>0</v>
      </c>
      <c r="Z1892" s="572">
        <f t="shared" si="1381"/>
        <v>0</v>
      </c>
      <c r="AA1892" s="1">
        <f t="shared" si="1382"/>
        <v>0</v>
      </c>
    </row>
    <row r="1893" spans="1:27" x14ac:dyDescent="0.2">
      <c r="A1893" s="17" t="str">
        <f>A368</f>
        <v>3.1.3 Prise de mesures pour la réduction des disparités d’accès liées au genre, l’âge, à la localité, aux handicaps, à la pauvreté, etc. (ciblage et intégration des enfants et jeunes hors du système éducatif formel)</v>
      </c>
      <c r="B1893" s="45"/>
      <c r="C1893" s="386" t="str">
        <f>C368</f>
        <v>La proportion de filles/femmes augmente parmi les apprenants</v>
      </c>
      <c r="D1893" s="157">
        <f t="shared" si="1309"/>
        <v>0</v>
      </c>
      <c r="E1893" s="168">
        <f t="shared" si="1310"/>
        <v>11.5</v>
      </c>
      <c r="F1893" s="168">
        <f t="shared" si="1311"/>
        <v>0</v>
      </c>
      <c r="G1893" s="168">
        <f t="shared" si="1312"/>
        <v>0</v>
      </c>
      <c r="H1893" s="168">
        <f t="shared" si="1313"/>
        <v>0</v>
      </c>
      <c r="I1893" s="166">
        <f t="shared" si="1314"/>
        <v>11.5</v>
      </c>
      <c r="J1893" s="371">
        <f t="shared" si="1315"/>
        <v>0</v>
      </c>
      <c r="K1893" s="348">
        <f t="shared" si="1316"/>
        <v>0</v>
      </c>
      <c r="L1893" s="35">
        <f t="shared" ref="L1893:S1893" si="1433">SUM(L1894:L1894)</f>
        <v>0</v>
      </c>
      <c r="M1893" s="34">
        <f t="shared" si="1433"/>
        <v>11500</v>
      </c>
      <c r="N1893" s="34">
        <f t="shared" si="1433"/>
        <v>0</v>
      </c>
      <c r="O1893" s="34">
        <f t="shared" si="1433"/>
        <v>0</v>
      </c>
      <c r="P1893" s="34">
        <f t="shared" si="1433"/>
        <v>0</v>
      </c>
      <c r="Q1893" s="26">
        <f t="shared" si="1433"/>
        <v>11500</v>
      </c>
      <c r="R1893" s="209">
        <f t="shared" si="1433"/>
        <v>0</v>
      </c>
      <c r="S1893" s="116">
        <f t="shared" si="1433"/>
        <v>0</v>
      </c>
      <c r="T1893" s="50">
        <f>T368</f>
        <v>0</v>
      </c>
      <c r="W1893" s="608">
        <f t="shared" si="1319"/>
        <v>11500</v>
      </c>
      <c r="X1893" s="608">
        <f t="shared" si="1320"/>
        <v>0</v>
      </c>
      <c r="Z1893" s="572">
        <f t="shared" si="1381"/>
        <v>0</v>
      </c>
      <c r="AA1893" s="1">
        <f t="shared" si="1382"/>
        <v>0</v>
      </c>
    </row>
    <row r="1894" spans="1:27" x14ac:dyDescent="0.2">
      <c r="A1894" s="20" t="str">
        <f>A369</f>
        <v>3.1.3.1 Recensement des disparités et élaboration d'un plan de réduction des disparités</v>
      </c>
      <c r="B1894" s="46"/>
      <c r="C1894" s="386">
        <f>C369</f>
        <v>0</v>
      </c>
      <c r="D1894" s="168">
        <f t="shared" si="1309"/>
        <v>0</v>
      </c>
      <c r="E1894" s="168">
        <f t="shared" si="1310"/>
        <v>11.5</v>
      </c>
      <c r="F1894" s="168">
        <f t="shared" si="1311"/>
        <v>0</v>
      </c>
      <c r="G1894" s="168">
        <f t="shared" si="1312"/>
        <v>0</v>
      </c>
      <c r="H1894" s="168">
        <f t="shared" si="1313"/>
        <v>0</v>
      </c>
      <c r="I1894" s="166">
        <f t="shared" si="1314"/>
        <v>11.5</v>
      </c>
      <c r="J1894" s="371" t="str">
        <f t="shared" si="1315"/>
        <v>DGENF</v>
      </c>
      <c r="K1894" s="350">
        <f t="shared" si="1316"/>
        <v>0</v>
      </c>
      <c r="L1894" s="37">
        <f t="shared" ref="L1894:Q1894" si="1434">L369</f>
        <v>0</v>
      </c>
      <c r="M1894" s="36">
        <f t="shared" si="1434"/>
        <v>11500</v>
      </c>
      <c r="N1894" s="36">
        <f t="shared" si="1434"/>
        <v>0</v>
      </c>
      <c r="O1894" s="36">
        <f t="shared" si="1434"/>
        <v>0</v>
      </c>
      <c r="P1894" s="36">
        <f t="shared" si="1434"/>
        <v>0</v>
      </c>
      <c r="Q1894" s="236">
        <f t="shared" si="1434"/>
        <v>11500</v>
      </c>
      <c r="R1894" s="198" t="str">
        <f t="shared" ref="R1894:S1894" si="1435">R369</f>
        <v>DGENF</v>
      </c>
      <c r="S1894" s="115">
        <f t="shared" si="1435"/>
        <v>0</v>
      </c>
      <c r="T1894" s="51">
        <f>T369</f>
        <v>0</v>
      </c>
      <c r="W1894" s="608">
        <f t="shared" si="1319"/>
        <v>11500</v>
      </c>
      <c r="X1894" s="608">
        <f t="shared" si="1320"/>
        <v>0</v>
      </c>
      <c r="Z1894" s="572">
        <f t="shared" si="1381"/>
        <v>0</v>
      </c>
      <c r="AA1894" s="1">
        <f t="shared" si="1382"/>
        <v>0</v>
      </c>
    </row>
    <row r="1895" spans="1:27" x14ac:dyDescent="0.2">
      <c r="A1895" s="17" t="str">
        <f>A372</f>
        <v>3.1.4 Identification et réinsertion scolaire des enfants déscolarisés</v>
      </c>
      <c r="B1895" s="45"/>
      <c r="C1895" s="387" t="str">
        <f>C372</f>
        <v xml:space="preserve">En 2020, les enfants déscolarisés sont identifiés et en majorité insérés/réinsérés dans le système formel </v>
      </c>
      <c r="D1895" s="157">
        <f t="shared" si="1309"/>
        <v>179.75</v>
      </c>
      <c r="E1895" s="168">
        <f t="shared" si="1310"/>
        <v>170</v>
      </c>
      <c r="F1895" s="168">
        <f t="shared" si="1311"/>
        <v>150</v>
      </c>
      <c r="G1895" s="168">
        <f t="shared" si="1312"/>
        <v>150</v>
      </c>
      <c r="H1895" s="168">
        <f t="shared" si="1313"/>
        <v>150</v>
      </c>
      <c r="I1895" s="166">
        <f t="shared" si="1314"/>
        <v>799.75</v>
      </c>
      <c r="J1895" s="371">
        <f t="shared" si="1315"/>
        <v>0</v>
      </c>
      <c r="K1895" s="348">
        <f t="shared" si="1316"/>
        <v>0</v>
      </c>
      <c r="L1895" s="35">
        <f t="shared" ref="L1895:Q1895" si="1436">SUM(L1896:L1898)</f>
        <v>179750</v>
      </c>
      <c r="M1895" s="34">
        <f t="shared" si="1436"/>
        <v>170000</v>
      </c>
      <c r="N1895" s="34">
        <f t="shared" si="1436"/>
        <v>150000</v>
      </c>
      <c r="O1895" s="34">
        <f t="shared" si="1436"/>
        <v>150000</v>
      </c>
      <c r="P1895" s="34">
        <f t="shared" si="1436"/>
        <v>150000</v>
      </c>
      <c r="Q1895" s="26">
        <f t="shared" si="1436"/>
        <v>799750</v>
      </c>
      <c r="R1895" s="518">
        <f t="shared" ref="R1895:S1895" si="1437">SUM(R1896:R1898)</f>
        <v>0</v>
      </c>
      <c r="S1895" s="181">
        <f t="shared" si="1437"/>
        <v>0</v>
      </c>
      <c r="T1895" s="50">
        <f>T372</f>
        <v>0</v>
      </c>
      <c r="W1895" s="608">
        <f t="shared" si="1319"/>
        <v>799750</v>
      </c>
      <c r="X1895" s="608">
        <f t="shared" si="1320"/>
        <v>0</v>
      </c>
      <c r="Z1895" s="572">
        <f t="shared" si="1381"/>
        <v>0</v>
      </c>
      <c r="AA1895" s="1">
        <f t="shared" si="1382"/>
        <v>0</v>
      </c>
    </row>
    <row r="1896" spans="1:27" x14ac:dyDescent="0.2">
      <c r="A1896" s="20" t="str">
        <f>A373</f>
        <v>3.1.4.1 Élaboration d’une stratégie de réinsertion scolaire des enfants déscolarisés et des outils d’identification de ces enfants</v>
      </c>
      <c r="B1896" s="46"/>
      <c r="C1896" s="386">
        <f>C373</f>
        <v>0</v>
      </c>
      <c r="D1896" s="168">
        <f t="shared" si="1309"/>
        <v>29.75</v>
      </c>
      <c r="E1896" s="168">
        <f t="shared" si="1310"/>
        <v>0</v>
      </c>
      <c r="F1896" s="168">
        <f t="shared" si="1311"/>
        <v>0</v>
      </c>
      <c r="G1896" s="168">
        <f t="shared" si="1312"/>
        <v>0</v>
      </c>
      <c r="H1896" s="168">
        <f t="shared" si="1313"/>
        <v>0</v>
      </c>
      <c r="I1896" s="166">
        <f t="shared" si="1314"/>
        <v>29.75</v>
      </c>
      <c r="J1896" s="371" t="str">
        <f t="shared" si="1315"/>
        <v>MAS-DGENF-DEP/EPS-DEP</v>
      </c>
      <c r="K1896" s="350" t="str">
        <f t="shared" si="1316"/>
        <v>Fonds Qatar</v>
      </c>
      <c r="L1896" s="37">
        <f t="shared" ref="L1896:Q1896" si="1438">L373</f>
        <v>29750</v>
      </c>
      <c r="M1896" s="36">
        <f t="shared" si="1438"/>
        <v>0</v>
      </c>
      <c r="N1896" s="36">
        <f t="shared" si="1438"/>
        <v>0</v>
      </c>
      <c r="O1896" s="36">
        <f t="shared" si="1438"/>
        <v>0</v>
      </c>
      <c r="P1896" s="36">
        <f t="shared" si="1438"/>
        <v>0</v>
      </c>
      <c r="Q1896" s="27">
        <f t="shared" si="1438"/>
        <v>29750</v>
      </c>
      <c r="R1896" s="205" t="str">
        <f t="shared" ref="R1896:S1896" si="1439">R373</f>
        <v>MAS-DGENF-DEP/EPS-DEP</v>
      </c>
      <c r="S1896" s="183" t="str">
        <f t="shared" si="1439"/>
        <v>Fonds Qatar</v>
      </c>
      <c r="T1896" s="51">
        <f>T373</f>
        <v>0</v>
      </c>
      <c r="W1896" s="608">
        <f t="shared" si="1319"/>
        <v>29750</v>
      </c>
      <c r="X1896" s="608">
        <f t="shared" si="1320"/>
        <v>0</v>
      </c>
      <c r="Z1896" s="572">
        <f t="shared" si="1381"/>
        <v>0</v>
      </c>
      <c r="AA1896" s="1">
        <f t="shared" si="1382"/>
        <v>0</v>
      </c>
    </row>
    <row r="1897" spans="1:27" x14ac:dyDescent="0.2">
      <c r="A1897" s="20" t="str">
        <f>A377</f>
        <v>3.1.4.2 Renforcement de l'offre alternative d’éducation pour les enfants en âge scolaire non scolarisés (9-14 ans)</v>
      </c>
      <c r="B1897" s="46"/>
      <c r="C1897" s="386">
        <f>C377</f>
        <v>0</v>
      </c>
      <c r="D1897" s="168">
        <f t="shared" si="1309"/>
        <v>150</v>
      </c>
      <c r="E1897" s="168">
        <f t="shared" si="1310"/>
        <v>150</v>
      </c>
      <c r="F1897" s="168">
        <f t="shared" si="1311"/>
        <v>150</v>
      </c>
      <c r="G1897" s="168">
        <f t="shared" si="1312"/>
        <v>150</v>
      </c>
      <c r="H1897" s="168">
        <f t="shared" si="1313"/>
        <v>150</v>
      </c>
      <c r="I1897" s="166">
        <f t="shared" si="1314"/>
        <v>750</v>
      </c>
      <c r="J1897" s="371" t="str">
        <f t="shared" si="1315"/>
        <v>MAS-DGENF</v>
      </c>
      <c r="K1897" s="350">
        <f t="shared" si="1316"/>
        <v>0</v>
      </c>
      <c r="L1897" s="37">
        <f t="shared" ref="L1897:Q1897" si="1440">L377</f>
        <v>150000</v>
      </c>
      <c r="M1897" s="36">
        <f t="shared" si="1440"/>
        <v>150000</v>
      </c>
      <c r="N1897" s="36">
        <f t="shared" si="1440"/>
        <v>150000</v>
      </c>
      <c r="O1897" s="36">
        <f t="shared" si="1440"/>
        <v>150000</v>
      </c>
      <c r="P1897" s="36">
        <f t="shared" si="1440"/>
        <v>150000</v>
      </c>
      <c r="Q1897" s="236">
        <f t="shared" si="1440"/>
        <v>750000</v>
      </c>
      <c r="R1897" s="205" t="str">
        <f t="shared" ref="R1897:S1897" si="1441">R377</f>
        <v>MAS-DGENF</v>
      </c>
      <c r="S1897" s="183">
        <f t="shared" si="1441"/>
        <v>0</v>
      </c>
      <c r="T1897" s="51">
        <f>T377</f>
        <v>0</v>
      </c>
      <c r="W1897" s="608">
        <f t="shared" si="1319"/>
        <v>750000</v>
      </c>
      <c r="X1897" s="608">
        <f t="shared" si="1320"/>
        <v>0</v>
      </c>
      <c r="Z1897" s="572">
        <f t="shared" si="1381"/>
        <v>0</v>
      </c>
      <c r="AA1897" s="1">
        <f t="shared" si="1382"/>
        <v>0</v>
      </c>
    </row>
    <row r="1898" spans="1:27" x14ac:dyDescent="0.2">
      <c r="A1898" s="20" t="str">
        <f>A379</f>
        <v>3.1.4.3 Évaluation de l'efficacité de la subvention</v>
      </c>
      <c r="B1898" s="46"/>
      <c r="C1898" s="386">
        <f>C379</f>
        <v>0</v>
      </c>
      <c r="D1898" s="168">
        <f t="shared" si="1309"/>
        <v>0</v>
      </c>
      <c r="E1898" s="168">
        <f t="shared" si="1310"/>
        <v>20</v>
      </c>
      <c r="F1898" s="168">
        <f t="shared" si="1311"/>
        <v>0</v>
      </c>
      <c r="G1898" s="168">
        <f t="shared" si="1312"/>
        <v>0</v>
      </c>
      <c r="H1898" s="168">
        <f t="shared" si="1313"/>
        <v>0</v>
      </c>
      <c r="I1898" s="166">
        <f t="shared" si="1314"/>
        <v>20</v>
      </c>
      <c r="J1898" s="371" t="str">
        <f t="shared" si="1315"/>
        <v>MAS-DGENF</v>
      </c>
      <c r="K1898" s="350">
        <f t="shared" si="1316"/>
        <v>0</v>
      </c>
      <c r="L1898" s="37">
        <f t="shared" ref="L1898:Q1898" si="1442">L379</f>
        <v>0</v>
      </c>
      <c r="M1898" s="36">
        <f t="shared" si="1442"/>
        <v>20000</v>
      </c>
      <c r="N1898" s="36">
        <f t="shared" si="1442"/>
        <v>0</v>
      </c>
      <c r="O1898" s="36">
        <f t="shared" si="1442"/>
        <v>0</v>
      </c>
      <c r="P1898" s="36">
        <f t="shared" si="1442"/>
        <v>0</v>
      </c>
      <c r="Q1898" s="27">
        <f t="shared" si="1442"/>
        <v>20000</v>
      </c>
      <c r="R1898" s="205" t="str">
        <f t="shared" ref="R1898:S1898" si="1443">R379</f>
        <v>MAS-DGENF</v>
      </c>
      <c r="S1898" s="183">
        <f t="shared" si="1443"/>
        <v>0</v>
      </c>
      <c r="T1898" s="51">
        <f>T379</f>
        <v>0</v>
      </c>
      <c r="W1898" s="608">
        <f t="shared" si="1319"/>
        <v>20000</v>
      </c>
      <c r="X1898" s="608">
        <f t="shared" si="1320"/>
        <v>0</v>
      </c>
      <c r="Z1898" s="572">
        <f t="shared" si="1381"/>
        <v>0</v>
      </c>
      <c r="AA1898" s="1">
        <f t="shared" si="1382"/>
        <v>0</v>
      </c>
    </row>
    <row r="1899" spans="1:27" x14ac:dyDescent="0.2">
      <c r="A1899" s="14" t="str">
        <f>A383</f>
        <v>3.2. Protection sociale : renforcer les capacités des communautés et des familles</v>
      </c>
      <c r="B1899" s="44"/>
      <c r="C1899" s="385">
        <f>C383</f>
        <v>0</v>
      </c>
      <c r="D1899" s="217">
        <f t="shared" si="1309"/>
        <v>19.399999999999999</v>
      </c>
      <c r="E1899" s="217">
        <f t="shared" si="1310"/>
        <v>249.66</v>
      </c>
      <c r="F1899" s="217">
        <f t="shared" si="1311"/>
        <v>127</v>
      </c>
      <c r="G1899" s="217">
        <f t="shared" si="1312"/>
        <v>127</v>
      </c>
      <c r="H1899" s="217">
        <f t="shared" si="1313"/>
        <v>127</v>
      </c>
      <c r="I1899" s="220">
        <f t="shared" si="1314"/>
        <v>650.05999999999995</v>
      </c>
      <c r="J1899" s="373">
        <f t="shared" si="1315"/>
        <v>0</v>
      </c>
      <c r="K1899" s="346">
        <f t="shared" si="1316"/>
        <v>0</v>
      </c>
      <c r="L1899" s="33">
        <f t="shared" ref="L1899:Q1899" si="1444">L1900+L1902+L1904+L1908</f>
        <v>19400</v>
      </c>
      <c r="M1899" s="32">
        <f t="shared" si="1444"/>
        <v>249660</v>
      </c>
      <c r="N1899" s="32">
        <f t="shared" si="1444"/>
        <v>127000</v>
      </c>
      <c r="O1899" s="32">
        <f t="shared" si="1444"/>
        <v>127000</v>
      </c>
      <c r="P1899" s="32">
        <f t="shared" si="1444"/>
        <v>127000</v>
      </c>
      <c r="Q1899" s="25">
        <f t="shared" si="1444"/>
        <v>650060</v>
      </c>
      <c r="R1899" s="517">
        <f t="shared" ref="R1899:S1899" si="1445">R1900+R1902+R1904+R1908</f>
        <v>0</v>
      </c>
      <c r="S1899" s="179">
        <f t="shared" si="1445"/>
        <v>0</v>
      </c>
      <c r="T1899" s="49">
        <f>T383</f>
        <v>1</v>
      </c>
      <c r="W1899" s="608">
        <f t="shared" si="1319"/>
        <v>650060</v>
      </c>
      <c r="X1899" s="608">
        <f t="shared" si="1320"/>
        <v>0</v>
      </c>
      <c r="Z1899" s="572">
        <f t="shared" si="1381"/>
        <v>0</v>
      </c>
      <c r="AA1899" s="1">
        <f t="shared" si="1382"/>
        <v>0</v>
      </c>
    </row>
    <row r="1900" spans="1:27" x14ac:dyDescent="0.2">
      <c r="A1900" s="17" t="str">
        <f>A384</f>
        <v>3.2.1 Identifier les communautés de base et les structures de référencement (écoles, centres de formation,…)</v>
      </c>
      <c r="B1900" s="45"/>
      <c r="C1900" s="387" t="str">
        <f>C384</f>
        <v>Identification par les services de l'AENF</v>
      </c>
      <c r="D1900" s="157">
        <f t="shared" si="1309"/>
        <v>8.4</v>
      </c>
      <c r="E1900" s="157">
        <f t="shared" si="1310"/>
        <v>0</v>
      </c>
      <c r="F1900" s="157">
        <f t="shared" si="1311"/>
        <v>0</v>
      </c>
      <c r="G1900" s="157">
        <f t="shared" si="1312"/>
        <v>0</v>
      </c>
      <c r="H1900" s="157">
        <f t="shared" si="1313"/>
        <v>0</v>
      </c>
      <c r="I1900" s="160">
        <f t="shared" si="1314"/>
        <v>8.4</v>
      </c>
      <c r="J1900" s="374">
        <f t="shared" si="1315"/>
        <v>0</v>
      </c>
      <c r="K1900" s="348">
        <f t="shared" si="1316"/>
        <v>0</v>
      </c>
      <c r="L1900" s="35">
        <f t="shared" ref="L1900:S1900" si="1446">SUM(L1901:L1901)</f>
        <v>8400</v>
      </c>
      <c r="M1900" s="34">
        <f t="shared" si="1446"/>
        <v>0</v>
      </c>
      <c r="N1900" s="34">
        <f t="shared" si="1446"/>
        <v>0</v>
      </c>
      <c r="O1900" s="34">
        <f t="shared" si="1446"/>
        <v>0</v>
      </c>
      <c r="P1900" s="34">
        <f t="shared" si="1446"/>
        <v>0</v>
      </c>
      <c r="Q1900" s="26">
        <f t="shared" si="1446"/>
        <v>8400</v>
      </c>
      <c r="R1900" s="518">
        <f t="shared" si="1446"/>
        <v>0</v>
      </c>
      <c r="S1900" s="181">
        <f t="shared" si="1446"/>
        <v>0</v>
      </c>
      <c r="T1900" s="50">
        <f>T384</f>
        <v>0</v>
      </c>
      <c r="W1900" s="608">
        <f t="shared" si="1319"/>
        <v>8400</v>
      </c>
      <c r="X1900" s="608">
        <f t="shared" si="1320"/>
        <v>0</v>
      </c>
      <c r="Z1900" s="572">
        <f t="shared" si="1381"/>
        <v>0</v>
      </c>
      <c r="AA1900" s="1">
        <f t="shared" si="1382"/>
        <v>0</v>
      </c>
    </row>
    <row r="1901" spans="1:27" x14ac:dyDescent="0.2">
      <c r="A1901" s="20" t="str">
        <f>A385</f>
        <v>3.2.1.1 Recensement des communautés de base et structures de référencement</v>
      </c>
      <c r="B1901" s="46"/>
      <c r="C1901" s="386">
        <f>C385</f>
        <v>0</v>
      </c>
      <c r="D1901" s="168">
        <f t="shared" si="1309"/>
        <v>8.4</v>
      </c>
      <c r="E1901" s="168">
        <f t="shared" si="1310"/>
        <v>0</v>
      </c>
      <c r="F1901" s="168">
        <f t="shared" si="1311"/>
        <v>0</v>
      </c>
      <c r="G1901" s="168">
        <f t="shared" si="1312"/>
        <v>0</v>
      </c>
      <c r="H1901" s="168">
        <f t="shared" si="1313"/>
        <v>0</v>
      </c>
      <c r="I1901" s="166">
        <f t="shared" si="1314"/>
        <v>8.4</v>
      </c>
      <c r="J1901" s="371" t="str">
        <f t="shared" si="1315"/>
        <v>MAS-DGNEF-DEP</v>
      </c>
      <c r="K1901" s="350" t="str">
        <f t="shared" si="1316"/>
        <v>GVT</v>
      </c>
      <c r="L1901" s="37">
        <f t="shared" ref="L1901:Q1901" si="1447">L385</f>
        <v>8400</v>
      </c>
      <c r="M1901" s="36">
        <f t="shared" si="1447"/>
        <v>0</v>
      </c>
      <c r="N1901" s="36">
        <f t="shared" si="1447"/>
        <v>0</v>
      </c>
      <c r="O1901" s="36">
        <f t="shared" si="1447"/>
        <v>0</v>
      </c>
      <c r="P1901" s="36">
        <f t="shared" si="1447"/>
        <v>0</v>
      </c>
      <c r="Q1901" s="27">
        <f t="shared" si="1447"/>
        <v>8400</v>
      </c>
      <c r="R1901" s="205" t="str">
        <f t="shared" ref="R1901:S1901" si="1448">R385</f>
        <v>MAS-DGNEF-DEP</v>
      </c>
      <c r="S1901" s="183" t="str">
        <f t="shared" si="1448"/>
        <v>GVT</v>
      </c>
      <c r="T1901" s="51">
        <f>T385</f>
        <v>0</v>
      </c>
      <c r="W1901" s="608">
        <f t="shared" si="1319"/>
        <v>8400</v>
      </c>
      <c r="X1901" s="608">
        <f t="shared" si="1320"/>
        <v>0</v>
      </c>
      <c r="Z1901" s="572">
        <f t="shared" si="1381"/>
        <v>0</v>
      </c>
      <c r="AA1901" s="1">
        <f t="shared" si="1382"/>
        <v>0</v>
      </c>
    </row>
    <row r="1902" spans="1:27" x14ac:dyDescent="0.2">
      <c r="A1902" s="17" t="str">
        <f>A390</f>
        <v>3.2.2 Identifier les apprenants les plus vulnérables dans les offres de l’AENF</v>
      </c>
      <c r="B1902" s="45"/>
      <c r="C1902" s="387" t="str">
        <f>C390</f>
        <v>Les enfants vulnérables sont protégés et référés</v>
      </c>
      <c r="D1902" s="157">
        <f t="shared" si="1309"/>
        <v>3</v>
      </c>
      <c r="E1902" s="157">
        <f t="shared" si="1310"/>
        <v>122.66</v>
      </c>
      <c r="F1902" s="157">
        <f t="shared" si="1311"/>
        <v>0</v>
      </c>
      <c r="G1902" s="157">
        <f t="shared" si="1312"/>
        <v>0</v>
      </c>
      <c r="H1902" s="157">
        <f t="shared" si="1313"/>
        <v>0</v>
      </c>
      <c r="I1902" s="160">
        <f t="shared" si="1314"/>
        <v>125.66</v>
      </c>
      <c r="J1902" s="374">
        <f t="shared" si="1315"/>
        <v>0</v>
      </c>
      <c r="K1902" s="348">
        <f t="shared" si="1316"/>
        <v>0</v>
      </c>
      <c r="L1902" s="35">
        <f t="shared" ref="L1902:S1902" si="1449">SUM(L1903:L1903)</f>
        <v>3000</v>
      </c>
      <c r="M1902" s="34">
        <f t="shared" si="1449"/>
        <v>122660</v>
      </c>
      <c r="N1902" s="34">
        <f t="shared" si="1449"/>
        <v>0</v>
      </c>
      <c r="O1902" s="34">
        <f t="shared" si="1449"/>
        <v>0</v>
      </c>
      <c r="P1902" s="34">
        <f t="shared" si="1449"/>
        <v>0</v>
      </c>
      <c r="Q1902" s="26">
        <f t="shared" si="1449"/>
        <v>125660</v>
      </c>
      <c r="R1902" s="518">
        <f t="shared" si="1449"/>
        <v>0</v>
      </c>
      <c r="S1902" s="181">
        <f t="shared" si="1449"/>
        <v>0</v>
      </c>
      <c r="T1902" s="50">
        <f>T390</f>
        <v>0</v>
      </c>
      <c r="W1902" s="608">
        <f t="shared" si="1319"/>
        <v>125660</v>
      </c>
      <c r="X1902" s="608">
        <f t="shared" si="1320"/>
        <v>0</v>
      </c>
      <c r="Z1902" s="572">
        <f t="shared" si="1381"/>
        <v>0</v>
      </c>
      <c r="AA1902" s="1">
        <f t="shared" si="1382"/>
        <v>0</v>
      </c>
    </row>
    <row r="1903" spans="1:27" x14ac:dyDescent="0.2">
      <c r="A1903" s="20" t="str">
        <f>A391</f>
        <v>3.2.2.1 Élaboration d'une carte sociale des familles les plus vulnérables</v>
      </c>
      <c r="B1903" s="46"/>
      <c r="C1903" s="386">
        <f>C391</f>
        <v>0</v>
      </c>
      <c r="D1903" s="168">
        <f t="shared" si="1309"/>
        <v>3</v>
      </c>
      <c r="E1903" s="168">
        <f t="shared" si="1310"/>
        <v>122.66</v>
      </c>
      <c r="F1903" s="168">
        <f t="shared" si="1311"/>
        <v>0</v>
      </c>
      <c r="G1903" s="168">
        <f t="shared" si="1312"/>
        <v>0</v>
      </c>
      <c r="H1903" s="168">
        <f t="shared" si="1313"/>
        <v>0</v>
      </c>
      <c r="I1903" s="166">
        <f t="shared" si="1314"/>
        <v>125.66</v>
      </c>
      <c r="J1903" s="371" t="str">
        <f t="shared" si="1315"/>
        <v>MAS-DGNEF-DEP</v>
      </c>
      <c r="K1903" s="350" t="str">
        <f t="shared" si="1316"/>
        <v>GVT</v>
      </c>
      <c r="L1903" s="37">
        <f t="shared" ref="L1903:Q1903" si="1450">L391</f>
        <v>3000</v>
      </c>
      <c r="M1903" s="36">
        <f t="shared" si="1450"/>
        <v>122660</v>
      </c>
      <c r="N1903" s="36">
        <f t="shared" si="1450"/>
        <v>0</v>
      </c>
      <c r="O1903" s="36">
        <f t="shared" si="1450"/>
        <v>0</v>
      </c>
      <c r="P1903" s="36">
        <f t="shared" si="1450"/>
        <v>0</v>
      </c>
      <c r="Q1903" s="27">
        <f t="shared" si="1450"/>
        <v>125660</v>
      </c>
      <c r="R1903" s="205" t="str">
        <f t="shared" ref="R1903:S1903" si="1451">R391</f>
        <v>MAS-DGNEF-DEP</v>
      </c>
      <c r="S1903" s="183" t="str">
        <f t="shared" si="1451"/>
        <v>GVT</v>
      </c>
      <c r="T1903" s="51">
        <f>T391</f>
        <v>0</v>
      </c>
      <c r="W1903" s="608">
        <f t="shared" si="1319"/>
        <v>125660</v>
      </c>
      <c r="X1903" s="608">
        <f t="shared" si="1320"/>
        <v>0</v>
      </c>
      <c r="Z1903" s="572">
        <f t="shared" si="1381"/>
        <v>0</v>
      </c>
      <c r="AA1903" s="1">
        <f t="shared" si="1382"/>
        <v>0</v>
      </c>
    </row>
    <row r="1904" spans="1:27" x14ac:dyDescent="0.2">
      <c r="A1904" s="229" t="str">
        <f>A396</f>
        <v>3.2.3 Accorder l’appui institutionnel aux structures d’accueil</v>
      </c>
      <c r="B1904" s="152"/>
      <c r="C1904" s="388" t="str">
        <f>C396</f>
        <v>Tous les centres reçoivent un soutien sous formes d'outils et matériels pédagogiques</v>
      </c>
      <c r="D1904" s="157">
        <f t="shared" si="1309"/>
        <v>8</v>
      </c>
      <c r="E1904" s="157">
        <f t="shared" si="1310"/>
        <v>50</v>
      </c>
      <c r="F1904" s="157">
        <f t="shared" si="1311"/>
        <v>50</v>
      </c>
      <c r="G1904" s="157">
        <f t="shared" si="1312"/>
        <v>50</v>
      </c>
      <c r="H1904" s="157">
        <f t="shared" si="1313"/>
        <v>50</v>
      </c>
      <c r="I1904" s="160">
        <f t="shared" si="1314"/>
        <v>208</v>
      </c>
      <c r="J1904" s="374">
        <f t="shared" si="1315"/>
        <v>0</v>
      </c>
      <c r="K1904" s="341">
        <f t="shared" si="1316"/>
        <v>0</v>
      </c>
      <c r="L1904" s="35">
        <f t="shared" ref="L1904:Q1904" si="1452">SUM(L1905:L1907)</f>
        <v>8000</v>
      </c>
      <c r="M1904" s="34">
        <f t="shared" si="1452"/>
        <v>50000</v>
      </c>
      <c r="N1904" s="34">
        <f t="shared" si="1452"/>
        <v>50000</v>
      </c>
      <c r="O1904" s="34">
        <f t="shared" si="1452"/>
        <v>50000</v>
      </c>
      <c r="P1904" s="34">
        <f t="shared" si="1452"/>
        <v>50000</v>
      </c>
      <c r="Q1904" s="26">
        <f t="shared" si="1452"/>
        <v>208000</v>
      </c>
      <c r="R1904" s="520">
        <f t="shared" ref="R1904:S1904" si="1453">SUM(R1905:R1907)</f>
        <v>0</v>
      </c>
      <c r="S1904" s="201">
        <f t="shared" si="1453"/>
        <v>0</v>
      </c>
      <c r="T1904" s="154">
        <f>T396</f>
        <v>0</v>
      </c>
      <c r="W1904" s="608">
        <f t="shared" si="1319"/>
        <v>208000</v>
      </c>
      <c r="X1904" s="608">
        <f t="shared" si="1320"/>
        <v>0</v>
      </c>
      <c r="Z1904" s="572">
        <f t="shared" si="1381"/>
        <v>0</v>
      </c>
      <c r="AA1904" s="1">
        <f t="shared" si="1382"/>
        <v>0</v>
      </c>
    </row>
    <row r="1905" spans="1:27" x14ac:dyDescent="0.2">
      <c r="A1905" s="123" t="str">
        <f>A397</f>
        <v>3.2.3.1 Identification des structures d'accueil</v>
      </c>
      <c r="B1905" s="202"/>
      <c r="C1905" s="389">
        <f>C397</f>
        <v>0</v>
      </c>
      <c r="D1905" s="168">
        <f t="shared" si="1309"/>
        <v>3.5</v>
      </c>
      <c r="E1905" s="168">
        <f t="shared" si="1310"/>
        <v>0</v>
      </c>
      <c r="F1905" s="168">
        <f t="shared" si="1311"/>
        <v>0</v>
      </c>
      <c r="G1905" s="168">
        <f t="shared" si="1312"/>
        <v>0</v>
      </c>
      <c r="H1905" s="168">
        <f t="shared" si="1313"/>
        <v>0</v>
      </c>
      <c r="I1905" s="166">
        <f t="shared" si="1314"/>
        <v>3.5</v>
      </c>
      <c r="J1905" s="371" t="str">
        <f t="shared" si="1315"/>
        <v>MAS-DEP/GFE</v>
      </c>
      <c r="K1905" s="342" t="str">
        <f t="shared" si="1316"/>
        <v>GVT</v>
      </c>
      <c r="L1905" s="167">
        <f t="shared" ref="L1905:Q1905" si="1454">L397</f>
        <v>3500</v>
      </c>
      <c r="M1905" s="168">
        <f t="shared" si="1454"/>
        <v>0</v>
      </c>
      <c r="N1905" s="168">
        <f t="shared" si="1454"/>
        <v>0</v>
      </c>
      <c r="O1905" s="168">
        <f t="shared" si="1454"/>
        <v>0</v>
      </c>
      <c r="P1905" s="168">
        <f t="shared" si="1454"/>
        <v>0</v>
      </c>
      <c r="Q1905" s="165">
        <f t="shared" si="1454"/>
        <v>3500</v>
      </c>
      <c r="R1905" s="519" t="str">
        <f t="shared" ref="R1905:S1905" si="1455">R397</f>
        <v>MAS-DEP/GFE</v>
      </c>
      <c r="S1905" s="224" t="str">
        <f t="shared" si="1455"/>
        <v>GVT</v>
      </c>
      <c r="T1905" s="153">
        <f>T397</f>
        <v>0</v>
      </c>
      <c r="W1905" s="608">
        <f t="shared" si="1319"/>
        <v>3500</v>
      </c>
      <c r="X1905" s="608">
        <f t="shared" si="1320"/>
        <v>0</v>
      </c>
      <c r="Z1905" s="572">
        <f t="shared" si="1381"/>
        <v>0</v>
      </c>
      <c r="AA1905" s="1">
        <f t="shared" si="1382"/>
        <v>0</v>
      </c>
    </row>
    <row r="1906" spans="1:27" x14ac:dyDescent="0.2">
      <c r="A1906" s="123" t="str">
        <f>A399</f>
        <v xml:space="preserve">3.2.3.2 Définition des outils et matériels pédagogiques </v>
      </c>
      <c r="B1906" s="202"/>
      <c r="C1906" s="389">
        <f>C399</f>
        <v>0</v>
      </c>
      <c r="D1906" s="168">
        <f t="shared" si="1309"/>
        <v>4.5</v>
      </c>
      <c r="E1906" s="168">
        <f t="shared" si="1310"/>
        <v>0</v>
      </c>
      <c r="F1906" s="168">
        <f t="shared" si="1311"/>
        <v>0</v>
      </c>
      <c r="G1906" s="168">
        <f t="shared" si="1312"/>
        <v>0</v>
      </c>
      <c r="H1906" s="168">
        <f t="shared" si="1313"/>
        <v>0</v>
      </c>
      <c r="I1906" s="166">
        <f t="shared" si="1314"/>
        <v>4.5</v>
      </c>
      <c r="J1906" s="371" t="str">
        <f t="shared" si="1315"/>
        <v>MAS-DGNEF</v>
      </c>
      <c r="K1906" s="342" t="str">
        <f t="shared" si="1316"/>
        <v>GVT</v>
      </c>
      <c r="L1906" s="167">
        <f t="shared" ref="L1906:Q1906" si="1456">L399</f>
        <v>4500</v>
      </c>
      <c r="M1906" s="168">
        <f t="shared" si="1456"/>
        <v>0</v>
      </c>
      <c r="N1906" s="168">
        <f t="shared" si="1456"/>
        <v>0</v>
      </c>
      <c r="O1906" s="168">
        <f t="shared" si="1456"/>
        <v>0</v>
      </c>
      <c r="P1906" s="168">
        <f t="shared" si="1456"/>
        <v>0</v>
      </c>
      <c r="Q1906" s="165">
        <f t="shared" si="1456"/>
        <v>4500</v>
      </c>
      <c r="R1906" s="519" t="str">
        <f t="shared" ref="R1906:S1906" si="1457">R399</f>
        <v>MAS-DGNEF</v>
      </c>
      <c r="S1906" s="224" t="str">
        <f t="shared" si="1457"/>
        <v>GVT</v>
      </c>
      <c r="T1906" s="153">
        <f>T399</f>
        <v>0</v>
      </c>
      <c r="W1906" s="608">
        <f t="shared" si="1319"/>
        <v>4500</v>
      </c>
      <c r="X1906" s="608">
        <f t="shared" si="1320"/>
        <v>0</v>
      </c>
      <c r="Z1906" s="572">
        <f t="shared" si="1381"/>
        <v>0</v>
      </c>
      <c r="AA1906" s="1">
        <f t="shared" si="1382"/>
        <v>0</v>
      </c>
    </row>
    <row r="1907" spans="1:27" x14ac:dyDescent="0.2">
      <c r="A1907" s="123" t="str">
        <f>A402</f>
        <v xml:space="preserve">3.2.3.3 Acquisition et distribution des outils et matériels pédagogiques </v>
      </c>
      <c r="B1907" s="202"/>
      <c r="C1907" s="389">
        <f>C402</f>
        <v>0</v>
      </c>
      <c r="D1907" s="168">
        <f t="shared" si="1309"/>
        <v>0</v>
      </c>
      <c r="E1907" s="168">
        <f t="shared" si="1310"/>
        <v>50</v>
      </c>
      <c r="F1907" s="168">
        <f t="shared" si="1311"/>
        <v>50</v>
      </c>
      <c r="G1907" s="168">
        <f t="shared" si="1312"/>
        <v>50</v>
      </c>
      <c r="H1907" s="168">
        <f t="shared" si="1313"/>
        <v>50</v>
      </c>
      <c r="I1907" s="166">
        <f t="shared" si="1314"/>
        <v>200</v>
      </c>
      <c r="J1907" s="371" t="str">
        <f t="shared" si="1315"/>
        <v>MAS-DGNEF-DEP</v>
      </c>
      <c r="K1907" s="342" t="str">
        <f t="shared" si="1316"/>
        <v>ND</v>
      </c>
      <c r="L1907" s="167">
        <f t="shared" ref="L1907:Q1907" si="1458">L402</f>
        <v>0</v>
      </c>
      <c r="M1907" s="168">
        <f t="shared" si="1458"/>
        <v>50000</v>
      </c>
      <c r="N1907" s="168">
        <f t="shared" si="1458"/>
        <v>50000</v>
      </c>
      <c r="O1907" s="168">
        <f t="shared" si="1458"/>
        <v>50000</v>
      </c>
      <c r="P1907" s="168">
        <f t="shared" si="1458"/>
        <v>50000</v>
      </c>
      <c r="Q1907" s="165">
        <f t="shared" si="1458"/>
        <v>200000</v>
      </c>
      <c r="R1907" s="519" t="str">
        <f t="shared" ref="R1907:S1907" si="1459">R402</f>
        <v>MAS-DGNEF-DEP</v>
      </c>
      <c r="S1907" s="224" t="str">
        <f t="shared" si="1459"/>
        <v>ND</v>
      </c>
      <c r="T1907" s="153">
        <f>T402</f>
        <v>0</v>
      </c>
      <c r="W1907" s="608">
        <f t="shared" si="1319"/>
        <v>200000</v>
      </c>
      <c r="X1907" s="608">
        <f t="shared" si="1320"/>
        <v>0</v>
      </c>
      <c r="Z1907" s="572">
        <f t="shared" si="1381"/>
        <v>0</v>
      </c>
      <c r="AA1907" s="1">
        <f t="shared" si="1382"/>
        <v>0</v>
      </c>
    </row>
    <row r="1908" spans="1:27" x14ac:dyDescent="0.2">
      <c r="A1908" s="122" t="str">
        <f>A404</f>
        <v>3.2.4 Former les bénéficiaires à des Activités Génératrices de Revenus</v>
      </c>
      <c r="B1908" s="152"/>
      <c r="C1908" s="390" t="str">
        <f>C404</f>
        <v>Chaque année, 10% des animateurs reçoivent une formation d'une semaine</v>
      </c>
      <c r="D1908" s="157">
        <f t="shared" si="1309"/>
        <v>0</v>
      </c>
      <c r="E1908" s="157">
        <f t="shared" si="1310"/>
        <v>77</v>
      </c>
      <c r="F1908" s="157">
        <f t="shared" si="1311"/>
        <v>77</v>
      </c>
      <c r="G1908" s="157">
        <f t="shared" si="1312"/>
        <v>77</v>
      </c>
      <c r="H1908" s="157">
        <f t="shared" si="1313"/>
        <v>77</v>
      </c>
      <c r="I1908" s="160">
        <f t="shared" si="1314"/>
        <v>308</v>
      </c>
      <c r="J1908" s="374">
        <f t="shared" si="1315"/>
        <v>0</v>
      </c>
      <c r="K1908" s="341">
        <f t="shared" si="1316"/>
        <v>0</v>
      </c>
      <c r="L1908" s="35">
        <f t="shared" ref="L1908:S1908" si="1460">SUM(L1909:L1909)</f>
        <v>0</v>
      </c>
      <c r="M1908" s="34">
        <f t="shared" si="1460"/>
        <v>77000</v>
      </c>
      <c r="N1908" s="34">
        <f t="shared" si="1460"/>
        <v>77000</v>
      </c>
      <c r="O1908" s="34">
        <f t="shared" si="1460"/>
        <v>77000</v>
      </c>
      <c r="P1908" s="34">
        <f t="shared" si="1460"/>
        <v>77000</v>
      </c>
      <c r="Q1908" s="26">
        <f t="shared" si="1460"/>
        <v>308000</v>
      </c>
      <c r="R1908" s="520">
        <f t="shared" si="1460"/>
        <v>0</v>
      </c>
      <c r="S1908" s="201">
        <f t="shared" si="1460"/>
        <v>0</v>
      </c>
      <c r="T1908" s="154">
        <f>T404</f>
        <v>0</v>
      </c>
      <c r="W1908" s="608">
        <f t="shared" si="1319"/>
        <v>308000</v>
      </c>
      <c r="X1908" s="608">
        <f t="shared" si="1320"/>
        <v>0</v>
      </c>
      <c r="Z1908" s="572">
        <f t="shared" si="1381"/>
        <v>0</v>
      </c>
      <c r="AA1908" s="1">
        <f t="shared" si="1382"/>
        <v>0</v>
      </c>
    </row>
    <row r="1909" spans="1:27" x14ac:dyDescent="0.2">
      <c r="A1909" s="123" t="str">
        <f>A405</f>
        <v>3.2.4.1 Formation des animateurs</v>
      </c>
      <c r="B1909" s="202"/>
      <c r="C1909" s="389">
        <f>C405</f>
        <v>0</v>
      </c>
      <c r="D1909" s="168">
        <f t="shared" si="1309"/>
        <v>0</v>
      </c>
      <c r="E1909" s="168">
        <f t="shared" si="1310"/>
        <v>77</v>
      </c>
      <c r="F1909" s="168">
        <f t="shared" si="1311"/>
        <v>77</v>
      </c>
      <c r="G1909" s="168">
        <f t="shared" si="1312"/>
        <v>77</v>
      </c>
      <c r="H1909" s="168">
        <f t="shared" si="1313"/>
        <v>77</v>
      </c>
      <c r="I1909" s="166">
        <f t="shared" si="1314"/>
        <v>308</v>
      </c>
      <c r="J1909" s="371" t="str">
        <f t="shared" si="1315"/>
        <v>MAS</v>
      </c>
      <c r="K1909" s="342" t="str">
        <f t="shared" si="1316"/>
        <v>ND</v>
      </c>
      <c r="L1909" s="167">
        <f t="shared" ref="L1909:Q1909" si="1461">L405</f>
        <v>0</v>
      </c>
      <c r="M1909" s="168">
        <f t="shared" si="1461"/>
        <v>77000</v>
      </c>
      <c r="N1909" s="168">
        <f t="shared" si="1461"/>
        <v>77000</v>
      </c>
      <c r="O1909" s="168">
        <f t="shared" si="1461"/>
        <v>77000</v>
      </c>
      <c r="P1909" s="168">
        <f t="shared" si="1461"/>
        <v>77000</v>
      </c>
      <c r="Q1909" s="165">
        <f t="shared" si="1461"/>
        <v>308000</v>
      </c>
      <c r="R1909" s="519" t="str">
        <f t="shared" ref="R1909:S1909" si="1462">R405</f>
        <v>MAS</v>
      </c>
      <c r="S1909" s="224" t="str">
        <f t="shared" si="1462"/>
        <v>ND</v>
      </c>
      <c r="T1909" s="153">
        <f>T405</f>
        <v>0</v>
      </c>
      <c r="W1909" s="608">
        <f t="shared" si="1319"/>
        <v>308000</v>
      </c>
      <c r="X1909" s="608">
        <f t="shared" si="1320"/>
        <v>0</v>
      </c>
      <c r="Z1909" s="572">
        <f t="shared" si="1381"/>
        <v>0</v>
      </c>
      <c r="AA1909" s="1">
        <f t="shared" si="1382"/>
        <v>0</v>
      </c>
    </row>
    <row r="1910" spans="1:27" x14ac:dyDescent="0.2">
      <c r="A1910" s="14" t="str">
        <f>A407</f>
        <v>3.3. Programmes de l'AENF : Harmoniser les programmes et les adapter aux besoins des bénéficiaires</v>
      </c>
      <c r="B1910" s="44"/>
      <c r="C1910" s="385">
        <f>C407</f>
        <v>0</v>
      </c>
      <c r="D1910" s="217">
        <f t="shared" si="1309"/>
        <v>16</v>
      </c>
      <c r="E1910" s="217">
        <f t="shared" si="1310"/>
        <v>12.5</v>
      </c>
      <c r="F1910" s="217">
        <f t="shared" si="1311"/>
        <v>21</v>
      </c>
      <c r="G1910" s="217">
        <f t="shared" si="1312"/>
        <v>96</v>
      </c>
      <c r="H1910" s="217">
        <f t="shared" si="1313"/>
        <v>96</v>
      </c>
      <c r="I1910" s="220">
        <f t="shared" si="1314"/>
        <v>241.5</v>
      </c>
      <c r="J1910" s="373">
        <f t="shared" si="1315"/>
        <v>0</v>
      </c>
      <c r="K1910" s="346">
        <f t="shared" si="1316"/>
        <v>0</v>
      </c>
      <c r="L1910" s="33">
        <f t="shared" ref="L1910:Q1910" si="1463">L1911+L1913</f>
        <v>16000</v>
      </c>
      <c r="M1910" s="32">
        <f t="shared" si="1463"/>
        <v>12500</v>
      </c>
      <c r="N1910" s="32">
        <f t="shared" si="1463"/>
        <v>21000</v>
      </c>
      <c r="O1910" s="32">
        <f t="shared" si="1463"/>
        <v>96000</v>
      </c>
      <c r="P1910" s="32">
        <f t="shared" si="1463"/>
        <v>96000</v>
      </c>
      <c r="Q1910" s="25">
        <f t="shared" si="1463"/>
        <v>241500</v>
      </c>
      <c r="R1910" s="16">
        <f t="shared" ref="R1910:S1910" si="1464">R1911+R1913</f>
        <v>0</v>
      </c>
      <c r="S1910" s="15">
        <f t="shared" si="1464"/>
        <v>0</v>
      </c>
      <c r="T1910" s="112">
        <f>T407</f>
        <v>2</v>
      </c>
      <c r="W1910" s="608">
        <f t="shared" si="1319"/>
        <v>241500</v>
      </c>
      <c r="X1910" s="608">
        <f t="shared" si="1320"/>
        <v>0</v>
      </c>
      <c r="Z1910" s="572">
        <f t="shared" si="1381"/>
        <v>0</v>
      </c>
      <c r="AA1910" s="1">
        <f t="shared" si="1382"/>
        <v>0</v>
      </c>
    </row>
    <row r="1911" spans="1:27" x14ac:dyDescent="0.2">
      <c r="A1911" s="17" t="str">
        <f>A408</f>
        <v>3.3.1 Ateliers nationaux de révision et de validation des programmes, normes et standards de qualité</v>
      </c>
      <c r="B1911" s="45"/>
      <c r="C1911" s="386" t="str">
        <f>C408</f>
        <v>Les programmes sont révisés en 2018</v>
      </c>
      <c r="D1911" s="157">
        <f t="shared" si="1309"/>
        <v>16</v>
      </c>
      <c r="E1911" s="157">
        <f t="shared" si="1310"/>
        <v>12.5</v>
      </c>
      <c r="F1911" s="157">
        <f t="shared" si="1311"/>
        <v>0</v>
      </c>
      <c r="G1911" s="157">
        <f t="shared" si="1312"/>
        <v>0</v>
      </c>
      <c r="H1911" s="157">
        <f t="shared" si="1313"/>
        <v>0</v>
      </c>
      <c r="I1911" s="160">
        <f t="shared" si="1314"/>
        <v>28.5</v>
      </c>
      <c r="J1911" s="374">
        <f t="shared" si="1315"/>
        <v>0</v>
      </c>
      <c r="K1911" s="348">
        <f t="shared" si="1316"/>
        <v>0</v>
      </c>
      <c r="L1911" s="35">
        <f t="shared" ref="L1911:S1911" si="1465">SUM(L1912:L1912)</f>
        <v>16000</v>
      </c>
      <c r="M1911" s="34">
        <f t="shared" si="1465"/>
        <v>12500</v>
      </c>
      <c r="N1911" s="34">
        <f t="shared" si="1465"/>
        <v>0</v>
      </c>
      <c r="O1911" s="34">
        <f t="shared" si="1465"/>
        <v>0</v>
      </c>
      <c r="P1911" s="34">
        <f t="shared" si="1465"/>
        <v>0</v>
      </c>
      <c r="Q1911" s="26">
        <f t="shared" si="1465"/>
        <v>28500</v>
      </c>
      <c r="R1911" s="19">
        <f t="shared" si="1465"/>
        <v>0</v>
      </c>
      <c r="S1911" s="18">
        <f t="shared" si="1465"/>
        <v>0</v>
      </c>
      <c r="T1911" s="51">
        <f>T408</f>
        <v>0</v>
      </c>
      <c r="W1911" s="608">
        <f t="shared" si="1319"/>
        <v>28500</v>
      </c>
      <c r="X1911" s="608">
        <f t="shared" si="1320"/>
        <v>0</v>
      </c>
      <c r="Z1911" s="572">
        <f t="shared" si="1381"/>
        <v>0</v>
      </c>
      <c r="AA1911" s="1">
        <f t="shared" si="1382"/>
        <v>0</v>
      </c>
    </row>
    <row r="1912" spans="1:27" x14ac:dyDescent="0.2">
      <c r="A1912" s="20" t="str">
        <f>A409</f>
        <v>3.3.1.1 Révision des programmes</v>
      </c>
      <c r="B1912" s="46"/>
      <c r="C1912" s="386">
        <f>C409</f>
        <v>0</v>
      </c>
      <c r="D1912" s="168">
        <f t="shared" si="1309"/>
        <v>16</v>
      </c>
      <c r="E1912" s="168">
        <f t="shared" si="1310"/>
        <v>12.5</v>
      </c>
      <c r="F1912" s="168">
        <f t="shared" si="1311"/>
        <v>0</v>
      </c>
      <c r="G1912" s="168">
        <f t="shared" si="1312"/>
        <v>0</v>
      </c>
      <c r="H1912" s="168">
        <f t="shared" si="1313"/>
        <v>0</v>
      </c>
      <c r="I1912" s="166">
        <f t="shared" si="1314"/>
        <v>28.5</v>
      </c>
      <c r="J1912" s="371" t="str">
        <f t="shared" si="1315"/>
        <v>MAS-DGNEF/EPS-DIPROMAD</v>
      </c>
      <c r="K1912" s="350" t="str">
        <f t="shared" si="1316"/>
        <v>ND</v>
      </c>
      <c r="L1912" s="167">
        <f t="shared" ref="L1912:Q1912" si="1466">L409</f>
        <v>16000</v>
      </c>
      <c r="M1912" s="168">
        <f t="shared" si="1466"/>
        <v>12500</v>
      </c>
      <c r="N1912" s="168">
        <f t="shared" si="1466"/>
        <v>0</v>
      </c>
      <c r="O1912" s="168">
        <f t="shared" si="1466"/>
        <v>0</v>
      </c>
      <c r="P1912" s="168">
        <f t="shared" si="1466"/>
        <v>0</v>
      </c>
      <c r="Q1912" s="165">
        <f t="shared" si="1466"/>
        <v>28500</v>
      </c>
      <c r="R1912" s="198" t="str">
        <f t="shared" ref="R1912:S1912" si="1467">R409</f>
        <v>MAS-DGNEF/EPS-DIPROMAD</v>
      </c>
      <c r="S1912" s="115" t="str">
        <f t="shared" si="1467"/>
        <v>ND</v>
      </c>
      <c r="T1912" s="51">
        <f>T409</f>
        <v>0</v>
      </c>
      <c r="W1912" s="608">
        <f t="shared" si="1319"/>
        <v>28500</v>
      </c>
      <c r="X1912" s="608">
        <f t="shared" si="1320"/>
        <v>0</v>
      </c>
      <c r="Z1912" s="572">
        <f t="shared" si="1381"/>
        <v>0</v>
      </c>
      <c r="AA1912" s="1">
        <f t="shared" si="1382"/>
        <v>0</v>
      </c>
    </row>
    <row r="1913" spans="1:27" x14ac:dyDescent="0.2">
      <c r="A1913" s="17" t="str">
        <f>A412</f>
        <v xml:space="preserve">3.3.2 Formation de animateurs (MAS.AH.SN, société civile) à l'utilisation et la gestion des programmes </v>
      </c>
      <c r="B1913" s="45"/>
      <c r="C1913" s="386" t="str">
        <f>C412</f>
        <v>10 000 animateurs formés en 2019 et 2020</v>
      </c>
      <c r="D1913" s="157">
        <f t="shared" ref="D1913:D1976" si="1468">L1913/1000</f>
        <v>0</v>
      </c>
      <c r="E1913" s="157">
        <f t="shared" ref="E1913:E1976" si="1469">M1913/1000</f>
        <v>0</v>
      </c>
      <c r="F1913" s="157">
        <f t="shared" ref="F1913:F1976" si="1470">N1913/1000</f>
        <v>21</v>
      </c>
      <c r="G1913" s="157">
        <f t="shared" ref="G1913:G1976" si="1471">O1913/1000</f>
        <v>96</v>
      </c>
      <c r="H1913" s="157">
        <f t="shared" ref="H1913:H1976" si="1472">P1913/1000</f>
        <v>96</v>
      </c>
      <c r="I1913" s="160">
        <f t="shared" ref="I1913:I1976" si="1473">Q1913/1000</f>
        <v>213</v>
      </c>
      <c r="J1913" s="374">
        <f t="shared" ref="J1913:J1976" si="1474">R1913</f>
        <v>0</v>
      </c>
      <c r="K1913" s="348">
        <f t="shared" ref="K1913:K1976" si="1475">S1913</f>
        <v>0</v>
      </c>
      <c r="L1913" s="35">
        <f t="shared" ref="L1913:S1913" si="1476">SUM(L1914:L1914)</f>
        <v>0</v>
      </c>
      <c r="M1913" s="34">
        <f t="shared" si="1476"/>
        <v>0</v>
      </c>
      <c r="N1913" s="34">
        <f t="shared" si="1476"/>
        <v>21000</v>
      </c>
      <c r="O1913" s="34">
        <f t="shared" si="1476"/>
        <v>96000</v>
      </c>
      <c r="P1913" s="34">
        <f t="shared" si="1476"/>
        <v>96000</v>
      </c>
      <c r="Q1913" s="26">
        <f t="shared" si="1476"/>
        <v>213000</v>
      </c>
      <c r="R1913" s="19">
        <f t="shared" si="1476"/>
        <v>0</v>
      </c>
      <c r="S1913" s="18">
        <f t="shared" si="1476"/>
        <v>0</v>
      </c>
      <c r="T1913" s="51">
        <f>T412</f>
        <v>0</v>
      </c>
      <c r="W1913" s="608">
        <f t="shared" ref="W1913:W1976" si="1477">SUM(L1913:P1913)</f>
        <v>213000</v>
      </c>
      <c r="X1913" s="608">
        <f t="shared" ref="X1913:X1976" si="1478">W1913-Q1913</f>
        <v>0</v>
      </c>
      <c r="Y1913" s="572" t="s">
        <v>1512</v>
      </c>
      <c r="Z1913" s="572">
        <f t="shared" si="1381"/>
        <v>213</v>
      </c>
      <c r="AA1913" s="1">
        <f t="shared" si="1382"/>
        <v>0</v>
      </c>
    </row>
    <row r="1914" spans="1:27" x14ac:dyDescent="0.2">
      <c r="A1914" s="20" t="str">
        <f>A413</f>
        <v>3.3.2.1 Formation du personnel, de la société civile à l'utilisation des programmes</v>
      </c>
      <c r="B1914" s="46"/>
      <c r="C1914" s="386">
        <f>C413</f>
        <v>0</v>
      </c>
      <c r="D1914" s="168">
        <f t="shared" si="1468"/>
        <v>0</v>
      </c>
      <c r="E1914" s="168">
        <f t="shared" si="1469"/>
        <v>0</v>
      </c>
      <c r="F1914" s="168">
        <f t="shared" si="1470"/>
        <v>21</v>
      </c>
      <c r="G1914" s="168">
        <f t="shared" si="1471"/>
        <v>96</v>
      </c>
      <c r="H1914" s="168">
        <f t="shared" si="1472"/>
        <v>96</v>
      </c>
      <c r="I1914" s="166">
        <f t="shared" si="1473"/>
        <v>213</v>
      </c>
      <c r="J1914" s="371" t="str">
        <f t="shared" si="1474"/>
        <v>MAS-DGNEF/SENAPEP</v>
      </c>
      <c r="K1914" s="350" t="str">
        <f t="shared" si="1475"/>
        <v>ND</v>
      </c>
      <c r="L1914" s="167">
        <f t="shared" ref="L1914:Q1914" si="1479">L413</f>
        <v>0</v>
      </c>
      <c r="M1914" s="168">
        <f t="shared" si="1479"/>
        <v>0</v>
      </c>
      <c r="N1914" s="168">
        <f t="shared" si="1479"/>
        <v>21000</v>
      </c>
      <c r="O1914" s="168">
        <f t="shared" si="1479"/>
        <v>96000</v>
      </c>
      <c r="P1914" s="168">
        <f t="shared" si="1479"/>
        <v>96000</v>
      </c>
      <c r="Q1914" s="165">
        <f t="shared" si="1479"/>
        <v>213000</v>
      </c>
      <c r="R1914" s="198" t="str">
        <f t="shared" ref="R1914:S1914" si="1480">R413</f>
        <v>MAS-DGNEF/SENAPEP</v>
      </c>
      <c r="S1914" s="115" t="str">
        <f t="shared" si="1480"/>
        <v>ND</v>
      </c>
      <c r="T1914" s="51">
        <f>T413</f>
        <v>0</v>
      </c>
      <c r="W1914" s="608">
        <f t="shared" si="1477"/>
        <v>213000</v>
      </c>
      <c r="X1914" s="608">
        <f t="shared" si="1478"/>
        <v>0</v>
      </c>
      <c r="Y1914" s="572" t="s">
        <v>1512</v>
      </c>
      <c r="Z1914" s="572">
        <f t="shared" si="1381"/>
        <v>213</v>
      </c>
      <c r="AA1914" s="1">
        <f t="shared" si="1382"/>
        <v>0</v>
      </c>
    </row>
    <row r="1915" spans="1:27" x14ac:dyDescent="0.2">
      <c r="A1915" s="14" t="str">
        <f>A417</f>
        <v>3.4 Supports et matériels andragogiques : équiper les centres en supports andragogiques rénovés</v>
      </c>
      <c r="B1915" s="44"/>
      <c r="C1915" s="385">
        <f>C417</f>
        <v>0</v>
      </c>
      <c r="D1915" s="217">
        <f t="shared" si="1468"/>
        <v>60.5</v>
      </c>
      <c r="E1915" s="217">
        <f t="shared" si="1469"/>
        <v>258.5</v>
      </c>
      <c r="F1915" s="217">
        <f t="shared" si="1470"/>
        <v>2692.3339999999998</v>
      </c>
      <c r="G1915" s="217">
        <f t="shared" si="1471"/>
        <v>3193.4769999999999</v>
      </c>
      <c r="H1915" s="217">
        <f t="shared" si="1472"/>
        <v>2902.3339999999998</v>
      </c>
      <c r="I1915" s="220">
        <f t="shared" si="1473"/>
        <v>9107.1450000000004</v>
      </c>
      <c r="J1915" s="373">
        <f t="shared" si="1474"/>
        <v>0</v>
      </c>
      <c r="K1915" s="346">
        <f t="shared" si="1475"/>
        <v>0</v>
      </c>
      <c r="L1915" s="33">
        <f t="shared" ref="L1915:Q1915" si="1481">L1916+L1923+L1926+L1929</f>
        <v>60500</v>
      </c>
      <c r="M1915" s="32">
        <f t="shared" si="1481"/>
        <v>258500</v>
      </c>
      <c r="N1915" s="32">
        <f t="shared" si="1481"/>
        <v>2692334</v>
      </c>
      <c r="O1915" s="32">
        <f t="shared" si="1481"/>
        <v>3193477</v>
      </c>
      <c r="P1915" s="32">
        <f t="shared" si="1481"/>
        <v>2902334</v>
      </c>
      <c r="Q1915" s="25">
        <f t="shared" si="1481"/>
        <v>9107145</v>
      </c>
      <c r="R1915" s="16">
        <f t="shared" ref="R1915:S1915" si="1482">R1916+R1923+R1926+R1929</f>
        <v>0</v>
      </c>
      <c r="S1915" s="15">
        <f t="shared" si="1482"/>
        <v>0</v>
      </c>
      <c r="T1915" s="112">
        <f>T417</f>
        <v>2</v>
      </c>
      <c r="W1915" s="608">
        <f t="shared" si="1477"/>
        <v>9107145</v>
      </c>
      <c r="X1915" s="608">
        <f t="shared" si="1478"/>
        <v>0</v>
      </c>
      <c r="Z1915" s="572">
        <f t="shared" si="1381"/>
        <v>0</v>
      </c>
      <c r="AA1915" s="1">
        <f t="shared" si="1382"/>
        <v>0</v>
      </c>
    </row>
    <row r="1916" spans="1:27" x14ac:dyDescent="0.2">
      <c r="A1916" s="17" t="str">
        <f>A418</f>
        <v>3.4.1 Ateliers d'élaboration et de production</v>
      </c>
      <c r="B1916" s="45"/>
      <c r="C1916" s="386" t="str">
        <f>C418</f>
        <v xml:space="preserve">Ateliers organisés en 2017, après la révision des programmes </v>
      </c>
      <c r="D1916" s="157">
        <f t="shared" si="1468"/>
        <v>33.5</v>
      </c>
      <c r="E1916" s="157">
        <f t="shared" si="1469"/>
        <v>17.5</v>
      </c>
      <c r="F1916" s="157">
        <f t="shared" si="1470"/>
        <v>0</v>
      </c>
      <c r="G1916" s="157">
        <f t="shared" si="1471"/>
        <v>0</v>
      </c>
      <c r="H1916" s="157">
        <f t="shared" si="1472"/>
        <v>0</v>
      </c>
      <c r="I1916" s="160">
        <f t="shared" si="1473"/>
        <v>51</v>
      </c>
      <c r="J1916" s="374">
        <f t="shared" si="1474"/>
        <v>0</v>
      </c>
      <c r="K1916" s="348">
        <f t="shared" si="1475"/>
        <v>0</v>
      </c>
      <c r="L1916" s="35">
        <f t="shared" ref="L1916:Q1916" si="1483">SUM(L1917:L1922)</f>
        <v>33500</v>
      </c>
      <c r="M1916" s="34">
        <f t="shared" si="1483"/>
        <v>17500</v>
      </c>
      <c r="N1916" s="34">
        <f t="shared" si="1483"/>
        <v>0</v>
      </c>
      <c r="O1916" s="34">
        <f t="shared" si="1483"/>
        <v>0</v>
      </c>
      <c r="P1916" s="34">
        <f t="shared" si="1483"/>
        <v>0</v>
      </c>
      <c r="Q1916" s="26">
        <f t="shared" si="1483"/>
        <v>51000</v>
      </c>
      <c r="R1916" s="19">
        <f t="shared" ref="R1916:S1916" si="1484">SUM(R1917:R1922)</f>
        <v>0</v>
      </c>
      <c r="S1916" s="18">
        <f t="shared" si="1484"/>
        <v>0</v>
      </c>
      <c r="T1916" s="51">
        <f>T418</f>
        <v>0</v>
      </c>
      <c r="W1916" s="608">
        <f t="shared" si="1477"/>
        <v>51000</v>
      </c>
      <c r="X1916" s="608">
        <f t="shared" si="1478"/>
        <v>0</v>
      </c>
      <c r="Z1916" s="572">
        <f t="shared" si="1381"/>
        <v>0</v>
      </c>
      <c r="AA1916" s="1">
        <f t="shared" si="1382"/>
        <v>0</v>
      </c>
    </row>
    <row r="1917" spans="1:27" x14ac:dyDescent="0.2">
      <c r="A1917" s="20" t="str">
        <f>A419</f>
        <v xml:space="preserve">3.4.1.1 Ateliers techniques de révision du programme de rattrapage scolaire </v>
      </c>
      <c r="B1917" s="46"/>
      <c r="C1917" s="386">
        <f>C419</f>
        <v>0</v>
      </c>
      <c r="D1917" s="168">
        <f t="shared" si="1468"/>
        <v>9.5</v>
      </c>
      <c r="E1917" s="168">
        <f t="shared" si="1469"/>
        <v>0</v>
      </c>
      <c r="F1917" s="168">
        <f t="shared" si="1470"/>
        <v>0</v>
      </c>
      <c r="G1917" s="168">
        <f t="shared" si="1471"/>
        <v>0</v>
      </c>
      <c r="H1917" s="168">
        <f t="shared" si="1472"/>
        <v>0</v>
      </c>
      <c r="I1917" s="166">
        <f t="shared" si="1473"/>
        <v>9.5</v>
      </c>
      <c r="J1917" s="371" t="str">
        <f t="shared" si="1474"/>
        <v>MAS-DGENF-DIC</v>
      </c>
      <c r="K1917" s="350" t="str">
        <f t="shared" si="1475"/>
        <v>ND</v>
      </c>
      <c r="L1917" s="167">
        <f t="shared" ref="L1917:Q1917" si="1485">L419</f>
        <v>9500</v>
      </c>
      <c r="M1917" s="168">
        <f t="shared" si="1485"/>
        <v>0</v>
      </c>
      <c r="N1917" s="168">
        <f t="shared" si="1485"/>
        <v>0</v>
      </c>
      <c r="O1917" s="168">
        <f t="shared" si="1485"/>
        <v>0</v>
      </c>
      <c r="P1917" s="168">
        <f t="shared" si="1485"/>
        <v>0</v>
      </c>
      <c r="Q1917" s="165">
        <f t="shared" si="1485"/>
        <v>9500</v>
      </c>
      <c r="R1917" s="198" t="str">
        <f t="shared" ref="R1917:S1917" si="1486">R419</f>
        <v>MAS-DGENF-DIC</v>
      </c>
      <c r="S1917" s="115" t="str">
        <f t="shared" si="1486"/>
        <v>ND</v>
      </c>
      <c r="T1917" s="51">
        <f>T419</f>
        <v>0</v>
      </c>
      <c r="W1917" s="608">
        <f t="shared" si="1477"/>
        <v>9500</v>
      </c>
      <c r="X1917" s="608">
        <f t="shared" si="1478"/>
        <v>0</v>
      </c>
      <c r="Z1917" s="572">
        <f t="shared" si="1381"/>
        <v>0</v>
      </c>
      <c r="AA1917" s="1">
        <f t="shared" si="1382"/>
        <v>0</v>
      </c>
    </row>
    <row r="1918" spans="1:27" x14ac:dyDescent="0.2">
      <c r="A1918" s="20" t="str">
        <f>A423</f>
        <v>3.4.1.2 Harmoniser les programmes d'alphabétisation existants</v>
      </c>
      <c r="B1918" s="46"/>
      <c r="C1918" s="386">
        <f>C423</f>
        <v>0</v>
      </c>
      <c r="D1918" s="168">
        <f t="shared" si="1468"/>
        <v>11</v>
      </c>
      <c r="E1918" s="168">
        <f t="shared" si="1469"/>
        <v>0</v>
      </c>
      <c r="F1918" s="168">
        <f t="shared" si="1470"/>
        <v>0</v>
      </c>
      <c r="G1918" s="168">
        <f t="shared" si="1471"/>
        <v>0</v>
      </c>
      <c r="H1918" s="168">
        <f t="shared" si="1472"/>
        <v>0</v>
      </c>
      <c r="I1918" s="166">
        <f t="shared" si="1473"/>
        <v>11</v>
      </c>
      <c r="J1918" s="371" t="str">
        <f t="shared" si="1474"/>
        <v>MAS-DGNEF-DIC</v>
      </c>
      <c r="K1918" s="350" t="str">
        <f t="shared" si="1475"/>
        <v>ND</v>
      </c>
      <c r="L1918" s="167">
        <f t="shared" ref="L1918:Q1918" si="1487">L423</f>
        <v>11000</v>
      </c>
      <c r="M1918" s="168">
        <f t="shared" si="1487"/>
        <v>0</v>
      </c>
      <c r="N1918" s="168">
        <f t="shared" si="1487"/>
        <v>0</v>
      </c>
      <c r="O1918" s="168">
        <f t="shared" si="1487"/>
        <v>0</v>
      </c>
      <c r="P1918" s="168">
        <f t="shared" si="1487"/>
        <v>0</v>
      </c>
      <c r="Q1918" s="165">
        <f t="shared" si="1487"/>
        <v>11000</v>
      </c>
      <c r="R1918" s="198" t="str">
        <f t="shared" ref="R1918:S1918" si="1488">R423</f>
        <v>MAS-DGNEF-DIC</v>
      </c>
      <c r="S1918" s="115" t="str">
        <f t="shared" si="1488"/>
        <v>ND</v>
      </c>
      <c r="T1918" s="51">
        <f>T423</f>
        <v>0</v>
      </c>
      <c r="W1918" s="608">
        <f t="shared" si="1477"/>
        <v>11000</v>
      </c>
      <c r="X1918" s="608">
        <f t="shared" si="1478"/>
        <v>0</v>
      </c>
      <c r="Z1918" s="572">
        <f t="shared" si="1381"/>
        <v>0</v>
      </c>
      <c r="AA1918" s="1">
        <f t="shared" si="1382"/>
        <v>0</v>
      </c>
    </row>
    <row r="1919" spans="1:27" x14ac:dyDescent="0.2">
      <c r="A1919" s="20" t="str">
        <f>A427</f>
        <v>3.4.1.3 Harmoniser les programmes d'apprentissage professionnel</v>
      </c>
      <c r="B1919" s="46"/>
      <c r="C1919" s="386">
        <f>C427</f>
        <v>0</v>
      </c>
      <c r="D1919" s="168">
        <f t="shared" si="1468"/>
        <v>0</v>
      </c>
      <c r="E1919" s="168">
        <f t="shared" si="1469"/>
        <v>11</v>
      </c>
      <c r="F1919" s="168">
        <f t="shared" si="1470"/>
        <v>0</v>
      </c>
      <c r="G1919" s="168">
        <f t="shared" si="1471"/>
        <v>0</v>
      </c>
      <c r="H1919" s="168">
        <f t="shared" si="1472"/>
        <v>0</v>
      </c>
      <c r="I1919" s="166">
        <f t="shared" si="1473"/>
        <v>11</v>
      </c>
      <c r="J1919" s="371" t="str">
        <f t="shared" si="1474"/>
        <v>MAS-DGNEF-DIC/ETP</v>
      </c>
      <c r="K1919" s="350" t="str">
        <f t="shared" si="1475"/>
        <v>ND</v>
      </c>
      <c r="L1919" s="167">
        <f t="shared" ref="L1919:Q1919" si="1489">L427</f>
        <v>0</v>
      </c>
      <c r="M1919" s="168">
        <f t="shared" si="1489"/>
        <v>11000</v>
      </c>
      <c r="N1919" s="168">
        <f t="shared" si="1489"/>
        <v>0</v>
      </c>
      <c r="O1919" s="168">
        <f t="shared" si="1489"/>
        <v>0</v>
      </c>
      <c r="P1919" s="168">
        <f t="shared" si="1489"/>
        <v>0</v>
      </c>
      <c r="Q1919" s="165">
        <f t="shared" si="1489"/>
        <v>11000</v>
      </c>
      <c r="R1919" s="198" t="str">
        <f t="shared" ref="R1919:S1919" si="1490">R427</f>
        <v>MAS-DGNEF-DIC/ETP</v>
      </c>
      <c r="S1919" s="115" t="str">
        <f t="shared" si="1490"/>
        <v>ND</v>
      </c>
      <c r="T1919" s="51">
        <f>T427</f>
        <v>0</v>
      </c>
      <c r="W1919" s="608">
        <f t="shared" si="1477"/>
        <v>11000</v>
      </c>
      <c r="X1919" s="608">
        <f t="shared" si="1478"/>
        <v>0</v>
      </c>
      <c r="Z1919" s="572">
        <f t="shared" si="1381"/>
        <v>0</v>
      </c>
      <c r="AA1919" s="1">
        <f t="shared" si="1382"/>
        <v>0</v>
      </c>
    </row>
    <row r="1920" spans="1:27" x14ac:dyDescent="0.2">
      <c r="A1920" s="20" t="str">
        <f>A431</f>
        <v xml:space="preserve">3.4.1.4 Actualisation des guides des trois niveaux de rattrapage scolaire </v>
      </c>
      <c r="B1920" s="46"/>
      <c r="C1920" s="386">
        <f>C431</f>
        <v>0</v>
      </c>
      <c r="D1920" s="168">
        <f t="shared" si="1468"/>
        <v>6.5</v>
      </c>
      <c r="E1920" s="168">
        <f t="shared" si="1469"/>
        <v>0</v>
      </c>
      <c r="F1920" s="168">
        <f t="shared" si="1470"/>
        <v>0</v>
      </c>
      <c r="G1920" s="168">
        <f t="shared" si="1471"/>
        <v>0</v>
      </c>
      <c r="H1920" s="168">
        <f t="shared" si="1472"/>
        <v>0</v>
      </c>
      <c r="I1920" s="166">
        <f t="shared" si="1473"/>
        <v>6.5</v>
      </c>
      <c r="J1920" s="371" t="str">
        <f t="shared" si="1474"/>
        <v>MAS-DGNEF-DIC/EPS-DIPROMAD</v>
      </c>
      <c r="K1920" s="350" t="str">
        <f t="shared" si="1475"/>
        <v>ND</v>
      </c>
      <c r="L1920" s="167">
        <f t="shared" ref="L1920:Q1920" si="1491">L431</f>
        <v>6500</v>
      </c>
      <c r="M1920" s="168">
        <f t="shared" si="1491"/>
        <v>0</v>
      </c>
      <c r="N1920" s="168">
        <f t="shared" si="1491"/>
        <v>0</v>
      </c>
      <c r="O1920" s="168">
        <f t="shared" si="1491"/>
        <v>0</v>
      </c>
      <c r="P1920" s="168">
        <f t="shared" si="1491"/>
        <v>0</v>
      </c>
      <c r="Q1920" s="165">
        <f t="shared" si="1491"/>
        <v>6500</v>
      </c>
      <c r="R1920" s="198" t="str">
        <f t="shared" ref="R1920:S1920" si="1492">R431</f>
        <v>MAS-DGNEF-DIC/EPS-DIPROMAD</v>
      </c>
      <c r="S1920" s="115" t="str">
        <f t="shared" si="1492"/>
        <v>ND</v>
      </c>
      <c r="T1920" s="51">
        <f>T431</f>
        <v>0</v>
      </c>
      <c r="W1920" s="608">
        <f t="shared" si="1477"/>
        <v>6500</v>
      </c>
      <c r="X1920" s="608">
        <f t="shared" si="1478"/>
        <v>0</v>
      </c>
      <c r="Z1920" s="572">
        <f t="shared" si="1381"/>
        <v>0</v>
      </c>
      <c r="AA1920" s="1">
        <f t="shared" si="1382"/>
        <v>0</v>
      </c>
    </row>
    <row r="1921" spans="1:27" x14ac:dyDescent="0.2">
      <c r="A1921" s="20" t="str">
        <f>A434</f>
        <v xml:space="preserve">3.4.1.5 Actualisation du guide d'alphabétisation </v>
      </c>
      <c r="B1921" s="46"/>
      <c r="C1921" s="386">
        <f>C434</f>
        <v>0</v>
      </c>
      <c r="D1921" s="168">
        <f t="shared" si="1468"/>
        <v>6.5</v>
      </c>
      <c r="E1921" s="168">
        <f t="shared" si="1469"/>
        <v>0</v>
      </c>
      <c r="F1921" s="168">
        <f t="shared" si="1470"/>
        <v>0</v>
      </c>
      <c r="G1921" s="168">
        <f t="shared" si="1471"/>
        <v>0</v>
      </c>
      <c r="H1921" s="168">
        <f t="shared" si="1472"/>
        <v>0</v>
      </c>
      <c r="I1921" s="166">
        <f t="shared" si="1473"/>
        <v>6.5</v>
      </c>
      <c r="J1921" s="371" t="str">
        <f t="shared" si="1474"/>
        <v>MAS-DGNEF-DIC</v>
      </c>
      <c r="K1921" s="350" t="str">
        <f t="shared" si="1475"/>
        <v>ND</v>
      </c>
      <c r="L1921" s="167">
        <f t="shared" ref="L1921:Q1921" si="1493">L434</f>
        <v>6500</v>
      </c>
      <c r="M1921" s="168">
        <f t="shared" si="1493"/>
        <v>0</v>
      </c>
      <c r="N1921" s="168">
        <f t="shared" si="1493"/>
        <v>0</v>
      </c>
      <c r="O1921" s="168">
        <f t="shared" si="1493"/>
        <v>0</v>
      </c>
      <c r="P1921" s="168">
        <f t="shared" si="1493"/>
        <v>0</v>
      </c>
      <c r="Q1921" s="165">
        <f t="shared" si="1493"/>
        <v>6500</v>
      </c>
      <c r="R1921" s="198" t="str">
        <f t="shared" ref="R1921:S1921" si="1494">R434</f>
        <v>MAS-DGNEF-DIC</v>
      </c>
      <c r="S1921" s="115" t="str">
        <f t="shared" si="1494"/>
        <v>ND</v>
      </c>
      <c r="T1921" s="51">
        <f>T434</f>
        <v>0</v>
      </c>
      <c r="W1921" s="608">
        <f t="shared" si="1477"/>
        <v>6500</v>
      </c>
      <c r="X1921" s="608">
        <f t="shared" si="1478"/>
        <v>0</v>
      </c>
      <c r="Z1921" s="572">
        <f t="shared" si="1381"/>
        <v>0</v>
      </c>
      <c r="AA1921" s="1">
        <f t="shared" si="1382"/>
        <v>0</v>
      </c>
    </row>
    <row r="1922" spans="1:27" x14ac:dyDescent="0.2">
      <c r="A1922" s="20" t="str">
        <f>A437</f>
        <v xml:space="preserve">3.4.1.6 Actualisation du guide d'apprentissage professionnel </v>
      </c>
      <c r="B1922" s="46"/>
      <c r="C1922" s="386">
        <f>C437</f>
        <v>0</v>
      </c>
      <c r="D1922" s="168">
        <f t="shared" si="1468"/>
        <v>0</v>
      </c>
      <c r="E1922" s="168">
        <f t="shared" si="1469"/>
        <v>6.5</v>
      </c>
      <c r="F1922" s="168">
        <f t="shared" si="1470"/>
        <v>0</v>
      </c>
      <c r="G1922" s="168">
        <f t="shared" si="1471"/>
        <v>0</v>
      </c>
      <c r="H1922" s="168">
        <f t="shared" si="1472"/>
        <v>0</v>
      </c>
      <c r="I1922" s="166">
        <f t="shared" si="1473"/>
        <v>6.5</v>
      </c>
      <c r="J1922" s="371" t="str">
        <f t="shared" si="1474"/>
        <v>MAS-DGNEF-DIC/ETP</v>
      </c>
      <c r="K1922" s="350" t="str">
        <f t="shared" si="1475"/>
        <v>ND</v>
      </c>
      <c r="L1922" s="167">
        <f t="shared" ref="L1922:Q1922" si="1495">L437</f>
        <v>0</v>
      </c>
      <c r="M1922" s="168">
        <f t="shared" si="1495"/>
        <v>6500</v>
      </c>
      <c r="N1922" s="168">
        <f t="shared" si="1495"/>
        <v>0</v>
      </c>
      <c r="O1922" s="168">
        <f t="shared" si="1495"/>
        <v>0</v>
      </c>
      <c r="P1922" s="168">
        <f t="shared" si="1495"/>
        <v>0</v>
      </c>
      <c r="Q1922" s="165">
        <f t="shared" si="1495"/>
        <v>6500</v>
      </c>
      <c r="R1922" s="198" t="str">
        <f t="shared" ref="R1922:S1922" si="1496">R437</f>
        <v>MAS-DGNEF-DIC/ETP</v>
      </c>
      <c r="S1922" s="115" t="str">
        <f t="shared" si="1496"/>
        <v>ND</v>
      </c>
      <c r="T1922" s="51">
        <f>T437</f>
        <v>0</v>
      </c>
      <c r="W1922" s="608">
        <f t="shared" si="1477"/>
        <v>6500</v>
      </c>
      <c r="X1922" s="608">
        <f t="shared" si="1478"/>
        <v>0</v>
      </c>
      <c r="Z1922" s="572">
        <f t="shared" si="1381"/>
        <v>0</v>
      </c>
      <c r="AA1922" s="1">
        <f t="shared" si="1382"/>
        <v>0</v>
      </c>
    </row>
    <row r="1923" spans="1:27" x14ac:dyDescent="0.2">
      <c r="A1923" s="17" t="str">
        <f>A440</f>
        <v>3.4.2 Élaboration de manuels de rattrapage scolaire</v>
      </c>
      <c r="B1923" s="45"/>
      <c r="C1923" s="386" t="str">
        <f>C440</f>
        <v>En 2020, tous les centres sont équipés en matériels andragogiques</v>
      </c>
      <c r="D1923" s="157">
        <f t="shared" si="1468"/>
        <v>27</v>
      </c>
      <c r="E1923" s="157">
        <f t="shared" si="1469"/>
        <v>241</v>
      </c>
      <c r="F1923" s="157">
        <f t="shared" si="1470"/>
        <v>241</v>
      </c>
      <c r="G1923" s="157">
        <f t="shared" si="1471"/>
        <v>214</v>
      </c>
      <c r="H1923" s="157">
        <f t="shared" si="1472"/>
        <v>0</v>
      </c>
      <c r="I1923" s="160">
        <f t="shared" si="1473"/>
        <v>723</v>
      </c>
      <c r="J1923" s="374">
        <f t="shared" si="1474"/>
        <v>0</v>
      </c>
      <c r="K1923" s="348">
        <f t="shared" si="1475"/>
        <v>0</v>
      </c>
      <c r="L1923" s="35">
        <f t="shared" ref="L1923:Q1923" si="1497">SUM(L1924:L1925)</f>
        <v>27000</v>
      </c>
      <c r="M1923" s="34">
        <f t="shared" si="1497"/>
        <v>241000</v>
      </c>
      <c r="N1923" s="34">
        <f t="shared" si="1497"/>
        <v>241000</v>
      </c>
      <c r="O1923" s="34">
        <f t="shared" si="1497"/>
        <v>214000</v>
      </c>
      <c r="P1923" s="34">
        <f t="shared" si="1497"/>
        <v>0</v>
      </c>
      <c r="Q1923" s="26">
        <f t="shared" si="1497"/>
        <v>723000</v>
      </c>
      <c r="R1923" s="19">
        <f t="shared" ref="R1923:S1923" si="1498">SUM(R1924:R1925)</f>
        <v>0</v>
      </c>
      <c r="S1923" s="18">
        <f t="shared" si="1498"/>
        <v>0</v>
      </c>
      <c r="T1923" s="51">
        <f>T440</f>
        <v>0</v>
      </c>
      <c r="W1923" s="608">
        <f t="shared" si="1477"/>
        <v>723000</v>
      </c>
      <c r="X1923" s="608">
        <f t="shared" si="1478"/>
        <v>0</v>
      </c>
      <c r="Z1923" s="572">
        <f t="shared" si="1381"/>
        <v>0</v>
      </c>
      <c r="AA1923" s="1">
        <f t="shared" si="1382"/>
        <v>0</v>
      </c>
    </row>
    <row r="1924" spans="1:27" x14ac:dyDescent="0.2">
      <c r="A1924" s="20" t="str">
        <f>A441</f>
        <v>3.4.2.1 Élaboration de manuels et de guides pédagogiques de rattrapage scolaire</v>
      </c>
      <c r="B1924" s="46"/>
      <c r="C1924" s="386">
        <f>C441</f>
        <v>0</v>
      </c>
      <c r="D1924" s="168">
        <f t="shared" si="1468"/>
        <v>27</v>
      </c>
      <c r="E1924" s="168">
        <f t="shared" si="1469"/>
        <v>27</v>
      </c>
      <c r="F1924" s="168">
        <f t="shared" si="1470"/>
        <v>27</v>
      </c>
      <c r="G1924" s="168">
        <f t="shared" si="1471"/>
        <v>0</v>
      </c>
      <c r="H1924" s="168">
        <f t="shared" si="1472"/>
        <v>0</v>
      </c>
      <c r="I1924" s="166">
        <f t="shared" si="1473"/>
        <v>81</v>
      </c>
      <c r="J1924" s="371" t="str">
        <f t="shared" si="1474"/>
        <v>MAS-DGNEF/EPS-DIPROMAD</v>
      </c>
      <c r="K1924" s="350" t="str">
        <f t="shared" si="1475"/>
        <v>ND</v>
      </c>
      <c r="L1924" s="167">
        <f t="shared" ref="L1924:Q1924" si="1499">L441</f>
        <v>27000</v>
      </c>
      <c r="M1924" s="168">
        <f t="shared" si="1499"/>
        <v>27000</v>
      </c>
      <c r="N1924" s="168">
        <f t="shared" si="1499"/>
        <v>27000</v>
      </c>
      <c r="O1924" s="168">
        <f t="shared" si="1499"/>
        <v>0</v>
      </c>
      <c r="P1924" s="168">
        <f t="shared" si="1499"/>
        <v>0</v>
      </c>
      <c r="Q1924" s="165">
        <f t="shared" si="1499"/>
        <v>81000</v>
      </c>
      <c r="R1924" s="198" t="str">
        <f t="shared" ref="R1924:S1924" si="1500">R441</f>
        <v>MAS-DGNEF/EPS-DIPROMAD</v>
      </c>
      <c r="S1924" s="115" t="str">
        <f t="shared" si="1500"/>
        <v>ND</v>
      </c>
      <c r="T1924" s="51">
        <f>T441</f>
        <v>0</v>
      </c>
      <c r="W1924" s="608">
        <f t="shared" si="1477"/>
        <v>81000</v>
      </c>
      <c r="X1924" s="608">
        <f t="shared" si="1478"/>
        <v>0</v>
      </c>
      <c r="Z1924" s="572">
        <f t="shared" si="1381"/>
        <v>0</v>
      </c>
      <c r="AA1924" s="1">
        <f t="shared" si="1382"/>
        <v>0</v>
      </c>
    </row>
    <row r="1925" spans="1:27" x14ac:dyDescent="0.2">
      <c r="A1925" s="20" t="str">
        <f>A445</f>
        <v>3.4.2.2 Formation des utilisateurs aux manuels et guides pédagogiques de rattrapage scolaire</v>
      </c>
      <c r="B1925" s="46"/>
      <c r="C1925" s="386">
        <f>C445</f>
        <v>0</v>
      </c>
      <c r="D1925" s="168">
        <f t="shared" si="1468"/>
        <v>0</v>
      </c>
      <c r="E1925" s="168">
        <f t="shared" si="1469"/>
        <v>214</v>
      </c>
      <c r="F1925" s="168">
        <f t="shared" si="1470"/>
        <v>214</v>
      </c>
      <c r="G1925" s="168">
        <f t="shared" si="1471"/>
        <v>214</v>
      </c>
      <c r="H1925" s="168">
        <f t="shared" si="1472"/>
        <v>0</v>
      </c>
      <c r="I1925" s="166">
        <f t="shared" si="1473"/>
        <v>642</v>
      </c>
      <c r="J1925" s="371" t="str">
        <f t="shared" si="1474"/>
        <v>MAS-DGNEF/SENAPEP</v>
      </c>
      <c r="K1925" s="350" t="str">
        <f t="shared" si="1475"/>
        <v>ND</v>
      </c>
      <c r="L1925" s="167">
        <f t="shared" ref="L1925:Q1925" si="1501">L445</f>
        <v>0</v>
      </c>
      <c r="M1925" s="168">
        <f t="shared" si="1501"/>
        <v>214000</v>
      </c>
      <c r="N1925" s="168">
        <f t="shared" si="1501"/>
        <v>214000</v>
      </c>
      <c r="O1925" s="168">
        <f t="shared" si="1501"/>
        <v>214000</v>
      </c>
      <c r="P1925" s="168">
        <f t="shared" si="1501"/>
        <v>0</v>
      </c>
      <c r="Q1925" s="165">
        <f t="shared" si="1501"/>
        <v>642000</v>
      </c>
      <c r="R1925" s="198" t="str">
        <f t="shared" ref="R1925:S1925" si="1502">R445</f>
        <v>MAS-DGNEF/SENAPEP</v>
      </c>
      <c r="S1925" s="115" t="str">
        <f t="shared" si="1502"/>
        <v>ND</v>
      </c>
      <c r="T1925" s="51">
        <f>T445</f>
        <v>0</v>
      </c>
      <c r="W1925" s="608">
        <f t="shared" si="1477"/>
        <v>642000</v>
      </c>
      <c r="X1925" s="608">
        <f t="shared" si="1478"/>
        <v>0</v>
      </c>
      <c r="Z1925" s="572">
        <f t="shared" si="1381"/>
        <v>0</v>
      </c>
      <c r="AA1925" s="1">
        <f t="shared" si="1382"/>
        <v>0</v>
      </c>
    </row>
    <row r="1926" spans="1:27" x14ac:dyDescent="0.2">
      <c r="A1926" s="17" t="str">
        <f>A448</f>
        <v>3.4.3 Uniformisation des manuels d'alphabétisation et d'apprentissage professionnel</v>
      </c>
      <c r="B1926" s="45"/>
      <c r="C1926" s="386">
        <f>C448</f>
        <v>0</v>
      </c>
      <c r="D1926" s="157">
        <f t="shared" si="1468"/>
        <v>0</v>
      </c>
      <c r="E1926" s="157">
        <f t="shared" si="1469"/>
        <v>0</v>
      </c>
      <c r="F1926" s="157">
        <f t="shared" si="1470"/>
        <v>44</v>
      </c>
      <c r="G1926" s="157">
        <f t="shared" si="1471"/>
        <v>572.14300000000003</v>
      </c>
      <c r="H1926" s="157">
        <f t="shared" si="1472"/>
        <v>495</v>
      </c>
      <c r="I1926" s="160">
        <f t="shared" si="1473"/>
        <v>1111.143</v>
      </c>
      <c r="J1926" s="374">
        <f t="shared" si="1474"/>
        <v>0</v>
      </c>
      <c r="K1926" s="348">
        <f t="shared" si="1475"/>
        <v>0</v>
      </c>
      <c r="L1926" s="35">
        <f t="shared" ref="L1926:Q1926" si="1503">SUM(L1927:L1928)</f>
        <v>0</v>
      </c>
      <c r="M1926" s="34">
        <f t="shared" si="1503"/>
        <v>0</v>
      </c>
      <c r="N1926" s="34">
        <f t="shared" si="1503"/>
        <v>44000</v>
      </c>
      <c r="O1926" s="34">
        <f t="shared" si="1503"/>
        <v>572143</v>
      </c>
      <c r="P1926" s="34">
        <f t="shared" si="1503"/>
        <v>495000</v>
      </c>
      <c r="Q1926" s="26">
        <f t="shared" si="1503"/>
        <v>1111143</v>
      </c>
      <c r="R1926" s="19">
        <f t="shared" ref="R1926:S1926" si="1504">SUM(R1927:R1928)</f>
        <v>0</v>
      </c>
      <c r="S1926" s="18">
        <f t="shared" si="1504"/>
        <v>0</v>
      </c>
      <c r="T1926" s="51">
        <f>T448</f>
        <v>0</v>
      </c>
      <c r="W1926" s="608">
        <f t="shared" si="1477"/>
        <v>1111143</v>
      </c>
      <c r="X1926" s="608">
        <f t="shared" si="1478"/>
        <v>0</v>
      </c>
      <c r="Z1926" s="572">
        <f t="shared" si="1381"/>
        <v>0</v>
      </c>
      <c r="AA1926" s="1">
        <f t="shared" si="1382"/>
        <v>0</v>
      </c>
    </row>
    <row r="1927" spans="1:27" x14ac:dyDescent="0.2">
      <c r="A1927" s="20" t="str">
        <f>A449</f>
        <v>3.4.3.1 Uniformisation des manuels et des guides andragogiques et pédagogiques</v>
      </c>
      <c r="B1927" s="46"/>
      <c r="C1927" s="386">
        <f>C449</f>
        <v>0</v>
      </c>
      <c r="D1927" s="168">
        <f t="shared" si="1468"/>
        <v>0</v>
      </c>
      <c r="E1927" s="168">
        <f t="shared" si="1469"/>
        <v>0</v>
      </c>
      <c r="F1927" s="168">
        <f t="shared" si="1470"/>
        <v>44</v>
      </c>
      <c r="G1927" s="168">
        <f t="shared" si="1471"/>
        <v>0</v>
      </c>
      <c r="H1927" s="168">
        <f t="shared" si="1472"/>
        <v>0</v>
      </c>
      <c r="I1927" s="166">
        <f t="shared" si="1473"/>
        <v>44</v>
      </c>
      <c r="J1927" s="371" t="str">
        <f t="shared" si="1474"/>
        <v>MAS-DGNEF/EPS-DIPROMAD</v>
      </c>
      <c r="K1927" s="350" t="str">
        <f t="shared" si="1475"/>
        <v>ND</v>
      </c>
      <c r="L1927" s="167">
        <f t="shared" ref="L1927:Q1927" si="1505">L449</f>
        <v>0</v>
      </c>
      <c r="M1927" s="168">
        <f t="shared" si="1505"/>
        <v>0</v>
      </c>
      <c r="N1927" s="168">
        <f t="shared" si="1505"/>
        <v>44000</v>
      </c>
      <c r="O1927" s="168">
        <f t="shared" si="1505"/>
        <v>0</v>
      </c>
      <c r="P1927" s="168">
        <f t="shared" si="1505"/>
        <v>0</v>
      </c>
      <c r="Q1927" s="165">
        <f t="shared" si="1505"/>
        <v>44000</v>
      </c>
      <c r="R1927" s="198" t="str">
        <f t="shared" ref="R1927:S1927" si="1506">R449</f>
        <v>MAS-DGNEF/EPS-DIPROMAD</v>
      </c>
      <c r="S1927" s="115" t="str">
        <f t="shared" si="1506"/>
        <v>ND</v>
      </c>
      <c r="T1927" s="51">
        <f>T449</f>
        <v>0</v>
      </c>
      <c r="W1927" s="608">
        <f t="shared" si="1477"/>
        <v>44000</v>
      </c>
      <c r="X1927" s="608">
        <f t="shared" si="1478"/>
        <v>0</v>
      </c>
      <c r="Z1927" s="572">
        <f t="shared" si="1381"/>
        <v>0</v>
      </c>
      <c r="AA1927" s="1">
        <f t="shared" si="1382"/>
        <v>0</v>
      </c>
    </row>
    <row r="1928" spans="1:27" x14ac:dyDescent="0.2">
      <c r="A1928" s="20" t="str">
        <f>A453</f>
        <v>3.4.3.2 Formation des utilisateurs aux manuels et guides andragogiques et pédagogiques</v>
      </c>
      <c r="B1928" s="46"/>
      <c r="C1928" s="386">
        <f>C453</f>
        <v>0</v>
      </c>
      <c r="D1928" s="168">
        <f t="shared" si="1468"/>
        <v>0</v>
      </c>
      <c r="E1928" s="168">
        <f t="shared" si="1469"/>
        <v>0</v>
      </c>
      <c r="F1928" s="168">
        <f t="shared" si="1470"/>
        <v>0</v>
      </c>
      <c r="G1928" s="168">
        <f t="shared" si="1471"/>
        <v>572.14300000000003</v>
      </c>
      <c r="H1928" s="168">
        <f t="shared" si="1472"/>
        <v>495</v>
      </c>
      <c r="I1928" s="166">
        <f t="shared" si="1473"/>
        <v>1067.143</v>
      </c>
      <c r="J1928" s="371" t="str">
        <f t="shared" si="1474"/>
        <v>MAS-DGNEF/SENAPEP</v>
      </c>
      <c r="K1928" s="350" t="str">
        <f t="shared" si="1475"/>
        <v>ND</v>
      </c>
      <c r="L1928" s="167">
        <f t="shared" ref="L1928:Q1928" si="1507">L453</f>
        <v>0</v>
      </c>
      <c r="M1928" s="168">
        <f t="shared" si="1507"/>
        <v>0</v>
      </c>
      <c r="N1928" s="168">
        <f t="shared" si="1507"/>
        <v>0</v>
      </c>
      <c r="O1928" s="168">
        <f t="shared" si="1507"/>
        <v>572143</v>
      </c>
      <c r="P1928" s="168">
        <f t="shared" si="1507"/>
        <v>495000</v>
      </c>
      <c r="Q1928" s="165">
        <f t="shared" si="1507"/>
        <v>1067143</v>
      </c>
      <c r="R1928" s="198" t="str">
        <f t="shared" ref="R1928:S1928" si="1508">R453</f>
        <v>MAS-DGNEF/SENAPEP</v>
      </c>
      <c r="S1928" s="115" t="str">
        <f t="shared" si="1508"/>
        <v>ND</v>
      </c>
      <c r="T1928" s="51">
        <f>T453</f>
        <v>0</v>
      </c>
      <c r="W1928" s="608">
        <f t="shared" si="1477"/>
        <v>1067143</v>
      </c>
      <c r="X1928" s="608">
        <f t="shared" si="1478"/>
        <v>0</v>
      </c>
      <c r="Z1928" s="572">
        <f t="shared" si="1381"/>
        <v>0</v>
      </c>
      <c r="AA1928" s="1">
        <f t="shared" si="1382"/>
        <v>0</v>
      </c>
    </row>
    <row r="1929" spans="1:27" x14ac:dyDescent="0.2">
      <c r="A1929" s="17" t="str">
        <f>A456</f>
        <v>3.4.4 Équipement des centres</v>
      </c>
      <c r="B1929" s="45"/>
      <c r="C1929" s="386" t="str">
        <f>C456</f>
        <v>En 2020, tous les centres sont équipés en matériels andragogiques</v>
      </c>
      <c r="D1929" s="157">
        <f t="shared" si="1468"/>
        <v>0</v>
      </c>
      <c r="E1929" s="157">
        <f t="shared" si="1469"/>
        <v>0</v>
      </c>
      <c r="F1929" s="157">
        <f t="shared" si="1470"/>
        <v>2407.3339999999998</v>
      </c>
      <c r="G1929" s="157">
        <f t="shared" si="1471"/>
        <v>2407.3339999999998</v>
      </c>
      <c r="H1929" s="168">
        <f t="shared" si="1472"/>
        <v>2407.3339999999998</v>
      </c>
      <c r="I1929" s="160">
        <f t="shared" si="1473"/>
        <v>7222.0020000000004</v>
      </c>
      <c r="J1929" s="374">
        <f t="shared" si="1474"/>
        <v>0</v>
      </c>
      <c r="K1929" s="348">
        <f t="shared" si="1475"/>
        <v>0</v>
      </c>
      <c r="L1929" s="35">
        <f t="shared" ref="L1929:Q1929" si="1509">SUM(L1930:L1932)</f>
        <v>0</v>
      </c>
      <c r="M1929" s="34">
        <f t="shared" si="1509"/>
        <v>0</v>
      </c>
      <c r="N1929" s="34">
        <f t="shared" si="1509"/>
        <v>2407334</v>
      </c>
      <c r="O1929" s="34">
        <f t="shared" si="1509"/>
        <v>2407334</v>
      </c>
      <c r="P1929" s="34">
        <f t="shared" si="1509"/>
        <v>2407334</v>
      </c>
      <c r="Q1929" s="26">
        <f t="shared" si="1509"/>
        <v>7222002</v>
      </c>
      <c r="R1929" s="19">
        <f t="shared" ref="R1929:S1929" si="1510">SUM(R1930:R1932)</f>
        <v>0</v>
      </c>
      <c r="S1929" s="18">
        <f t="shared" si="1510"/>
        <v>0</v>
      </c>
      <c r="T1929" s="51">
        <f>T456</f>
        <v>0</v>
      </c>
      <c r="W1929" s="608">
        <f t="shared" si="1477"/>
        <v>7222002</v>
      </c>
      <c r="X1929" s="608">
        <f t="shared" si="1478"/>
        <v>0</v>
      </c>
      <c r="Z1929" s="572">
        <f t="shared" si="1381"/>
        <v>0</v>
      </c>
      <c r="AA1929" s="1">
        <f t="shared" si="1382"/>
        <v>0</v>
      </c>
    </row>
    <row r="1930" spans="1:27" x14ac:dyDescent="0.2">
      <c r="A1930" s="20" t="str">
        <f>A457</f>
        <v xml:space="preserve">3.4.4.1 Acquisition et distribution des programmes </v>
      </c>
      <c r="B1930" s="46"/>
      <c r="C1930" s="386">
        <f>C457</f>
        <v>0</v>
      </c>
      <c r="D1930" s="168">
        <f t="shared" si="1468"/>
        <v>0</v>
      </c>
      <c r="E1930" s="168">
        <f t="shared" si="1469"/>
        <v>0</v>
      </c>
      <c r="F1930" s="168">
        <f t="shared" si="1470"/>
        <v>24.667000000000002</v>
      </c>
      <c r="G1930" s="168">
        <f t="shared" si="1471"/>
        <v>24.667000000000002</v>
      </c>
      <c r="H1930" s="168">
        <f t="shared" si="1472"/>
        <v>24.667000000000002</v>
      </c>
      <c r="I1930" s="166">
        <f t="shared" si="1473"/>
        <v>74.001000000000005</v>
      </c>
      <c r="J1930" s="371" t="str">
        <f t="shared" si="1474"/>
        <v>MAS-DGENF-DEP</v>
      </c>
      <c r="K1930" s="350" t="str">
        <f t="shared" si="1475"/>
        <v>ND</v>
      </c>
      <c r="L1930" s="167">
        <f t="shared" ref="L1930:Q1930" si="1511">L457</f>
        <v>0</v>
      </c>
      <c r="M1930" s="168">
        <f t="shared" si="1511"/>
        <v>0</v>
      </c>
      <c r="N1930" s="168">
        <f t="shared" si="1511"/>
        <v>24667</v>
      </c>
      <c r="O1930" s="168">
        <f t="shared" si="1511"/>
        <v>24667</v>
      </c>
      <c r="P1930" s="168">
        <f t="shared" si="1511"/>
        <v>24667</v>
      </c>
      <c r="Q1930" s="165">
        <f t="shared" si="1511"/>
        <v>74001</v>
      </c>
      <c r="R1930" s="198" t="str">
        <f t="shared" ref="R1930:S1930" si="1512">R457</f>
        <v>MAS-DGENF-DEP</v>
      </c>
      <c r="S1930" s="115" t="str">
        <f t="shared" si="1512"/>
        <v>ND</v>
      </c>
      <c r="T1930" s="51">
        <f>T457</f>
        <v>0</v>
      </c>
      <c r="W1930" s="608">
        <f t="shared" si="1477"/>
        <v>74001</v>
      </c>
      <c r="X1930" s="608">
        <f t="shared" si="1478"/>
        <v>0</v>
      </c>
      <c r="Z1930" s="572">
        <f t="shared" ref="Z1930:Z1993" si="1513">IF($Y1930="P",$I1930,)</f>
        <v>0</v>
      </c>
      <c r="AA1930" s="1">
        <f t="shared" ref="AA1930:AA1993" si="1514">IF($Y1930="G",$I1930,)</f>
        <v>0</v>
      </c>
    </row>
    <row r="1931" spans="1:27" x14ac:dyDescent="0.2">
      <c r="A1931" s="20" t="str">
        <f>A459</f>
        <v>3.4.4.2 Acquisition et distribution des manuels</v>
      </c>
      <c r="B1931" s="46"/>
      <c r="C1931" s="386">
        <f>C459</f>
        <v>0</v>
      </c>
      <c r="D1931" s="168">
        <f t="shared" si="1468"/>
        <v>0</v>
      </c>
      <c r="E1931" s="168">
        <f t="shared" si="1469"/>
        <v>0</v>
      </c>
      <c r="F1931" s="168">
        <f t="shared" si="1470"/>
        <v>2358</v>
      </c>
      <c r="G1931" s="168">
        <f t="shared" si="1471"/>
        <v>2358</v>
      </c>
      <c r="H1931" s="168">
        <f t="shared" si="1472"/>
        <v>2358</v>
      </c>
      <c r="I1931" s="166">
        <f t="shared" si="1473"/>
        <v>7074</v>
      </c>
      <c r="J1931" s="371" t="str">
        <f t="shared" si="1474"/>
        <v>MAS-DGENF-DEP</v>
      </c>
      <c r="K1931" s="350" t="str">
        <f t="shared" si="1475"/>
        <v>ND</v>
      </c>
      <c r="L1931" s="167">
        <f t="shared" ref="L1931:Q1931" si="1515">L459</f>
        <v>0</v>
      </c>
      <c r="M1931" s="168">
        <f t="shared" si="1515"/>
        <v>0</v>
      </c>
      <c r="N1931" s="168">
        <f t="shared" si="1515"/>
        <v>2358000</v>
      </c>
      <c r="O1931" s="168">
        <f t="shared" si="1515"/>
        <v>2358000</v>
      </c>
      <c r="P1931" s="168">
        <f t="shared" si="1515"/>
        <v>2358000</v>
      </c>
      <c r="Q1931" s="165">
        <f t="shared" si="1515"/>
        <v>7074000</v>
      </c>
      <c r="R1931" s="198" t="str">
        <f t="shared" ref="R1931:S1931" si="1516">R459</f>
        <v>MAS-DGENF-DEP</v>
      </c>
      <c r="S1931" s="115" t="str">
        <f t="shared" si="1516"/>
        <v>ND</v>
      </c>
      <c r="T1931" s="51">
        <f>T459</f>
        <v>0</v>
      </c>
      <c r="W1931" s="608">
        <f t="shared" si="1477"/>
        <v>7074000</v>
      </c>
      <c r="X1931" s="608">
        <f t="shared" si="1478"/>
        <v>0</v>
      </c>
      <c r="Z1931" s="572">
        <f t="shared" si="1513"/>
        <v>0</v>
      </c>
      <c r="AA1931" s="1">
        <f t="shared" si="1514"/>
        <v>0</v>
      </c>
    </row>
    <row r="1932" spans="1:27" x14ac:dyDescent="0.2">
      <c r="A1932" s="20" t="str">
        <f>A461</f>
        <v>3.4.4.3 Acquisition et distribution des guides</v>
      </c>
      <c r="B1932" s="46"/>
      <c r="C1932" s="386">
        <f>C461</f>
        <v>0</v>
      </c>
      <c r="D1932" s="168">
        <f t="shared" si="1468"/>
        <v>0</v>
      </c>
      <c r="E1932" s="168">
        <f t="shared" si="1469"/>
        <v>0</v>
      </c>
      <c r="F1932" s="168">
        <f t="shared" si="1470"/>
        <v>24.667000000000002</v>
      </c>
      <c r="G1932" s="168">
        <f t="shared" si="1471"/>
        <v>24.667000000000002</v>
      </c>
      <c r="H1932" s="168">
        <f t="shared" si="1472"/>
        <v>24.667000000000002</v>
      </c>
      <c r="I1932" s="166">
        <f t="shared" si="1473"/>
        <v>74.001000000000005</v>
      </c>
      <c r="J1932" s="371" t="str">
        <f t="shared" si="1474"/>
        <v>MAS-DGENF-DEP</v>
      </c>
      <c r="K1932" s="350" t="str">
        <f t="shared" si="1475"/>
        <v>ND</v>
      </c>
      <c r="L1932" s="167">
        <f t="shared" ref="L1932:Q1932" si="1517">L461</f>
        <v>0</v>
      </c>
      <c r="M1932" s="168">
        <f t="shared" si="1517"/>
        <v>0</v>
      </c>
      <c r="N1932" s="168">
        <f t="shared" si="1517"/>
        <v>24667</v>
      </c>
      <c r="O1932" s="168">
        <f t="shared" si="1517"/>
        <v>24667</v>
      </c>
      <c r="P1932" s="168">
        <f t="shared" si="1517"/>
        <v>24667</v>
      </c>
      <c r="Q1932" s="165">
        <f t="shared" si="1517"/>
        <v>74001</v>
      </c>
      <c r="R1932" s="198" t="str">
        <f t="shared" ref="R1932:S1932" si="1518">R461</f>
        <v>MAS-DGENF-DEP</v>
      </c>
      <c r="S1932" s="115" t="str">
        <f t="shared" si="1518"/>
        <v>ND</v>
      </c>
      <c r="T1932" s="51">
        <f>T461</f>
        <v>0</v>
      </c>
      <c r="W1932" s="608">
        <f t="shared" si="1477"/>
        <v>74001</v>
      </c>
      <c r="X1932" s="608">
        <f t="shared" si="1478"/>
        <v>0</v>
      </c>
      <c r="Z1932" s="572">
        <f t="shared" si="1513"/>
        <v>0</v>
      </c>
      <c r="AA1932" s="1">
        <f t="shared" si="1514"/>
        <v>0</v>
      </c>
    </row>
    <row r="1933" spans="1:27" x14ac:dyDescent="0.2">
      <c r="A1933" s="14" t="str">
        <f>A463</f>
        <v>3.5 Utilisation des langues locales : codifier les langues locales utilisées pour l'alphabétisation et promouvoir leur utilisation</v>
      </c>
      <c r="B1933" s="44"/>
      <c r="C1933" s="385">
        <f>C463</f>
        <v>0</v>
      </c>
      <c r="D1933" s="217">
        <f t="shared" si="1468"/>
        <v>0</v>
      </c>
      <c r="E1933" s="217">
        <f t="shared" si="1469"/>
        <v>21</v>
      </c>
      <c r="F1933" s="217">
        <f t="shared" si="1470"/>
        <v>0</v>
      </c>
      <c r="G1933" s="217">
        <f t="shared" si="1471"/>
        <v>1431.941</v>
      </c>
      <c r="H1933" s="217">
        <f t="shared" si="1472"/>
        <v>1431.941</v>
      </c>
      <c r="I1933" s="220">
        <f t="shared" si="1473"/>
        <v>2884.8820000000001</v>
      </c>
      <c r="J1933" s="373">
        <f t="shared" si="1474"/>
        <v>0</v>
      </c>
      <c r="K1933" s="346">
        <f t="shared" si="1475"/>
        <v>0</v>
      </c>
      <c r="L1933" s="33">
        <f t="shared" ref="L1933:Q1933" si="1519">L1934+L1936+L1939</f>
        <v>0</v>
      </c>
      <c r="M1933" s="32">
        <f t="shared" si="1519"/>
        <v>21000</v>
      </c>
      <c r="N1933" s="32">
        <f t="shared" si="1519"/>
        <v>0</v>
      </c>
      <c r="O1933" s="32">
        <f t="shared" si="1519"/>
        <v>1431941</v>
      </c>
      <c r="P1933" s="32">
        <f t="shared" si="1519"/>
        <v>1431941</v>
      </c>
      <c r="Q1933" s="25">
        <f t="shared" si="1519"/>
        <v>2884882</v>
      </c>
      <c r="R1933" s="16">
        <f t="shared" ref="R1933:S1933" si="1520">R1934+R1936+R1939</f>
        <v>0</v>
      </c>
      <c r="S1933" s="15">
        <f t="shared" si="1520"/>
        <v>0</v>
      </c>
      <c r="T1933" s="112">
        <f>T463</f>
        <v>2</v>
      </c>
      <c r="W1933" s="608">
        <f t="shared" si="1477"/>
        <v>2884882</v>
      </c>
      <c r="X1933" s="608">
        <f t="shared" si="1478"/>
        <v>0</v>
      </c>
      <c r="Z1933" s="572">
        <f t="shared" si="1513"/>
        <v>0</v>
      </c>
      <c r="AA1933" s="1">
        <f t="shared" si="1514"/>
        <v>0</v>
      </c>
    </row>
    <row r="1934" spans="1:27" x14ac:dyDescent="0.2">
      <c r="A1934" s="17" t="str">
        <f>A464</f>
        <v>3.5.1 Ateliers de codification des langues locales</v>
      </c>
      <c r="B1934" s="45"/>
      <c r="C1934" s="386" t="str">
        <f>C464</f>
        <v>Plusieurs ateliers menés chaque année à partir de 2016</v>
      </c>
      <c r="D1934" s="157">
        <f t="shared" si="1468"/>
        <v>0</v>
      </c>
      <c r="E1934" s="157">
        <f t="shared" si="1469"/>
        <v>15</v>
      </c>
      <c r="F1934" s="157">
        <f t="shared" si="1470"/>
        <v>0</v>
      </c>
      <c r="G1934" s="157">
        <f t="shared" si="1471"/>
        <v>0</v>
      </c>
      <c r="H1934" s="157">
        <f t="shared" si="1472"/>
        <v>0</v>
      </c>
      <c r="I1934" s="160">
        <f t="shared" si="1473"/>
        <v>15</v>
      </c>
      <c r="J1934" s="374">
        <f t="shared" si="1474"/>
        <v>0</v>
      </c>
      <c r="K1934" s="348">
        <f t="shared" si="1475"/>
        <v>0</v>
      </c>
      <c r="L1934" s="35">
        <f t="shared" ref="L1934:S1934" si="1521">SUM(L1935:L1935)</f>
        <v>0</v>
      </c>
      <c r="M1934" s="34">
        <f t="shared" si="1521"/>
        <v>15000</v>
      </c>
      <c r="N1934" s="34">
        <f t="shared" si="1521"/>
        <v>0</v>
      </c>
      <c r="O1934" s="34">
        <f t="shared" si="1521"/>
        <v>0</v>
      </c>
      <c r="P1934" s="34">
        <f t="shared" si="1521"/>
        <v>0</v>
      </c>
      <c r="Q1934" s="26">
        <f t="shared" si="1521"/>
        <v>15000</v>
      </c>
      <c r="R1934" s="19">
        <f t="shared" si="1521"/>
        <v>0</v>
      </c>
      <c r="S1934" s="18">
        <f t="shared" si="1521"/>
        <v>0</v>
      </c>
      <c r="T1934" s="51">
        <f>T464</f>
        <v>0</v>
      </c>
      <c r="W1934" s="608">
        <f t="shared" si="1477"/>
        <v>15000</v>
      </c>
      <c r="X1934" s="608">
        <f t="shared" si="1478"/>
        <v>0</v>
      </c>
      <c r="Z1934" s="572">
        <f t="shared" si="1513"/>
        <v>0</v>
      </c>
      <c r="AA1934" s="1">
        <f t="shared" si="1514"/>
        <v>0</v>
      </c>
    </row>
    <row r="1935" spans="1:27" x14ac:dyDescent="0.2">
      <c r="A1935" s="20" t="str">
        <f>A465</f>
        <v>3.5.1.1 État des lieux de la codification des langues</v>
      </c>
      <c r="B1935" s="46"/>
      <c r="C1935" s="386">
        <f>C465</f>
        <v>0</v>
      </c>
      <c r="D1935" s="168">
        <f t="shared" si="1468"/>
        <v>0</v>
      </c>
      <c r="E1935" s="168">
        <f t="shared" si="1469"/>
        <v>15</v>
      </c>
      <c r="F1935" s="168">
        <f t="shared" si="1470"/>
        <v>0</v>
      </c>
      <c r="G1935" s="168">
        <f t="shared" si="1471"/>
        <v>0</v>
      </c>
      <c r="H1935" s="168">
        <f t="shared" si="1472"/>
        <v>0</v>
      </c>
      <c r="I1935" s="166">
        <f t="shared" si="1473"/>
        <v>15</v>
      </c>
      <c r="J1935" s="371" t="str">
        <f t="shared" si="1474"/>
        <v>MAS-DGNEF/CELTA</v>
      </c>
      <c r="K1935" s="350" t="str">
        <f t="shared" si="1475"/>
        <v>ND</v>
      </c>
      <c r="L1935" s="167">
        <f t="shared" ref="L1935:Q1935" si="1522">L465</f>
        <v>0</v>
      </c>
      <c r="M1935" s="168">
        <f t="shared" si="1522"/>
        <v>15000</v>
      </c>
      <c r="N1935" s="168">
        <f t="shared" si="1522"/>
        <v>0</v>
      </c>
      <c r="O1935" s="168">
        <f t="shared" si="1522"/>
        <v>0</v>
      </c>
      <c r="P1935" s="168">
        <f t="shared" si="1522"/>
        <v>0</v>
      </c>
      <c r="Q1935" s="165">
        <f t="shared" si="1522"/>
        <v>15000</v>
      </c>
      <c r="R1935" s="198" t="str">
        <f t="shared" ref="R1935:S1935" si="1523">R465</f>
        <v>MAS-DGNEF/CELTA</v>
      </c>
      <c r="S1935" s="115" t="str">
        <f t="shared" si="1523"/>
        <v>ND</v>
      </c>
      <c r="T1935" s="51">
        <f>T465</f>
        <v>0</v>
      </c>
      <c r="W1935" s="608">
        <f t="shared" si="1477"/>
        <v>15000</v>
      </c>
      <c r="X1935" s="608">
        <f t="shared" si="1478"/>
        <v>0</v>
      </c>
      <c r="Z1935" s="572">
        <f t="shared" si="1513"/>
        <v>0</v>
      </c>
      <c r="AA1935" s="1">
        <f t="shared" si="1514"/>
        <v>0</v>
      </c>
    </row>
    <row r="1936" spans="1:27" x14ac:dyDescent="0.2">
      <c r="A1936" s="17" t="str">
        <f>A468</f>
        <v>3.5.2 Aide à la production des manuels et guides en langue locale d'alphabétisation et post alphabétisation</v>
      </c>
      <c r="B1936" s="45"/>
      <c r="C1936" s="386" t="str">
        <f>C468</f>
        <v>Un budget annuel de 50 000 $ pour des subventions accordées aux auteurs et éditeurs</v>
      </c>
      <c r="D1936" s="157">
        <f t="shared" si="1468"/>
        <v>0</v>
      </c>
      <c r="E1936" s="157">
        <f t="shared" si="1469"/>
        <v>6</v>
      </c>
      <c r="F1936" s="157">
        <f t="shared" si="1470"/>
        <v>0</v>
      </c>
      <c r="G1936" s="157">
        <f t="shared" si="1471"/>
        <v>1184.441</v>
      </c>
      <c r="H1936" s="157">
        <f t="shared" si="1472"/>
        <v>1184.441</v>
      </c>
      <c r="I1936" s="160">
        <f t="shared" si="1473"/>
        <v>2374.8820000000001</v>
      </c>
      <c r="J1936" s="374">
        <f t="shared" si="1474"/>
        <v>0</v>
      </c>
      <c r="K1936" s="348">
        <f t="shared" si="1475"/>
        <v>0</v>
      </c>
      <c r="L1936" s="35">
        <f t="shared" ref="L1936:Q1936" si="1524">SUM(L1937:L1938)</f>
        <v>0</v>
      </c>
      <c r="M1936" s="34">
        <f t="shared" si="1524"/>
        <v>6000</v>
      </c>
      <c r="N1936" s="34">
        <f t="shared" si="1524"/>
        <v>0</v>
      </c>
      <c r="O1936" s="34">
        <f t="shared" si="1524"/>
        <v>1184441</v>
      </c>
      <c r="P1936" s="34">
        <f t="shared" si="1524"/>
        <v>1184441</v>
      </c>
      <c r="Q1936" s="26">
        <f t="shared" si="1524"/>
        <v>2374882</v>
      </c>
      <c r="R1936" s="19">
        <f t="shared" ref="R1936:S1936" si="1525">SUM(R1937:R1938)</f>
        <v>0</v>
      </c>
      <c r="S1936" s="116">
        <f t="shared" si="1525"/>
        <v>0</v>
      </c>
      <c r="T1936" s="51">
        <f>T468</f>
        <v>0</v>
      </c>
      <c r="W1936" s="608">
        <f t="shared" si="1477"/>
        <v>2374882</v>
      </c>
      <c r="X1936" s="608">
        <f t="shared" si="1478"/>
        <v>0</v>
      </c>
      <c r="Z1936" s="572">
        <f t="shared" si="1513"/>
        <v>0</v>
      </c>
      <c r="AA1936" s="1">
        <f t="shared" si="1514"/>
        <v>0</v>
      </c>
    </row>
    <row r="1937" spans="1:27" x14ac:dyDescent="0.2">
      <c r="A1937" s="20" t="str">
        <f>A469</f>
        <v>3.5.2.2 Atelier de validation des manuels et guides en langue locale</v>
      </c>
      <c r="B1937" s="46"/>
      <c r="C1937" s="386">
        <f>C469</f>
        <v>0</v>
      </c>
      <c r="D1937" s="168">
        <f t="shared" si="1468"/>
        <v>0</v>
      </c>
      <c r="E1937" s="168">
        <f t="shared" si="1469"/>
        <v>6</v>
      </c>
      <c r="F1937" s="168">
        <f t="shared" si="1470"/>
        <v>0</v>
      </c>
      <c r="G1937" s="168">
        <f t="shared" si="1471"/>
        <v>0</v>
      </c>
      <c r="H1937" s="168">
        <f t="shared" si="1472"/>
        <v>0</v>
      </c>
      <c r="I1937" s="166">
        <f t="shared" si="1473"/>
        <v>6</v>
      </c>
      <c r="J1937" s="371" t="str">
        <f t="shared" si="1474"/>
        <v>MAS-DGNEF/CELTA</v>
      </c>
      <c r="K1937" s="350" t="str">
        <f t="shared" si="1475"/>
        <v>ND</v>
      </c>
      <c r="L1937" s="167">
        <f t="shared" ref="L1937:Q1937" si="1526">L469</f>
        <v>0</v>
      </c>
      <c r="M1937" s="168">
        <f t="shared" si="1526"/>
        <v>6000</v>
      </c>
      <c r="N1937" s="168">
        <f t="shared" si="1526"/>
        <v>0</v>
      </c>
      <c r="O1937" s="168">
        <f t="shared" si="1526"/>
        <v>0</v>
      </c>
      <c r="P1937" s="168">
        <f t="shared" si="1526"/>
        <v>0</v>
      </c>
      <c r="Q1937" s="165">
        <f t="shared" si="1526"/>
        <v>6000</v>
      </c>
      <c r="R1937" s="198" t="str">
        <f t="shared" ref="R1937:S1937" si="1527">R469</f>
        <v>MAS-DGNEF/CELTA</v>
      </c>
      <c r="S1937" s="115" t="str">
        <f t="shared" si="1527"/>
        <v>ND</v>
      </c>
      <c r="T1937" s="51">
        <f>T469</f>
        <v>0</v>
      </c>
      <c r="W1937" s="608">
        <f t="shared" si="1477"/>
        <v>6000</v>
      </c>
      <c r="X1937" s="608">
        <f t="shared" si="1478"/>
        <v>0</v>
      </c>
      <c r="Z1937" s="572">
        <f t="shared" si="1513"/>
        <v>0</v>
      </c>
      <c r="AA1937" s="1">
        <f t="shared" si="1514"/>
        <v>0</v>
      </c>
    </row>
    <row r="1938" spans="1:27" x14ac:dyDescent="0.2">
      <c r="A1938" s="20" t="str">
        <f>A471</f>
        <v>3.5.2.3 Production et distribution des manuels et guides en langue locale</v>
      </c>
      <c r="B1938" s="46"/>
      <c r="C1938" s="386">
        <f>C471</f>
        <v>0</v>
      </c>
      <c r="D1938" s="168">
        <f t="shared" si="1468"/>
        <v>0</v>
      </c>
      <c r="E1938" s="168">
        <f t="shared" si="1469"/>
        <v>0</v>
      </c>
      <c r="F1938" s="168">
        <f t="shared" si="1470"/>
        <v>0</v>
      </c>
      <c r="G1938" s="168">
        <f t="shared" si="1471"/>
        <v>1184.441</v>
      </c>
      <c r="H1938" s="168">
        <f t="shared" si="1472"/>
        <v>1184.441</v>
      </c>
      <c r="I1938" s="166">
        <f t="shared" si="1473"/>
        <v>2368.8820000000001</v>
      </c>
      <c r="J1938" s="371" t="str">
        <f t="shared" si="1474"/>
        <v>MAS-DGENF-DEP</v>
      </c>
      <c r="K1938" s="350" t="str">
        <f t="shared" si="1475"/>
        <v>ND</v>
      </c>
      <c r="L1938" s="167">
        <f t="shared" ref="L1938:Q1938" si="1528">L471</f>
        <v>0</v>
      </c>
      <c r="M1938" s="168">
        <f t="shared" si="1528"/>
        <v>0</v>
      </c>
      <c r="N1938" s="168">
        <f t="shared" si="1528"/>
        <v>0</v>
      </c>
      <c r="O1938" s="168">
        <f t="shared" si="1528"/>
        <v>1184441</v>
      </c>
      <c r="P1938" s="168">
        <f t="shared" si="1528"/>
        <v>1184441</v>
      </c>
      <c r="Q1938" s="165">
        <f t="shared" si="1528"/>
        <v>2368882</v>
      </c>
      <c r="R1938" s="198" t="str">
        <f t="shared" ref="R1938:S1938" si="1529">R471</f>
        <v>MAS-DGENF-DEP</v>
      </c>
      <c r="S1938" s="115" t="str">
        <f t="shared" si="1529"/>
        <v>ND</v>
      </c>
      <c r="T1938" s="51">
        <f>T471</f>
        <v>0</v>
      </c>
      <c r="W1938" s="608">
        <f t="shared" si="1477"/>
        <v>2368882</v>
      </c>
      <c r="X1938" s="608">
        <f t="shared" si="1478"/>
        <v>0</v>
      </c>
      <c r="Z1938" s="572">
        <f t="shared" si="1513"/>
        <v>0</v>
      </c>
      <c r="AA1938" s="1">
        <f t="shared" si="1514"/>
        <v>0</v>
      </c>
    </row>
    <row r="1939" spans="1:27" x14ac:dyDescent="0.2">
      <c r="A1939" s="17" t="str">
        <f>A473</f>
        <v>3.5.3 Campagnes de vulgarisation des manuels et guides</v>
      </c>
      <c r="B1939" s="45"/>
      <c r="C1939" s="386" t="str">
        <f>C473</f>
        <v>une campagne est menée dans chaque sous division après la mise au point des guides dans chaque langue</v>
      </c>
      <c r="D1939" s="157">
        <f t="shared" si="1468"/>
        <v>0</v>
      </c>
      <c r="E1939" s="157">
        <f t="shared" si="1469"/>
        <v>0</v>
      </c>
      <c r="F1939" s="157">
        <f t="shared" si="1470"/>
        <v>0</v>
      </c>
      <c r="G1939" s="157">
        <f t="shared" si="1471"/>
        <v>247.5</v>
      </c>
      <c r="H1939" s="157">
        <f t="shared" si="1472"/>
        <v>247.5</v>
      </c>
      <c r="I1939" s="160">
        <f t="shared" si="1473"/>
        <v>495</v>
      </c>
      <c r="J1939" s="374">
        <f t="shared" si="1474"/>
        <v>0</v>
      </c>
      <c r="K1939" s="348">
        <f t="shared" si="1475"/>
        <v>0</v>
      </c>
      <c r="L1939" s="35">
        <f t="shared" ref="L1939:S1939" si="1530">SUM(L1940:L1940)</f>
        <v>0</v>
      </c>
      <c r="M1939" s="34">
        <f t="shared" si="1530"/>
        <v>0</v>
      </c>
      <c r="N1939" s="34">
        <f t="shared" si="1530"/>
        <v>0</v>
      </c>
      <c r="O1939" s="34">
        <f t="shared" si="1530"/>
        <v>247500</v>
      </c>
      <c r="P1939" s="34">
        <f t="shared" si="1530"/>
        <v>247500</v>
      </c>
      <c r="Q1939" s="26">
        <f t="shared" si="1530"/>
        <v>495000</v>
      </c>
      <c r="R1939" s="19">
        <f t="shared" si="1530"/>
        <v>0</v>
      </c>
      <c r="S1939" s="116">
        <f t="shared" si="1530"/>
        <v>0</v>
      </c>
      <c r="T1939" s="51">
        <f>T473</f>
        <v>0</v>
      </c>
      <c r="W1939" s="608">
        <f t="shared" si="1477"/>
        <v>495000</v>
      </c>
      <c r="X1939" s="608">
        <f t="shared" si="1478"/>
        <v>0</v>
      </c>
      <c r="Z1939" s="572">
        <f t="shared" si="1513"/>
        <v>0</v>
      </c>
      <c r="AA1939" s="1">
        <f t="shared" si="1514"/>
        <v>0</v>
      </c>
    </row>
    <row r="1940" spans="1:27" x14ac:dyDescent="0.2">
      <c r="A1940" s="20" t="str">
        <f>A474</f>
        <v>3.5.3.1 Formation des enseignants à l'utilisation des manuels et guides</v>
      </c>
      <c r="B1940" s="46"/>
      <c r="C1940" s="386">
        <f>C474</f>
        <v>0</v>
      </c>
      <c r="D1940" s="168">
        <f t="shared" si="1468"/>
        <v>0</v>
      </c>
      <c r="E1940" s="168">
        <f t="shared" si="1469"/>
        <v>0</v>
      </c>
      <c r="F1940" s="168">
        <f t="shared" si="1470"/>
        <v>0</v>
      </c>
      <c r="G1940" s="168">
        <f t="shared" si="1471"/>
        <v>247.5</v>
      </c>
      <c r="H1940" s="168">
        <f t="shared" si="1472"/>
        <v>247.5</v>
      </c>
      <c r="I1940" s="166">
        <f t="shared" si="1473"/>
        <v>495</v>
      </c>
      <c r="J1940" s="371" t="str">
        <f t="shared" si="1474"/>
        <v>MAS-DGENF/SENAPEP</v>
      </c>
      <c r="K1940" s="350" t="str">
        <f t="shared" si="1475"/>
        <v>ND</v>
      </c>
      <c r="L1940" s="167">
        <f t="shared" ref="L1940:Q1940" si="1531">L474</f>
        <v>0</v>
      </c>
      <c r="M1940" s="168">
        <f t="shared" si="1531"/>
        <v>0</v>
      </c>
      <c r="N1940" s="168">
        <f t="shared" si="1531"/>
        <v>0</v>
      </c>
      <c r="O1940" s="168">
        <f t="shared" si="1531"/>
        <v>247500</v>
      </c>
      <c r="P1940" s="168">
        <f t="shared" si="1531"/>
        <v>247500</v>
      </c>
      <c r="Q1940" s="165">
        <f t="shared" si="1531"/>
        <v>495000</v>
      </c>
      <c r="R1940" s="198" t="str">
        <f t="shared" ref="R1940:S1940" si="1532">R474</f>
        <v>MAS-DGENF/SENAPEP</v>
      </c>
      <c r="S1940" s="115" t="str">
        <f t="shared" si="1532"/>
        <v>ND</v>
      </c>
      <c r="T1940" s="51">
        <f>T474</f>
        <v>0</v>
      </c>
      <c r="W1940" s="608">
        <f t="shared" si="1477"/>
        <v>495000</v>
      </c>
      <c r="X1940" s="608">
        <f t="shared" si="1478"/>
        <v>0</v>
      </c>
      <c r="Z1940" s="572">
        <f t="shared" si="1513"/>
        <v>0</v>
      </c>
      <c r="AA1940" s="1">
        <f t="shared" si="1514"/>
        <v>0</v>
      </c>
    </row>
    <row r="1941" spans="1:27" x14ac:dyDescent="0.2">
      <c r="A1941" s="14" t="str">
        <f>A476</f>
        <v xml:space="preserve">3.6. Évaluation et certification : mettre en place un système de suivi, d’évaluation et de certification des acquis des apprenants </v>
      </c>
      <c r="B1941" s="44"/>
      <c r="C1941" s="385">
        <f>C476</f>
        <v>0</v>
      </c>
      <c r="D1941" s="217">
        <f t="shared" si="1468"/>
        <v>22</v>
      </c>
      <c r="E1941" s="217">
        <f t="shared" si="1469"/>
        <v>277.2</v>
      </c>
      <c r="F1941" s="217">
        <f t="shared" si="1470"/>
        <v>277.2</v>
      </c>
      <c r="G1941" s="217">
        <f t="shared" si="1471"/>
        <v>0</v>
      </c>
      <c r="H1941" s="217">
        <f t="shared" si="1472"/>
        <v>0</v>
      </c>
      <c r="I1941" s="220">
        <f t="shared" si="1473"/>
        <v>576.4</v>
      </c>
      <c r="J1941" s="373">
        <f t="shared" si="1474"/>
        <v>0</v>
      </c>
      <c r="K1941" s="346">
        <f t="shared" si="1475"/>
        <v>0</v>
      </c>
      <c r="L1941" s="33">
        <f t="shared" ref="L1941:Q1941" si="1533">L1942+L1944+L1946</f>
        <v>22000</v>
      </c>
      <c r="M1941" s="32">
        <f t="shared" si="1533"/>
        <v>277200</v>
      </c>
      <c r="N1941" s="32">
        <f t="shared" si="1533"/>
        <v>277200</v>
      </c>
      <c r="O1941" s="32">
        <f t="shared" si="1533"/>
        <v>0</v>
      </c>
      <c r="P1941" s="32">
        <f t="shared" si="1533"/>
        <v>0</v>
      </c>
      <c r="Q1941" s="25">
        <f t="shared" si="1533"/>
        <v>576400</v>
      </c>
      <c r="R1941" s="16">
        <f t="shared" ref="R1941:S1941" si="1534">R1942+R1944+R1946</f>
        <v>0</v>
      </c>
      <c r="S1941" s="15">
        <f t="shared" si="1534"/>
        <v>0</v>
      </c>
      <c r="T1941" s="112">
        <f>T476</f>
        <v>2</v>
      </c>
      <c r="W1941" s="608">
        <f t="shared" si="1477"/>
        <v>576400</v>
      </c>
      <c r="X1941" s="608">
        <f t="shared" si="1478"/>
        <v>0</v>
      </c>
      <c r="Z1941" s="572">
        <f t="shared" si="1513"/>
        <v>0</v>
      </c>
      <c r="AA1941" s="1">
        <f t="shared" si="1514"/>
        <v>0</v>
      </c>
    </row>
    <row r="1942" spans="1:27" x14ac:dyDescent="0.2">
      <c r="A1942" s="17" t="str">
        <f>A477</f>
        <v>3.6.1 Harmonisation des outils de suivi et d'évaluation des apprenants</v>
      </c>
      <c r="B1942" s="45"/>
      <c r="C1942" s="386" t="str">
        <f>C477</f>
        <v>Outils élaborés et opérationnels en 2017</v>
      </c>
      <c r="D1942" s="157">
        <f t="shared" si="1468"/>
        <v>11</v>
      </c>
      <c r="E1942" s="157">
        <f t="shared" si="1469"/>
        <v>0</v>
      </c>
      <c r="F1942" s="157">
        <f t="shared" si="1470"/>
        <v>0</v>
      </c>
      <c r="G1942" s="157">
        <f t="shared" si="1471"/>
        <v>0</v>
      </c>
      <c r="H1942" s="157">
        <f t="shared" si="1472"/>
        <v>0</v>
      </c>
      <c r="I1942" s="160">
        <f t="shared" si="1473"/>
        <v>11</v>
      </c>
      <c r="J1942" s="374">
        <f t="shared" si="1474"/>
        <v>0</v>
      </c>
      <c r="K1942" s="348">
        <f t="shared" si="1475"/>
        <v>0</v>
      </c>
      <c r="L1942" s="35">
        <f t="shared" ref="L1942:S1942" si="1535">SUM(L1943:L1943)</f>
        <v>11000</v>
      </c>
      <c r="M1942" s="34">
        <f t="shared" si="1535"/>
        <v>0</v>
      </c>
      <c r="N1942" s="34">
        <f t="shared" si="1535"/>
        <v>0</v>
      </c>
      <c r="O1942" s="34">
        <f t="shared" si="1535"/>
        <v>0</v>
      </c>
      <c r="P1942" s="34">
        <f t="shared" si="1535"/>
        <v>0</v>
      </c>
      <c r="Q1942" s="26">
        <f t="shared" si="1535"/>
        <v>11000</v>
      </c>
      <c r="R1942" s="19">
        <f t="shared" si="1535"/>
        <v>0</v>
      </c>
      <c r="S1942" s="18">
        <f t="shared" si="1535"/>
        <v>0</v>
      </c>
      <c r="T1942" s="51">
        <f>T477</f>
        <v>0</v>
      </c>
      <c r="W1942" s="608">
        <f t="shared" si="1477"/>
        <v>11000</v>
      </c>
      <c r="X1942" s="608">
        <f t="shared" si="1478"/>
        <v>0</v>
      </c>
      <c r="Z1942" s="572">
        <f t="shared" si="1513"/>
        <v>0</v>
      </c>
      <c r="AA1942" s="1">
        <f t="shared" si="1514"/>
        <v>0</v>
      </c>
    </row>
    <row r="1943" spans="1:27" x14ac:dyDescent="0.2">
      <c r="A1943" s="20" t="str">
        <f>A478</f>
        <v xml:space="preserve">3.6.1.1 Standardisation des outils de suivi et d'évaluation des apprenants </v>
      </c>
      <c r="B1943" s="46"/>
      <c r="C1943" s="386">
        <f>C478</f>
        <v>0</v>
      </c>
      <c r="D1943" s="168">
        <f t="shared" si="1468"/>
        <v>11</v>
      </c>
      <c r="E1943" s="168">
        <f t="shared" si="1469"/>
        <v>0</v>
      </c>
      <c r="F1943" s="168">
        <f t="shared" si="1470"/>
        <v>0</v>
      </c>
      <c r="G1943" s="168">
        <f t="shared" si="1471"/>
        <v>0</v>
      </c>
      <c r="H1943" s="168">
        <f t="shared" si="1472"/>
        <v>0</v>
      </c>
      <c r="I1943" s="166">
        <f t="shared" si="1473"/>
        <v>11</v>
      </c>
      <c r="J1943" s="371" t="str">
        <f t="shared" si="1474"/>
        <v>MAS-DGENF-DIC</v>
      </c>
      <c r="K1943" s="350" t="str">
        <f t="shared" si="1475"/>
        <v>ND</v>
      </c>
      <c r="L1943" s="167">
        <f t="shared" ref="L1943:Q1943" si="1536">L478</f>
        <v>11000</v>
      </c>
      <c r="M1943" s="168">
        <f t="shared" si="1536"/>
        <v>0</v>
      </c>
      <c r="N1943" s="168">
        <f t="shared" si="1536"/>
        <v>0</v>
      </c>
      <c r="O1943" s="168">
        <f t="shared" si="1536"/>
        <v>0</v>
      </c>
      <c r="P1943" s="168">
        <f t="shared" si="1536"/>
        <v>0</v>
      </c>
      <c r="Q1943" s="165">
        <f t="shared" si="1536"/>
        <v>11000</v>
      </c>
      <c r="R1943" s="198" t="str">
        <f t="shared" ref="R1943:S1943" si="1537">R478</f>
        <v>MAS-DGENF-DIC</v>
      </c>
      <c r="S1943" s="115" t="str">
        <f t="shared" si="1537"/>
        <v>ND</v>
      </c>
      <c r="T1943" s="51">
        <f>T478</f>
        <v>0</v>
      </c>
      <c r="W1943" s="608">
        <f t="shared" si="1477"/>
        <v>11000</v>
      </c>
      <c r="X1943" s="608">
        <f t="shared" si="1478"/>
        <v>0</v>
      </c>
      <c r="Z1943" s="572">
        <f t="shared" si="1513"/>
        <v>0</v>
      </c>
      <c r="AA1943" s="1">
        <f t="shared" si="1514"/>
        <v>0</v>
      </c>
    </row>
    <row r="1944" spans="1:27" x14ac:dyDescent="0.2">
      <c r="A1944" s="17" t="str">
        <f>A482</f>
        <v>3.6.2 Document de certification, en concertation avec les parties concernées</v>
      </c>
      <c r="B1944" s="45"/>
      <c r="C1944" s="386" t="str">
        <f>C482</f>
        <v>Un document de certification opérationnel en 2017</v>
      </c>
      <c r="D1944" s="157">
        <f t="shared" si="1468"/>
        <v>11</v>
      </c>
      <c r="E1944" s="157">
        <f t="shared" si="1469"/>
        <v>0</v>
      </c>
      <c r="F1944" s="157">
        <f t="shared" si="1470"/>
        <v>0</v>
      </c>
      <c r="G1944" s="157">
        <f t="shared" si="1471"/>
        <v>0</v>
      </c>
      <c r="H1944" s="157">
        <f t="shared" si="1472"/>
        <v>0</v>
      </c>
      <c r="I1944" s="160">
        <f t="shared" si="1473"/>
        <v>11</v>
      </c>
      <c r="J1944" s="374">
        <f t="shared" si="1474"/>
        <v>0</v>
      </c>
      <c r="K1944" s="348">
        <f t="shared" si="1475"/>
        <v>0</v>
      </c>
      <c r="L1944" s="35">
        <f t="shared" ref="L1944:S1944" si="1538">SUM(L1945:L1945)</f>
        <v>11000</v>
      </c>
      <c r="M1944" s="34">
        <f t="shared" si="1538"/>
        <v>0</v>
      </c>
      <c r="N1944" s="34">
        <f t="shared" si="1538"/>
        <v>0</v>
      </c>
      <c r="O1944" s="34">
        <f t="shared" si="1538"/>
        <v>0</v>
      </c>
      <c r="P1944" s="34">
        <f t="shared" si="1538"/>
        <v>0</v>
      </c>
      <c r="Q1944" s="26">
        <f t="shared" si="1538"/>
        <v>11000</v>
      </c>
      <c r="R1944" s="19">
        <f t="shared" si="1538"/>
        <v>0</v>
      </c>
      <c r="S1944" s="18">
        <f t="shared" si="1538"/>
        <v>0</v>
      </c>
      <c r="T1944" s="51">
        <f>T482</f>
        <v>0</v>
      </c>
      <c r="W1944" s="608">
        <f t="shared" si="1477"/>
        <v>11000</v>
      </c>
      <c r="X1944" s="608">
        <f t="shared" si="1478"/>
        <v>0</v>
      </c>
      <c r="Z1944" s="572">
        <f t="shared" si="1513"/>
        <v>0</v>
      </c>
      <c r="AA1944" s="1">
        <f t="shared" si="1514"/>
        <v>0</v>
      </c>
    </row>
    <row r="1945" spans="1:27" x14ac:dyDescent="0.2">
      <c r="A1945" s="20" t="str">
        <f>A483</f>
        <v xml:space="preserve">3.6.2.1 Standardisation des documents de certification </v>
      </c>
      <c r="B1945" s="46"/>
      <c r="C1945" s="386">
        <f>C483</f>
        <v>0</v>
      </c>
      <c r="D1945" s="168">
        <f t="shared" si="1468"/>
        <v>11</v>
      </c>
      <c r="E1945" s="168">
        <f t="shared" si="1469"/>
        <v>0</v>
      </c>
      <c r="F1945" s="168">
        <f t="shared" si="1470"/>
        <v>0</v>
      </c>
      <c r="G1945" s="168">
        <f t="shared" si="1471"/>
        <v>0</v>
      </c>
      <c r="H1945" s="168">
        <f t="shared" si="1472"/>
        <v>0</v>
      </c>
      <c r="I1945" s="166">
        <f t="shared" si="1473"/>
        <v>11</v>
      </c>
      <c r="J1945" s="371" t="str">
        <f t="shared" si="1474"/>
        <v>MAS-DGENF-DIC/EPS-IG</v>
      </c>
      <c r="K1945" s="350" t="str">
        <f t="shared" si="1475"/>
        <v>ND</v>
      </c>
      <c r="L1945" s="167">
        <f t="shared" ref="L1945:Q1945" si="1539">L483</f>
        <v>11000</v>
      </c>
      <c r="M1945" s="168">
        <f t="shared" si="1539"/>
        <v>0</v>
      </c>
      <c r="N1945" s="168">
        <f t="shared" si="1539"/>
        <v>0</v>
      </c>
      <c r="O1945" s="168">
        <f t="shared" si="1539"/>
        <v>0</v>
      </c>
      <c r="P1945" s="168">
        <f t="shared" si="1539"/>
        <v>0</v>
      </c>
      <c r="Q1945" s="165">
        <f t="shared" si="1539"/>
        <v>11000</v>
      </c>
      <c r="R1945" s="198" t="str">
        <f t="shared" ref="R1945:S1945" si="1540">R483</f>
        <v>MAS-DGENF-DIC/EPS-IG</v>
      </c>
      <c r="S1945" s="115" t="str">
        <f t="shared" si="1540"/>
        <v>ND</v>
      </c>
      <c r="T1945" s="51">
        <f>T483</f>
        <v>0</v>
      </c>
      <c r="W1945" s="608">
        <f t="shared" si="1477"/>
        <v>11000</v>
      </c>
      <c r="X1945" s="608">
        <f t="shared" si="1478"/>
        <v>0</v>
      </c>
      <c r="Z1945" s="572">
        <f t="shared" si="1513"/>
        <v>0</v>
      </c>
      <c r="AA1945" s="1">
        <f t="shared" si="1514"/>
        <v>0</v>
      </c>
    </row>
    <row r="1946" spans="1:27" x14ac:dyDescent="0.2">
      <c r="A1946" s="17" t="str">
        <f>A487</f>
        <v>3.6.3 Formation des inspecteurs aux outils de suivi et d'évaluation aux documents de certification</v>
      </c>
      <c r="B1946" s="45"/>
      <c r="C1946" s="386" t="str">
        <f>C487</f>
        <v>Modules de formation mis au point en 2017</v>
      </c>
      <c r="D1946" s="157">
        <f t="shared" si="1468"/>
        <v>0</v>
      </c>
      <c r="E1946" s="157">
        <f t="shared" si="1469"/>
        <v>277.2</v>
      </c>
      <c r="F1946" s="157">
        <f t="shared" si="1470"/>
        <v>277.2</v>
      </c>
      <c r="G1946" s="157">
        <f t="shared" si="1471"/>
        <v>0</v>
      </c>
      <c r="H1946" s="157">
        <f t="shared" si="1472"/>
        <v>0</v>
      </c>
      <c r="I1946" s="160">
        <f t="shared" si="1473"/>
        <v>554.4</v>
      </c>
      <c r="J1946" s="374">
        <f t="shared" si="1474"/>
        <v>0</v>
      </c>
      <c r="K1946" s="348">
        <f t="shared" si="1475"/>
        <v>0</v>
      </c>
      <c r="L1946" s="35">
        <f t="shared" ref="L1946:Q1946" si="1541">SUM(L1947:L1948)</f>
        <v>0</v>
      </c>
      <c r="M1946" s="34">
        <f t="shared" si="1541"/>
        <v>277200</v>
      </c>
      <c r="N1946" s="34">
        <f t="shared" si="1541"/>
        <v>277200</v>
      </c>
      <c r="O1946" s="34">
        <f t="shared" si="1541"/>
        <v>0</v>
      </c>
      <c r="P1946" s="34">
        <f t="shared" si="1541"/>
        <v>0</v>
      </c>
      <c r="Q1946" s="26">
        <f t="shared" si="1541"/>
        <v>554400</v>
      </c>
      <c r="R1946" s="19">
        <f t="shared" ref="R1946:S1946" si="1542">SUM(R1947:R1948)</f>
        <v>0</v>
      </c>
      <c r="S1946" s="18">
        <f t="shared" si="1542"/>
        <v>0</v>
      </c>
      <c r="T1946" s="51">
        <f>T487</f>
        <v>0</v>
      </c>
      <c r="W1946" s="608">
        <f t="shared" si="1477"/>
        <v>554400</v>
      </c>
      <c r="X1946" s="608">
        <f t="shared" si="1478"/>
        <v>0</v>
      </c>
      <c r="Y1946" s="572" t="s">
        <v>1512</v>
      </c>
      <c r="Z1946" s="572">
        <f t="shared" si="1513"/>
        <v>554.4</v>
      </c>
      <c r="AA1946" s="1">
        <f t="shared" si="1514"/>
        <v>0</v>
      </c>
    </row>
    <row r="1947" spans="1:27" x14ac:dyDescent="0.2">
      <c r="A1947" s="20" t="str">
        <f>A488</f>
        <v>3.6.3.1 Formation des inspecteurs des Affaires sociales (alphabétisation, rattrapage scolaire et apprentissage professionnel)</v>
      </c>
      <c r="B1947" s="46"/>
      <c r="C1947" s="386">
        <f>C488</f>
        <v>0</v>
      </c>
      <c r="D1947" s="168">
        <f t="shared" si="1468"/>
        <v>0</v>
      </c>
      <c r="E1947" s="168">
        <f t="shared" si="1469"/>
        <v>264</v>
      </c>
      <c r="F1947" s="168">
        <f t="shared" si="1470"/>
        <v>264</v>
      </c>
      <c r="G1947" s="168">
        <f t="shared" si="1471"/>
        <v>0</v>
      </c>
      <c r="H1947" s="168">
        <f t="shared" si="1472"/>
        <v>0</v>
      </c>
      <c r="I1947" s="166">
        <f t="shared" si="1473"/>
        <v>528</v>
      </c>
      <c r="J1947" s="371" t="str">
        <f t="shared" si="1474"/>
        <v>MAS-DGENF-DIC/EPS-IG</v>
      </c>
      <c r="K1947" s="350" t="str">
        <f t="shared" si="1475"/>
        <v>ND</v>
      </c>
      <c r="L1947" s="167">
        <f t="shared" ref="L1947:Q1947" si="1543">L488</f>
        <v>0</v>
      </c>
      <c r="M1947" s="168">
        <f t="shared" si="1543"/>
        <v>264000</v>
      </c>
      <c r="N1947" s="168">
        <f t="shared" si="1543"/>
        <v>264000</v>
      </c>
      <c r="O1947" s="168">
        <f t="shared" si="1543"/>
        <v>0</v>
      </c>
      <c r="P1947" s="168">
        <f t="shared" si="1543"/>
        <v>0</v>
      </c>
      <c r="Q1947" s="165">
        <f t="shared" si="1543"/>
        <v>528000</v>
      </c>
      <c r="R1947" s="198" t="str">
        <f t="shared" ref="R1947:S1947" si="1544">R488</f>
        <v>MAS-DGENF-DIC/EPS-IG</v>
      </c>
      <c r="S1947" s="115" t="str">
        <f t="shared" si="1544"/>
        <v>ND</v>
      </c>
      <c r="T1947" s="51">
        <f>T488</f>
        <v>0</v>
      </c>
      <c r="W1947" s="608">
        <f t="shared" si="1477"/>
        <v>528000</v>
      </c>
      <c r="X1947" s="608">
        <f t="shared" si="1478"/>
        <v>0</v>
      </c>
      <c r="Y1947" s="572" t="s">
        <v>1512</v>
      </c>
      <c r="Z1947" s="572">
        <f t="shared" si="1513"/>
        <v>528</v>
      </c>
      <c r="AA1947" s="1">
        <f t="shared" si="1514"/>
        <v>0</v>
      </c>
    </row>
    <row r="1948" spans="1:27" x14ac:dyDescent="0.2">
      <c r="A1948" s="20" t="str">
        <f>A490</f>
        <v>3.6.3.2 Formation des inspecteurs de l'EPSINC (rattrapage scolaire)</v>
      </c>
      <c r="B1948" s="46"/>
      <c r="C1948" s="386">
        <f>C490</f>
        <v>0</v>
      </c>
      <c r="D1948" s="168">
        <f t="shared" si="1468"/>
        <v>0</v>
      </c>
      <c r="E1948" s="168">
        <f t="shared" si="1469"/>
        <v>13.2</v>
      </c>
      <c r="F1948" s="168">
        <f t="shared" si="1470"/>
        <v>13.2</v>
      </c>
      <c r="G1948" s="168">
        <f t="shared" si="1471"/>
        <v>0</v>
      </c>
      <c r="H1948" s="168">
        <f t="shared" si="1472"/>
        <v>0</v>
      </c>
      <c r="I1948" s="166">
        <f t="shared" si="1473"/>
        <v>26.4</v>
      </c>
      <c r="J1948" s="371" t="str">
        <f t="shared" si="1474"/>
        <v>MAS-DGENF-DIC/EPS-IG</v>
      </c>
      <c r="K1948" s="350" t="str">
        <f t="shared" si="1475"/>
        <v>ND</v>
      </c>
      <c r="L1948" s="167">
        <f t="shared" ref="L1948:Q1948" si="1545">L490</f>
        <v>0</v>
      </c>
      <c r="M1948" s="168">
        <f t="shared" si="1545"/>
        <v>13200</v>
      </c>
      <c r="N1948" s="168">
        <f t="shared" si="1545"/>
        <v>13200</v>
      </c>
      <c r="O1948" s="168">
        <f t="shared" si="1545"/>
        <v>0</v>
      </c>
      <c r="P1948" s="168">
        <f t="shared" si="1545"/>
        <v>0</v>
      </c>
      <c r="Q1948" s="165">
        <f t="shared" si="1545"/>
        <v>26400</v>
      </c>
      <c r="R1948" s="198" t="str">
        <f t="shared" ref="R1948:S1948" si="1546">R490</f>
        <v>MAS-DGENF-DIC/EPS-IG</v>
      </c>
      <c r="S1948" s="115" t="str">
        <f t="shared" si="1546"/>
        <v>ND</v>
      </c>
      <c r="T1948" s="51">
        <f>T490</f>
        <v>0</v>
      </c>
      <c r="W1948" s="608">
        <f t="shared" si="1477"/>
        <v>26400</v>
      </c>
      <c r="X1948" s="608">
        <f t="shared" si="1478"/>
        <v>0</v>
      </c>
      <c r="Y1948" s="572" t="s">
        <v>1512</v>
      </c>
      <c r="Z1948" s="572">
        <f t="shared" si="1513"/>
        <v>26.4</v>
      </c>
      <c r="AA1948" s="1">
        <f t="shared" si="1514"/>
        <v>0</v>
      </c>
    </row>
    <row r="1949" spans="1:27" x14ac:dyDescent="0.2">
      <c r="A1949" s="14" t="str">
        <f>A492</f>
        <v>3.7 Formation et rémunération des animateurs : former les enseignants et assurer leur rémunération</v>
      </c>
      <c r="B1949" s="44"/>
      <c r="C1949" s="385"/>
      <c r="D1949" s="217">
        <f t="shared" si="1468"/>
        <v>9456.1780159834252</v>
      </c>
      <c r="E1949" s="217">
        <f t="shared" si="1469"/>
        <v>9223.832872319972</v>
      </c>
      <c r="F1949" s="217">
        <f t="shared" si="1470"/>
        <v>10434.144047269217</v>
      </c>
      <c r="G1949" s="217">
        <f t="shared" si="1471"/>
        <v>10124.819302845683</v>
      </c>
      <c r="H1949" s="217">
        <f t="shared" si="1472"/>
        <v>11177.679711646975</v>
      </c>
      <c r="I1949" s="220">
        <f t="shared" si="1473"/>
        <v>50416.653950065273</v>
      </c>
      <c r="J1949" s="373">
        <f t="shared" si="1474"/>
        <v>0</v>
      </c>
      <c r="K1949" s="346">
        <f t="shared" si="1475"/>
        <v>0</v>
      </c>
      <c r="L1949" s="33">
        <f t="shared" ref="L1949:Q1949" si="1547">L1950+L1954+L1956</f>
        <v>9456178.0159834251</v>
      </c>
      <c r="M1949" s="32">
        <f t="shared" si="1547"/>
        <v>9223832.8723199721</v>
      </c>
      <c r="N1949" s="32">
        <f t="shared" si="1547"/>
        <v>10434144.047269218</v>
      </c>
      <c r="O1949" s="32">
        <f t="shared" si="1547"/>
        <v>10124819.302845683</v>
      </c>
      <c r="P1949" s="32">
        <f t="shared" si="1547"/>
        <v>11177679.711646976</v>
      </c>
      <c r="Q1949" s="25">
        <f t="shared" si="1547"/>
        <v>50416653.95006527</v>
      </c>
      <c r="R1949" s="16">
        <f t="shared" ref="R1949:S1949" si="1548">R1950+R1954+R1956</f>
        <v>0</v>
      </c>
      <c r="S1949" s="15">
        <f t="shared" si="1548"/>
        <v>0</v>
      </c>
      <c r="T1949" s="112">
        <f>T492</f>
        <v>0</v>
      </c>
      <c r="W1949" s="608">
        <f t="shared" si="1477"/>
        <v>50416653.95006527</v>
      </c>
      <c r="X1949" s="608">
        <f t="shared" si="1478"/>
        <v>0</v>
      </c>
      <c r="Y1949" s="572" t="s">
        <v>1512</v>
      </c>
      <c r="Z1949" s="572">
        <f t="shared" si="1513"/>
        <v>50416.653950065273</v>
      </c>
      <c r="AA1949" s="1">
        <f t="shared" si="1514"/>
        <v>0</v>
      </c>
    </row>
    <row r="1950" spans="1:27" x14ac:dyDescent="0.2">
      <c r="A1950" s="17" t="str">
        <f>A493</f>
        <v>3.7.1 Actualisation des modules de formation</v>
      </c>
      <c r="B1950" s="45"/>
      <c r="C1950" s="386" t="str">
        <f>C493</f>
        <v>Tous les enseignants reçoivent une semaine de formation tous les deux ans</v>
      </c>
      <c r="D1950" s="157">
        <f t="shared" si="1468"/>
        <v>20</v>
      </c>
      <c r="E1950" s="157">
        <f t="shared" si="1469"/>
        <v>10</v>
      </c>
      <c r="F1950" s="157">
        <f t="shared" si="1470"/>
        <v>0</v>
      </c>
      <c r="G1950" s="157">
        <f t="shared" si="1471"/>
        <v>0</v>
      </c>
      <c r="H1950" s="157">
        <f t="shared" si="1472"/>
        <v>0</v>
      </c>
      <c r="I1950" s="160">
        <f t="shared" si="1473"/>
        <v>30</v>
      </c>
      <c r="J1950" s="374">
        <f t="shared" si="1474"/>
        <v>0</v>
      </c>
      <c r="K1950" s="348">
        <f t="shared" si="1475"/>
        <v>0</v>
      </c>
      <c r="L1950" s="35">
        <f t="shared" ref="L1950:Q1950" si="1549">SUM(L1951:L1953)</f>
        <v>20000</v>
      </c>
      <c r="M1950" s="34">
        <f t="shared" si="1549"/>
        <v>10000</v>
      </c>
      <c r="N1950" s="34">
        <f t="shared" si="1549"/>
        <v>0</v>
      </c>
      <c r="O1950" s="34">
        <f t="shared" si="1549"/>
        <v>0</v>
      </c>
      <c r="P1950" s="34">
        <f t="shared" si="1549"/>
        <v>0</v>
      </c>
      <c r="Q1950" s="26">
        <f t="shared" si="1549"/>
        <v>30000</v>
      </c>
      <c r="R1950" s="19">
        <f t="shared" ref="R1950:S1950" si="1550">SUM(R1951:R1953)</f>
        <v>0</v>
      </c>
      <c r="S1950" s="18">
        <f t="shared" si="1550"/>
        <v>0</v>
      </c>
      <c r="T1950" s="51">
        <f>T493</f>
        <v>2</v>
      </c>
      <c r="W1950" s="608">
        <f t="shared" si="1477"/>
        <v>30000</v>
      </c>
      <c r="X1950" s="608">
        <f t="shared" si="1478"/>
        <v>0</v>
      </c>
      <c r="Y1950" s="572" t="s">
        <v>1512</v>
      </c>
      <c r="Z1950" s="572">
        <f t="shared" si="1513"/>
        <v>30</v>
      </c>
      <c r="AA1950" s="1">
        <f t="shared" si="1514"/>
        <v>0</v>
      </c>
    </row>
    <row r="1951" spans="1:27" x14ac:dyDescent="0.2">
      <c r="A1951" s="20" t="str">
        <f>A494</f>
        <v xml:space="preserve">3.7.1.1 Actualisation des modules de formation de rattrapage scolaire </v>
      </c>
      <c r="B1951" s="46"/>
      <c r="C1951" s="386">
        <f>C494</f>
        <v>0</v>
      </c>
      <c r="D1951" s="168">
        <f t="shared" si="1468"/>
        <v>10</v>
      </c>
      <c r="E1951" s="168">
        <f t="shared" si="1469"/>
        <v>0</v>
      </c>
      <c r="F1951" s="168">
        <f t="shared" si="1470"/>
        <v>0</v>
      </c>
      <c r="G1951" s="168">
        <f t="shared" si="1471"/>
        <v>0</v>
      </c>
      <c r="H1951" s="168">
        <f t="shared" si="1472"/>
        <v>0</v>
      </c>
      <c r="I1951" s="166">
        <f t="shared" si="1473"/>
        <v>10</v>
      </c>
      <c r="J1951" s="371" t="str">
        <f t="shared" si="1474"/>
        <v>MAS-DGENF-DIC/EPS-DIPROMAD</v>
      </c>
      <c r="K1951" s="350" t="str">
        <f t="shared" si="1475"/>
        <v>ND</v>
      </c>
      <c r="L1951" s="167">
        <f t="shared" ref="L1951:Q1951" si="1551">L494</f>
        <v>10000</v>
      </c>
      <c r="M1951" s="168">
        <f t="shared" si="1551"/>
        <v>0</v>
      </c>
      <c r="N1951" s="168">
        <f t="shared" si="1551"/>
        <v>0</v>
      </c>
      <c r="O1951" s="168">
        <f t="shared" si="1551"/>
        <v>0</v>
      </c>
      <c r="P1951" s="168">
        <f t="shared" si="1551"/>
        <v>0</v>
      </c>
      <c r="Q1951" s="165">
        <f t="shared" si="1551"/>
        <v>10000</v>
      </c>
      <c r="R1951" s="198" t="str">
        <f t="shared" ref="R1951:S1951" si="1552">R494</f>
        <v>MAS-DGENF-DIC/EPS-DIPROMAD</v>
      </c>
      <c r="S1951" s="115" t="str">
        <f t="shared" si="1552"/>
        <v>ND</v>
      </c>
      <c r="T1951" s="51">
        <f>T494</f>
        <v>2</v>
      </c>
      <c r="W1951" s="608">
        <f t="shared" si="1477"/>
        <v>10000</v>
      </c>
      <c r="X1951" s="608">
        <f t="shared" si="1478"/>
        <v>0</v>
      </c>
      <c r="Y1951" s="572" t="s">
        <v>1512</v>
      </c>
      <c r="Z1951" s="572">
        <f t="shared" si="1513"/>
        <v>10</v>
      </c>
      <c r="AA1951" s="1">
        <f t="shared" si="1514"/>
        <v>0</v>
      </c>
    </row>
    <row r="1952" spans="1:27" x14ac:dyDescent="0.2">
      <c r="A1952" s="20" t="str">
        <f>A497</f>
        <v>3.7.1.2 Actualisation des modules de formation d'alphabétisation</v>
      </c>
      <c r="B1952" s="46"/>
      <c r="C1952" s="386">
        <f>C497</f>
        <v>0</v>
      </c>
      <c r="D1952" s="168">
        <f t="shared" si="1468"/>
        <v>10</v>
      </c>
      <c r="E1952" s="168">
        <f t="shared" si="1469"/>
        <v>0</v>
      </c>
      <c r="F1952" s="168">
        <f t="shared" si="1470"/>
        <v>0</v>
      </c>
      <c r="G1952" s="168">
        <f t="shared" si="1471"/>
        <v>0</v>
      </c>
      <c r="H1952" s="168">
        <f t="shared" si="1472"/>
        <v>0</v>
      </c>
      <c r="I1952" s="166">
        <f t="shared" si="1473"/>
        <v>10</v>
      </c>
      <c r="J1952" s="371" t="str">
        <f t="shared" si="1474"/>
        <v>MAS-DGENF-DIC/EPS-DIPROMAD</v>
      </c>
      <c r="K1952" s="350" t="str">
        <f t="shared" si="1475"/>
        <v>ND</v>
      </c>
      <c r="L1952" s="167">
        <f t="shared" ref="L1952:Q1952" si="1553">L497</f>
        <v>10000</v>
      </c>
      <c r="M1952" s="168">
        <f t="shared" si="1553"/>
        <v>0</v>
      </c>
      <c r="N1952" s="168">
        <f t="shared" si="1553"/>
        <v>0</v>
      </c>
      <c r="O1952" s="168">
        <f t="shared" si="1553"/>
        <v>0</v>
      </c>
      <c r="P1952" s="168">
        <f t="shared" si="1553"/>
        <v>0</v>
      </c>
      <c r="Q1952" s="165">
        <f t="shared" si="1553"/>
        <v>10000</v>
      </c>
      <c r="R1952" s="198" t="str">
        <f t="shared" ref="R1952:S1952" si="1554">R497</f>
        <v>MAS-DGENF-DIC/EPS-DIPROMAD</v>
      </c>
      <c r="S1952" s="115" t="str">
        <f t="shared" si="1554"/>
        <v>ND</v>
      </c>
      <c r="T1952" s="51">
        <f>T497</f>
        <v>2</v>
      </c>
      <c r="W1952" s="608">
        <f t="shared" si="1477"/>
        <v>10000</v>
      </c>
      <c r="X1952" s="608">
        <f t="shared" si="1478"/>
        <v>0</v>
      </c>
      <c r="Y1952" s="572" t="s">
        <v>1512</v>
      </c>
      <c r="Z1952" s="572">
        <f t="shared" si="1513"/>
        <v>10</v>
      </c>
      <c r="AA1952" s="1">
        <f t="shared" si="1514"/>
        <v>0</v>
      </c>
    </row>
    <row r="1953" spans="1:27" x14ac:dyDescent="0.2">
      <c r="A1953" s="20" t="str">
        <f>A500</f>
        <v>3.7.1.3 Actualisation des modules de formation d'apprentissage professionnel</v>
      </c>
      <c r="B1953" s="46"/>
      <c r="C1953" s="386">
        <f>C500</f>
        <v>0</v>
      </c>
      <c r="D1953" s="168">
        <f t="shared" si="1468"/>
        <v>0</v>
      </c>
      <c r="E1953" s="168">
        <f t="shared" si="1469"/>
        <v>10</v>
      </c>
      <c r="F1953" s="168">
        <f t="shared" si="1470"/>
        <v>0</v>
      </c>
      <c r="G1953" s="168">
        <f t="shared" si="1471"/>
        <v>0</v>
      </c>
      <c r="H1953" s="168">
        <f t="shared" si="1472"/>
        <v>0</v>
      </c>
      <c r="I1953" s="166">
        <f t="shared" si="1473"/>
        <v>10</v>
      </c>
      <c r="J1953" s="371" t="str">
        <f t="shared" si="1474"/>
        <v>MAS-DGENF-DIC/ETP</v>
      </c>
      <c r="K1953" s="350" t="str">
        <f t="shared" si="1475"/>
        <v>ND</v>
      </c>
      <c r="L1953" s="167">
        <f t="shared" ref="L1953:Q1953" si="1555">L500</f>
        <v>0</v>
      </c>
      <c r="M1953" s="168">
        <f t="shared" si="1555"/>
        <v>10000</v>
      </c>
      <c r="N1953" s="168">
        <f t="shared" si="1555"/>
        <v>0</v>
      </c>
      <c r="O1953" s="168">
        <f t="shared" si="1555"/>
        <v>0</v>
      </c>
      <c r="P1953" s="168">
        <f t="shared" si="1555"/>
        <v>0</v>
      </c>
      <c r="Q1953" s="165">
        <f t="shared" si="1555"/>
        <v>10000</v>
      </c>
      <c r="R1953" s="198" t="str">
        <f t="shared" ref="R1953:S1953" si="1556">R500</f>
        <v>MAS-DGENF-DIC/ETP</v>
      </c>
      <c r="S1953" s="115" t="str">
        <f t="shared" si="1556"/>
        <v>ND</v>
      </c>
      <c r="T1953" s="51">
        <f>T500</f>
        <v>2</v>
      </c>
      <c r="W1953" s="608">
        <f t="shared" si="1477"/>
        <v>10000</v>
      </c>
      <c r="X1953" s="608">
        <f t="shared" si="1478"/>
        <v>0</v>
      </c>
      <c r="Y1953" s="572" t="s">
        <v>1512</v>
      </c>
      <c r="Z1953" s="572">
        <f t="shared" si="1513"/>
        <v>10</v>
      </c>
      <c r="AA1953" s="1">
        <f t="shared" si="1514"/>
        <v>0</v>
      </c>
    </row>
    <row r="1954" spans="1:27" x14ac:dyDescent="0.2">
      <c r="A1954" s="17" t="str">
        <f>A503</f>
        <v>3.7.2 Formation des éducateurs sociaux</v>
      </c>
      <c r="B1954" s="45"/>
      <c r="C1954" s="386" t="str">
        <f>C503</f>
        <v>Tous les enseignants reçoivent une semaine de formation tous les deux ans</v>
      </c>
      <c r="D1954" s="157">
        <f t="shared" si="1468"/>
        <v>726</v>
      </c>
      <c r="E1954" s="157">
        <f t="shared" si="1469"/>
        <v>0</v>
      </c>
      <c r="F1954" s="157">
        <f t="shared" si="1470"/>
        <v>726</v>
      </c>
      <c r="G1954" s="157">
        <f t="shared" si="1471"/>
        <v>0</v>
      </c>
      <c r="H1954" s="157">
        <f t="shared" si="1472"/>
        <v>726</v>
      </c>
      <c r="I1954" s="160">
        <f t="shared" si="1473"/>
        <v>2178</v>
      </c>
      <c r="J1954" s="374">
        <f t="shared" si="1474"/>
        <v>0</v>
      </c>
      <c r="K1954" s="348">
        <f t="shared" si="1475"/>
        <v>0</v>
      </c>
      <c r="L1954" s="35">
        <f t="shared" ref="L1954:S1954" si="1557">SUM(L1955:L1955)</f>
        <v>726000</v>
      </c>
      <c r="M1954" s="34">
        <f t="shared" si="1557"/>
        <v>0</v>
      </c>
      <c r="N1954" s="34">
        <f t="shared" si="1557"/>
        <v>726000</v>
      </c>
      <c r="O1954" s="34">
        <f t="shared" si="1557"/>
        <v>0</v>
      </c>
      <c r="P1954" s="34">
        <f t="shared" si="1557"/>
        <v>726000</v>
      </c>
      <c r="Q1954" s="26">
        <f t="shared" si="1557"/>
        <v>2178000</v>
      </c>
      <c r="R1954" s="19">
        <f t="shared" si="1557"/>
        <v>0</v>
      </c>
      <c r="S1954" s="116">
        <f t="shared" si="1557"/>
        <v>0</v>
      </c>
      <c r="T1954" s="51">
        <f>T503</f>
        <v>2</v>
      </c>
      <c r="W1954" s="608">
        <f t="shared" si="1477"/>
        <v>2178000</v>
      </c>
      <c r="X1954" s="608">
        <f t="shared" si="1478"/>
        <v>0</v>
      </c>
      <c r="Y1954" s="572" t="s">
        <v>1512</v>
      </c>
      <c r="Z1954" s="572">
        <f t="shared" si="1513"/>
        <v>2178</v>
      </c>
      <c r="AA1954" s="1">
        <f t="shared" si="1514"/>
        <v>0</v>
      </c>
    </row>
    <row r="1955" spans="1:27" x14ac:dyDescent="0.2">
      <c r="A1955" s="20" t="str">
        <f>A504</f>
        <v xml:space="preserve">3.7.2.1 Formation des formateurs des éducateurs sociaux </v>
      </c>
      <c r="B1955" s="46"/>
      <c r="C1955" s="386">
        <f>C504</f>
        <v>0</v>
      </c>
      <c r="D1955" s="168">
        <f t="shared" si="1468"/>
        <v>726</v>
      </c>
      <c r="E1955" s="168">
        <f t="shared" si="1469"/>
        <v>0</v>
      </c>
      <c r="F1955" s="168">
        <f t="shared" si="1470"/>
        <v>726</v>
      </c>
      <c r="G1955" s="168">
        <f t="shared" si="1471"/>
        <v>0</v>
      </c>
      <c r="H1955" s="168">
        <f t="shared" si="1472"/>
        <v>726</v>
      </c>
      <c r="I1955" s="166">
        <f t="shared" si="1473"/>
        <v>2178</v>
      </c>
      <c r="J1955" s="371" t="str">
        <f t="shared" si="1474"/>
        <v>MAS-DGENF/SENAPEP/EPS-DIPROMAD</v>
      </c>
      <c r="K1955" s="350" t="str">
        <f t="shared" si="1475"/>
        <v>ND</v>
      </c>
      <c r="L1955" s="167">
        <f t="shared" ref="L1955:Q1955" si="1558">L504</f>
        <v>726000</v>
      </c>
      <c r="M1955" s="168">
        <f t="shared" si="1558"/>
        <v>0</v>
      </c>
      <c r="N1955" s="168">
        <f t="shared" si="1558"/>
        <v>726000</v>
      </c>
      <c r="O1955" s="168">
        <f t="shared" si="1558"/>
        <v>0</v>
      </c>
      <c r="P1955" s="168">
        <f t="shared" si="1558"/>
        <v>726000</v>
      </c>
      <c r="Q1955" s="165">
        <f t="shared" si="1558"/>
        <v>2178000</v>
      </c>
      <c r="R1955" s="198" t="str">
        <f t="shared" ref="R1955:S1955" si="1559">R504</f>
        <v>MAS-DGENF/SENAPEP/EPS-DIPROMAD</v>
      </c>
      <c r="S1955" s="115" t="str">
        <f t="shared" si="1559"/>
        <v>ND</v>
      </c>
      <c r="T1955" s="51">
        <f>T504</f>
        <v>2</v>
      </c>
      <c r="W1955" s="608">
        <f t="shared" si="1477"/>
        <v>2178000</v>
      </c>
      <c r="X1955" s="608">
        <f t="shared" si="1478"/>
        <v>0</v>
      </c>
      <c r="Y1955" s="572" t="s">
        <v>1512</v>
      </c>
      <c r="Z1955" s="572">
        <f t="shared" si="1513"/>
        <v>2178</v>
      </c>
      <c r="AA1955" s="1">
        <f t="shared" si="1514"/>
        <v>0</v>
      </c>
    </row>
    <row r="1956" spans="1:27" x14ac:dyDescent="0.2">
      <c r="A1956" s="17" t="str">
        <f>A507</f>
        <v>3.7.3 Rémunérer les enseignants</v>
      </c>
      <c r="B1956" s="45"/>
      <c r="C1956" s="386" t="str">
        <f>C507</f>
        <v>Tous les enseignants reçoivent une semaine de formation tous les deux ans</v>
      </c>
      <c r="D1956" s="157">
        <f t="shared" si="1468"/>
        <v>8710.1780159834252</v>
      </c>
      <c r="E1956" s="157">
        <f t="shared" si="1469"/>
        <v>9213.832872319972</v>
      </c>
      <c r="F1956" s="157">
        <f t="shared" si="1470"/>
        <v>9708.1440472692175</v>
      </c>
      <c r="G1956" s="157">
        <f t="shared" si="1471"/>
        <v>10124.819302845683</v>
      </c>
      <c r="H1956" s="157">
        <f t="shared" si="1472"/>
        <v>10451.679711646975</v>
      </c>
      <c r="I1956" s="160">
        <f t="shared" si="1473"/>
        <v>48208.653950065273</v>
      </c>
      <c r="J1956" s="374">
        <f t="shared" si="1474"/>
        <v>0</v>
      </c>
      <c r="K1956" s="348">
        <f t="shared" si="1475"/>
        <v>0</v>
      </c>
      <c r="L1956" s="35">
        <f t="shared" ref="L1956:S1956" si="1560">SUM(L1957:L1957)</f>
        <v>8710178.0159834251</v>
      </c>
      <c r="M1956" s="34">
        <f t="shared" si="1560"/>
        <v>9213832.8723199721</v>
      </c>
      <c r="N1956" s="34">
        <f t="shared" si="1560"/>
        <v>9708144.0472692177</v>
      </c>
      <c r="O1956" s="34">
        <f t="shared" si="1560"/>
        <v>10124819.302845683</v>
      </c>
      <c r="P1956" s="34">
        <f t="shared" si="1560"/>
        <v>10451679.711646976</v>
      </c>
      <c r="Q1956" s="26">
        <f t="shared" si="1560"/>
        <v>48208653.95006527</v>
      </c>
      <c r="R1956" s="19">
        <f t="shared" si="1560"/>
        <v>0</v>
      </c>
      <c r="S1956" s="116">
        <f t="shared" si="1560"/>
        <v>0</v>
      </c>
      <c r="T1956" s="51">
        <f>T507</f>
        <v>1</v>
      </c>
      <c r="W1956" s="608">
        <f t="shared" si="1477"/>
        <v>48208653.95006527</v>
      </c>
      <c r="X1956" s="608">
        <f t="shared" si="1478"/>
        <v>0</v>
      </c>
      <c r="Z1956" s="572">
        <f t="shared" si="1513"/>
        <v>0</v>
      </c>
      <c r="AA1956" s="1">
        <f t="shared" si="1514"/>
        <v>0</v>
      </c>
    </row>
    <row r="1957" spans="1:27" x14ac:dyDescent="0.2">
      <c r="A1957" s="20" t="str">
        <f>A508</f>
        <v>3.7.3.1 Rémunération des enseignants</v>
      </c>
      <c r="B1957" s="46"/>
      <c r="C1957" s="386">
        <f>C508</f>
        <v>0</v>
      </c>
      <c r="D1957" s="168">
        <f t="shared" si="1468"/>
        <v>8710.1780159834252</v>
      </c>
      <c r="E1957" s="168">
        <f t="shared" si="1469"/>
        <v>9213.832872319972</v>
      </c>
      <c r="F1957" s="168">
        <f t="shared" si="1470"/>
        <v>9708.1440472692175</v>
      </c>
      <c r="G1957" s="168">
        <f t="shared" si="1471"/>
        <v>10124.819302845683</v>
      </c>
      <c r="H1957" s="168">
        <f t="shared" si="1472"/>
        <v>10451.679711646975</v>
      </c>
      <c r="I1957" s="166">
        <f t="shared" si="1473"/>
        <v>48208.653950065273</v>
      </c>
      <c r="J1957" s="371" t="str">
        <f t="shared" si="1474"/>
        <v>MAS-DGENF/SENAPEP/EPS-DIPROMAD</v>
      </c>
      <c r="K1957" s="350" t="str">
        <f t="shared" si="1475"/>
        <v>ND</v>
      </c>
      <c r="L1957" s="167">
        <f t="shared" ref="L1957:Q1957" si="1561">L508</f>
        <v>8710178.0159834251</v>
      </c>
      <c r="M1957" s="168">
        <f t="shared" si="1561"/>
        <v>9213832.8723199721</v>
      </c>
      <c r="N1957" s="168">
        <f t="shared" si="1561"/>
        <v>9708144.0472692177</v>
      </c>
      <c r="O1957" s="168">
        <f t="shared" si="1561"/>
        <v>10124819.302845683</v>
      </c>
      <c r="P1957" s="168">
        <f t="shared" si="1561"/>
        <v>10451679.711646976</v>
      </c>
      <c r="Q1957" s="165">
        <f t="shared" si="1561"/>
        <v>48208653.95006527</v>
      </c>
      <c r="R1957" s="198" t="str">
        <f t="shared" ref="R1957:S1957" si="1562">R508</f>
        <v>MAS-DGENF/SENAPEP/EPS-DIPROMAD</v>
      </c>
      <c r="S1957" s="115" t="str">
        <f t="shared" si="1562"/>
        <v>ND</v>
      </c>
      <c r="T1957" s="51">
        <f>T508</f>
        <v>1</v>
      </c>
      <c r="W1957" s="608">
        <f t="shared" si="1477"/>
        <v>48208653.95006527</v>
      </c>
      <c r="X1957" s="608">
        <f t="shared" si="1478"/>
        <v>0</v>
      </c>
      <c r="Z1957" s="572">
        <f t="shared" si="1513"/>
        <v>0</v>
      </c>
      <c r="AA1957" s="1">
        <f t="shared" si="1514"/>
        <v>0</v>
      </c>
    </row>
    <row r="1958" spans="1:27" x14ac:dyDescent="0.2">
      <c r="A1958" s="14" t="str">
        <f>A510</f>
        <v>3.8. Organes de conseil et coordination : dynamiser les instances de conseil et de coordination</v>
      </c>
      <c r="B1958" s="44"/>
      <c r="C1958" s="385">
        <f>C510</f>
        <v>0</v>
      </c>
      <c r="D1958" s="217">
        <f t="shared" si="1468"/>
        <v>14</v>
      </c>
      <c r="E1958" s="217">
        <f t="shared" si="1469"/>
        <v>14</v>
      </c>
      <c r="F1958" s="217">
        <f t="shared" si="1470"/>
        <v>14</v>
      </c>
      <c r="G1958" s="217">
        <f t="shared" si="1471"/>
        <v>14</v>
      </c>
      <c r="H1958" s="217">
        <f t="shared" si="1472"/>
        <v>14</v>
      </c>
      <c r="I1958" s="220">
        <f t="shared" si="1473"/>
        <v>70</v>
      </c>
      <c r="J1958" s="373">
        <f t="shared" si="1474"/>
        <v>0</v>
      </c>
      <c r="K1958" s="346">
        <f t="shared" si="1475"/>
        <v>0</v>
      </c>
      <c r="L1958" s="33">
        <f t="shared" ref="L1958:S1958" si="1563">L1959</f>
        <v>14000</v>
      </c>
      <c r="M1958" s="32">
        <f t="shared" si="1563"/>
        <v>14000</v>
      </c>
      <c r="N1958" s="32">
        <f t="shared" si="1563"/>
        <v>14000</v>
      </c>
      <c r="O1958" s="32">
        <f t="shared" si="1563"/>
        <v>14000</v>
      </c>
      <c r="P1958" s="32">
        <f t="shared" si="1563"/>
        <v>14000</v>
      </c>
      <c r="Q1958" s="25">
        <f t="shared" si="1563"/>
        <v>70000</v>
      </c>
      <c r="R1958" s="515">
        <f t="shared" si="1563"/>
        <v>0</v>
      </c>
      <c r="S1958" s="145">
        <f t="shared" si="1563"/>
        <v>0</v>
      </c>
      <c r="T1958" s="49">
        <f>T510</f>
        <v>3</v>
      </c>
      <c r="W1958" s="608">
        <f t="shared" si="1477"/>
        <v>70000</v>
      </c>
      <c r="X1958" s="608">
        <f t="shared" si="1478"/>
        <v>0</v>
      </c>
      <c r="Z1958" s="572">
        <f t="shared" si="1513"/>
        <v>0</v>
      </c>
      <c r="AA1958" s="1">
        <f t="shared" si="1514"/>
        <v>0</v>
      </c>
    </row>
    <row r="1959" spans="1:27" x14ac:dyDescent="0.2">
      <c r="A1959" s="17" t="str">
        <f>A511</f>
        <v>3.8.1 Réunions du Comité de Concertation COMCON</v>
      </c>
      <c r="B1959" s="45"/>
      <c r="C1959" s="386" t="str">
        <f>C511</f>
        <v>Les instances de conseil et de coordination se réunissent de manière régulière</v>
      </c>
      <c r="D1959" s="157">
        <f t="shared" si="1468"/>
        <v>14</v>
      </c>
      <c r="E1959" s="157">
        <f t="shared" si="1469"/>
        <v>14</v>
      </c>
      <c r="F1959" s="157">
        <f t="shared" si="1470"/>
        <v>14</v>
      </c>
      <c r="G1959" s="157">
        <f t="shared" si="1471"/>
        <v>14</v>
      </c>
      <c r="H1959" s="157">
        <f t="shared" si="1472"/>
        <v>14</v>
      </c>
      <c r="I1959" s="160">
        <f t="shared" si="1473"/>
        <v>70</v>
      </c>
      <c r="J1959" s="374">
        <f t="shared" si="1474"/>
        <v>0</v>
      </c>
      <c r="K1959" s="348">
        <f t="shared" si="1475"/>
        <v>0</v>
      </c>
      <c r="L1959" s="35">
        <f t="shared" ref="L1959:S1959" si="1564">SUM(L1960:L1960)</f>
        <v>14000</v>
      </c>
      <c r="M1959" s="34">
        <f t="shared" si="1564"/>
        <v>14000</v>
      </c>
      <c r="N1959" s="34">
        <f t="shared" si="1564"/>
        <v>14000</v>
      </c>
      <c r="O1959" s="34">
        <f t="shared" si="1564"/>
        <v>14000</v>
      </c>
      <c r="P1959" s="34">
        <f t="shared" si="1564"/>
        <v>14000</v>
      </c>
      <c r="Q1959" s="26">
        <f t="shared" si="1564"/>
        <v>70000</v>
      </c>
      <c r="R1959" s="209">
        <f t="shared" si="1564"/>
        <v>0</v>
      </c>
      <c r="S1959" s="116">
        <f t="shared" si="1564"/>
        <v>0</v>
      </c>
      <c r="T1959" s="50">
        <f>T511</f>
        <v>0</v>
      </c>
      <c r="W1959" s="608">
        <f t="shared" si="1477"/>
        <v>70000</v>
      </c>
      <c r="X1959" s="608">
        <f t="shared" si="1478"/>
        <v>0</v>
      </c>
      <c r="Z1959" s="572">
        <f t="shared" si="1513"/>
        <v>0</v>
      </c>
      <c r="AA1959" s="1">
        <f t="shared" si="1514"/>
        <v>0</v>
      </c>
    </row>
    <row r="1960" spans="1:27" x14ac:dyDescent="0.2">
      <c r="A1960" s="20" t="str">
        <f>A512</f>
        <v>3.8.1.1 Dynamiser les instances de conseil et de coordination</v>
      </c>
      <c r="B1960" s="149"/>
      <c r="C1960" s="386">
        <f>C512</f>
        <v>0</v>
      </c>
      <c r="D1960" s="168">
        <f t="shared" si="1468"/>
        <v>14</v>
      </c>
      <c r="E1960" s="168">
        <f t="shared" si="1469"/>
        <v>14</v>
      </c>
      <c r="F1960" s="168">
        <f t="shared" si="1470"/>
        <v>14</v>
      </c>
      <c r="G1960" s="168">
        <f t="shared" si="1471"/>
        <v>14</v>
      </c>
      <c r="H1960" s="168">
        <f t="shared" si="1472"/>
        <v>14</v>
      </c>
      <c r="I1960" s="166">
        <f t="shared" si="1473"/>
        <v>70</v>
      </c>
      <c r="J1960" s="371" t="str">
        <f t="shared" si="1474"/>
        <v>MAS-DGENF/SG</v>
      </c>
      <c r="K1960" s="350" t="str">
        <f t="shared" si="1475"/>
        <v>ND</v>
      </c>
      <c r="L1960" s="167">
        <f t="shared" ref="L1960:Q1960" si="1565">L512</f>
        <v>14000</v>
      </c>
      <c r="M1960" s="168">
        <f t="shared" si="1565"/>
        <v>14000</v>
      </c>
      <c r="N1960" s="168">
        <f t="shared" si="1565"/>
        <v>14000</v>
      </c>
      <c r="O1960" s="168">
        <f t="shared" si="1565"/>
        <v>14000</v>
      </c>
      <c r="P1960" s="168">
        <f t="shared" si="1565"/>
        <v>14000</v>
      </c>
      <c r="Q1960" s="165">
        <f t="shared" si="1565"/>
        <v>70000</v>
      </c>
      <c r="R1960" s="198" t="str">
        <f t="shared" ref="R1960:S1960" si="1566">R512</f>
        <v>MAS-DGENF/SG</v>
      </c>
      <c r="S1960" s="115" t="str">
        <f t="shared" si="1566"/>
        <v>ND</v>
      </c>
      <c r="T1960" s="51">
        <f>T512</f>
        <v>0</v>
      </c>
      <c r="W1960" s="608">
        <f t="shared" si="1477"/>
        <v>70000</v>
      </c>
      <c r="X1960" s="608">
        <f t="shared" si="1478"/>
        <v>0</v>
      </c>
      <c r="Z1960" s="572">
        <f t="shared" si="1513"/>
        <v>0</v>
      </c>
      <c r="AA1960" s="1">
        <f t="shared" si="1514"/>
        <v>0</v>
      </c>
    </row>
    <row r="1961" spans="1:27" x14ac:dyDescent="0.2">
      <c r="A1961" s="14" t="str">
        <f>A514</f>
        <v>3.9. DGENF et structures déconcentrées : opérationnaliser les structures de supervision et de pilotage de l'AENF</v>
      </c>
      <c r="B1961" s="44"/>
      <c r="C1961" s="385">
        <f>C514</f>
        <v>0</v>
      </c>
      <c r="D1961" s="217">
        <f t="shared" si="1468"/>
        <v>20</v>
      </c>
      <c r="E1961" s="217">
        <f t="shared" si="1469"/>
        <v>245.74</v>
      </c>
      <c r="F1961" s="217">
        <f t="shared" si="1470"/>
        <v>186.11</v>
      </c>
      <c r="G1961" s="217">
        <f t="shared" si="1471"/>
        <v>58.48</v>
      </c>
      <c r="H1961" s="217">
        <f t="shared" si="1472"/>
        <v>58.85</v>
      </c>
      <c r="I1961" s="220">
        <f t="shared" si="1473"/>
        <v>569.17999999999995</v>
      </c>
      <c r="J1961" s="373">
        <f t="shared" si="1474"/>
        <v>0</v>
      </c>
      <c r="K1961" s="346">
        <f t="shared" si="1475"/>
        <v>0</v>
      </c>
      <c r="L1961" s="33">
        <f t="shared" ref="L1961:Q1961" si="1567">L1962+L1964+L1967</f>
        <v>20000</v>
      </c>
      <c r="M1961" s="32">
        <f t="shared" si="1567"/>
        <v>245740</v>
      </c>
      <c r="N1961" s="32">
        <f t="shared" si="1567"/>
        <v>186110</v>
      </c>
      <c r="O1961" s="32">
        <f t="shared" si="1567"/>
        <v>58480</v>
      </c>
      <c r="P1961" s="32">
        <f t="shared" si="1567"/>
        <v>58850</v>
      </c>
      <c r="Q1961" s="25">
        <f t="shared" si="1567"/>
        <v>569180</v>
      </c>
      <c r="R1961" s="515">
        <f t="shared" ref="R1961:S1961" si="1568">R1962+R1964+R1967</f>
        <v>0</v>
      </c>
      <c r="S1961" s="145">
        <f t="shared" si="1568"/>
        <v>0</v>
      </c>
      <c r="T1961" s="49">
        <f>T514</f>
        <v>3</v>
      </c>
      <c r="W1961" s="608">
        <f t="shared" si="1477"/>
        <v>569180</v>
      </c>
      <c r="X1961" s="608">
        <f t="shared" si="1478"/>
        <v>0</v>
      </c>
      <c r="Y1961" s="572" t="s">
        <v>1513</v>
      </c>
      <c r="Z1961" s="572">
        <f t="shared" si="1513"/>
        <v>0</v>
      </c>
      <c r="AA1961" s="1">
        <f t="shared" si="1514"/>
        <v>569.17999999999995</v>
      </c>
    </row>
    <row r="1962" spans="1:27" x14ac:dyDescent="0.2">
      <c r="A1962" s="17" t="str">
        <f>A515</f>
        <v>3.9.1 Structure et organigramme de la DGENF et des divisions provinciales</v>
      </c>
      <c r="B1962" s="45"/>
      <c r="C1962" s="386">
        <f>C515</f>
        <v>0</v>
      </c>
      <c r="D1962" s="157">
        <f t="shared" si="1468"/>
        <v>11.5</v>
      </c>
      <c r="E1962" s="157">
        <f t="shared" si="1469"/>
        <v>0</v>
      </c>
      <c r="F1962" s="157">
        <f t="shared" si="1470"/>
        <v>0</v>
      </c>
      <c r="G1962" s="157">
        <f t="shared" si="1471"/>
        <v>0</v>
      </c>
      <c r="H1962" s="157">
        <f t="shared" si="1472"/>
        <v>0</v>
      </c>
      <c r="I1962" s="160">
        <f t="shared" si="1473"/>
        <v>11.5</v>
      </c>
      <c r="J1962" s="374">
        <f t="shared" si="1474"/>
        <v>0</v>
      </c>
      <c r="K1962" s="348">
        <f t="shared" si="1475"/>
        <v>0</v>
      </c>
      <c r="L1962" s="35">
        <f t="shared" ref="L1962:S1962" si="1569">SUM(L1963:L1963)</f>
        <v>11500</v>
      </c>
      <c r="M1962" s="34">
        <f t="shared" si="1569"/>
        <v>0</v>
      </c>
      <c r="N1962" s="34">
        <f t="shared" si="1569"/>
        <v>0</v>
      </c>
      <c r="O1962" s="34">
        <f t="shared" si="1569"/>
        <v>0</v>
      </c>
      <c r="P1962" s="34">
        <f t="shared" si="1569"/>
        <v>0</v>
      </c>
      <c r="Q1962" s="26">
        <f t="shared" si="1569"/>
        <v>11500</v>
      </c>
      <c r="R1962" s="209">
        <f t="shared" si="1569"/>
        <v>0</v>
      </c>
      <c r="S1962" s="116">
        <f t="shared" si="1569"/>
        <v>0</v>
      </c>
      <c r="T1962" s="50">
        <f>T515</f>
        <v>0</v>
      </c>
      <c r="W1962" s="608">
        <f t="shared" si="1477"/>
        <v>11500</v>
      </c>
      <c r="X1962" s="608">
        <f t="shared" si="1478"/>
        <v>0</v>
      </c>
      <c r="Y1962" s="572" t="s">
        <v>1513</v>
      </c>
      <c r="Z1962" s="572">
        <f t="shared" si="1513"/>
        <v>0</v>
      </c>
      <c r="AA1962" s="1">
        <f t="shared" si="1514"/>
        <v>11.5</v>
      </c>
    </row>
    <row r="1963" spans="1:27" x14ac:dyDescent="0.2">
      <c r="A1963" s="20" t="str">
        <f>A516</f>
        <v>3.9.1.1 Étude sur la réorganisation de la DGENF</v>
      </c>
      <c r="B1963" s="149"/>
      <c r="C1963" s="386" t="str">
        <f>C516</f>
        <v>La DGENF est réorganisée</v>
      </c>
      <c r="D1963" s="168">
        <f t="shared" si="1468"/>
        <v>11.5</v>
      </c>
      <c r="E1963" s="168">
        <f t="shared" si="1469"/>
        <v>0</v>
      </c>
      <c r="F1963" s="168">
        <f t="shared" si="1470"/>
        <v>0</v>
      </c>
      <c r="G1963" s="168">
        <f t="shared" si="1471"/>
        <v>0</v>
      </c>
      <c r="H1963" s="168">
        <f t="shared" si="1472"/>
        <v>0</v>
      </c>
      <c r="I1963" s="166">
        <f t="shared" si="1473"/>
        <v>11.5</v>
      </c>
      <c r="J1963" s="374" t="str">
        <f t="shared" si="1474"/>
        <v>MAS-DGENF</v>
      </c>
      <c r="K1963" s="350" t="str">
        <f t="shared" si="1475"/>
        <v>ND</v>
      </c>
      <c r="L1963" s="167">
        <f t="shared" ref="L1963:Q1963" si="1570">L516</f>
        <v>11500</v>
      </c>
      <c r="M1963" s="168">
        <f t="shared" si="1570"/>
        <v>0</v>
      </c>
      <c r="N1963" s="168">
        <f t="shared" si="1570"/>
        <v>0</v>
      </c>
      <c r="O1963" s="168">
        <f t="shared" si="1570"/>
        <v>0</v>
      </c>
      <c r="P1963" s="168">
        <f t="shared" si="1570"/>
        <v>0</v>
      </c>
      <c r="Q1963" s="165">
        <f t="shared" si="1570"/>
        <v>11500</v>
      </c>
      <c r="R1963" s="198" t="str">
        <f t="shared" ref="R1963:S1963" si="1571">R516</f>
        <v>MAS-DGENF</v>
      </c>
      <c r="S1963" s="115" t="str">
        <f t="shared" si="1571"/>
        <v>ND</v>
      </c>
      <c r="T1963" s="51">
        <f>T516</f>
        <v>0</v>
      </c>
      <c r="W1963" s="608">
        <f t="shared" si="1477"/>
        <v>11500</v>
      </c>
      <c r="X1963" s="608">
        <f t="shared" si="1478"/>
        <v>0</v>
      </c>
      <c r="Y1963" s="572" t="s">
        <v>1513</v>
      </c>
      <c r="Z1963" s="572">
        <f t="shared" si="1513"/>
        <v>0</v>
      </c>
      <c r="AA1963" s="1">
        <f t="shared" si="1514"/>
        <v>11.5</v>
      </c>
    </row>
    <row r="1964" spans="1:27" x14ac:dyDescent="0.2">
      <c r="A1964" s="17" t="str">
        <f>A519</f>
        <v>3.9.2 Moyens de la DGENF et des structures déconcentrées</v>
      </c>
      <c r="B1964" s="45"/>
      <c r="C1964" s="386">
        <f>C519</f>
        <v>0</v>
      </c>
      <c r="D1964" s="157">
        <f t="shared" si="1468"/>
        <v>0</v>
      </c>
      <c r="E1964" s="157">
        <f t="shared" si="1469"/>
        <v>195.74</v>
      </c>
      <c r="F1964" s="157">
        <f t="shared" si="1470"/>
        <v>166.11</v>
      </c>
      <c r="G1964" s="157">
        <f t="shared" si="1471"/>
        <v>38.479999999999997</v>
      </c>
      <c r="H1964" s="157">
        <f t="shared" si="1472"/>
        <v>38.85</v>
      </c>
      <c r="I1964" s="160">
        <f t="shared" si="1473"/>
        <v>439.18</v>
      </c>
      <c r="J1964" s="374">
        <f t="shared" si="1474"/>
        <v>0</v>
      </c>
      <c r="K1964" s="348">
        <f t="shared" si="1475"/>
        <v>0</v>
      </c>
      <c r="L1964" s="35">
        <f t="shared" ref="L1964:Q1964" si="1572">SUM(L1965:L1966)</f>
        <v>0</v>
      </c>
      <c r="M1964" s="34">
        <f t="shared" si="1572"/>
        <v>195740</v>
      </c>
      <c r="N1964" s="34">
        <f t="shared" si="1572"/>
        <v>166110</v>
      </c>
      <c r="O1964" s="34">
        <f t="shared" si="1572"/>
        <v>38480</v>
      </c>
      <c r="P1964" s="34">
        <f t="shared" si="1572"/>
        <v>38850</v>
      </c>
      <c r="Q1964" s="26">
        <f t="shared" si="1572"/>
        <v>439180</v>
      </c>
      <c r="R1964" s="209">
        <f t="shared" ref="R1964:S1964" si="1573">SUM(R1965:R1966)</f>
        <v>0</v>
      </c>
      <c r="S1964" s="116">
        <f t="shared" si="1573"/>
        <v>0</v>
      </c>
      <c r="T1964" s="50">
        <f>T519</f>
        <v>0</v>
      </c>
      <c r="W1964" s="608">
        <f t="shared" si="1477"/>
        <v>439180</v>
      </c>
      <c r="X1964" s="608">
        <f t="shared" si="1478"/>
        <v>0</v>
      </c>
      <c r="Y1964" s="572" t="s">
        <v>1513</v>
      </c>
      <c r="Z1964" s="572">
        <f t="shared" si="1513"/>
        <v>0</v>
      </c>
      <c r="AA1964" s="1">
        <f t="shared" si="1514"/>
        <v>439.18</v>
      </c>
    </row>
    <row r="1965" spans="1:27" x14ac:dyDescent="0.2">
      <c r="A1965" s="20" t="str">
        <f>A520</f>
        <v>3.9.2.1 Renforcement des capacités du personnel</v>
      </c>
      <c r="B1965" s="149"/>
      <c r="C1965" s="386">
        <f>C520</f>
        <v>0</v>
      </c>
      <c r="D1965" s="168">
        <f t="shared" si="1468"/>
        <v>0</v>
      </c>
      <c r="E1965" s="168">
        <f t="shared" si="1469"/>
        <v>37.74</v>
      </c>
      <c r="F1965" s="168">
        <f t="shared" si="1470"/>
        <v>38.11</v>
      </c>
      <c r="G1965" s="168">
        <f t="shared" si="1471"/>
        <v>38.479999999999997</v>
      </c>
      <c r="H1965" s="168">
        <f t="shared" si="1472"/>
        <v>38.85</v>
      </c>
      <c r="I1965" s="166">
        <f t="shared" si="1473"/>
        <v>153.18</v>
      </c>
      <c r="J1965" s="371" t="str">
        <f t="shared" si="1474"/>
        <v>MAS/SG</v>
      </c>
      <c r="K1965" s="350" t="str">
        <f t="shared" si="1475"/>
        <v>ND</v>
      </c>
      <c r="L1965" s="167">
        <f t="shared" ref="L1965:Q1965" si="1574">L520</f>
        <v>0</v>
      </c>
      <c r="M1965" s="168">
        <f t="shared" si="1574"/>
        <v>37740</v>
      </c>
      <c r="N1965" s="168">
        <f t="shared" si="1574"/>
        <v>38110</v>
      </c>
      <c r="O1965" s="168">
        <f t="shared" si="1574"/>
        <v>38480</v>
      </c>
      <c r="P1965" s="168">
        <f t="shared" si="1574"/>
        <v>38850</v>
      </c>
      <c r="Q1965" s="165">
        <f t="shared" si="1574"/>
        <v>153180</v>
      </c>
      <c r="R1965" s="198" t="str">
        <f t="shared" ref="R1965:S1965" si="1575">R520</f>
        <v>MAS/SG</v>
      </c>
      <c r="S1965" s="115" t="str">
        <f t="shared" si="1575"/>
        <v>ND</v>
      </c>
      <c r="T1965" s="51">
        <f>T520</f>
        <v>0</v>
      </c>
      <c r="W1965" s="608">
        <f t="shared" si="1477"/>
        <v>153180</v>
      </c>
      <c r="X1965" s="608">
        <f t="shared" si="1478"/>
        <v>0</v>
      </c>
      <c r="Y1965" s="572" t="s">
        <v>1513</v>
      </c>
      <c r="Z1965" s="572">
        <f t="shared" si="1513"/>
        <v>0</v>
      </c>
      <c r="AA1965" s="1">
        <f t="shared" si="1514"/>
        <v>153.18</v>
      </c>
    </row>
    <row r="1966" spans="1:27" x14ac:dyDescent="0.2">
      <c r="A1966" s="20" t="str">
        <f>A524</f>
        <v>3.9.2.2 Renforcement des moyen matériels</v>
      </c>
      <c r="B1966" s="149"/>
      <c r="C1966" s="386" t="str">
        <f>C524</f>
        <v>La DGENF et les structures déconcentrées sont opérationnelles</v>
      </c>
      <c r="D1966" s="168">
        <f t="shared" si="1468"/>
        <v>0</v>
      </c>
      <c r="E1966" s="168">
        <f t="shared" si="1469"/>
        <v>158</v>
      </c>
      <c r="F1966" s="168">
        <f t="shared" si="1470"/>
        <v>128</v>
      </c>
      <c r="G1966" s="168">
        <f t="shared" si="1471"/>
        <v>0</v>
      </c>
      <c r="H1966" s="168">
        <f t="shared" si="1472"/>
        <v>0</v>
      </c>
      <c r="I1966" s="166">
        <f t="shared" si="1473"/>
        <v>286</v>
      </c>
      <c r="J1966" s="371" t="str">
        <f t="shared" si="1474"/>
        <v>MAS/SG</v>
      </c>
      <c r="K1966" s="350" t="str">
        <f t="shared" si="1475"/>
        <v>ND</v>
      </c>
      <c r="L1966" s="167">
        <f t="shared" ref="L1966:T1966" si="1576">L524</f>
        <v>0</v>
      </c>
      <c r="M1966" s="168">
        <f t="shared" si="1576"/>
        <v>158000</v>
      </c>
      <c r="N1966" s="168">
        <f t="shared" si="1576"/>
        <v>128000</v>
      </c>
      <c r="O1966" s="168">
        <f t="shared" si="1576"/>
        <v>0</v>
      </c>
      <c r="P1966" s="168">
        <f t="shared" si="1576"/>
        <v>0</v>
      </c>
      <c r="Q1966" s="165">
        <f t="shared" si="1576"/>
        <v>286000</v>
      </c>
      <c r="R1966" s="198" t="str">
        <f t="shared" ref="R1966:S1966" si="1577">R524</f>
        <v>MAS/SG</v>
      </c>
      <c r="S1966" s="115" t="str">
        <f t="shared" si="1577"/>
        <v>ND</v>
      </c>
      <c r="T1966" s="51">
        <f t="shared" si="1576"/>
        <v>0</v>
      </c>
      <c r="W1966" s="608">
        <f t="shared" si="1477"/>
        <v>286000</v>
      </c>
      <c r="X1966" s="608">
        <f t="shared" si="1478"/>
        <v>0</v>
      </c>
      <c r="Y1966" s="572" t="s">
        <v>1513</v>
      </c>
      <c r="Z1966" s="572">
        <f t="shared" si="1513"/>
        <v>0</v>
      </c>
      <c r="AA1966" s="1">
        <f t="shared" si="1514"/>
        <v>286</v>
      </c>
    </row>
    <row r="1967" spans="1:27" x14ac:dyDescent="0.2">
      <c r="A1967" s="17" t="str">
        <f>A529</f>
        <v>3.9.3 Transformation du Service polyvalent et d'éducation permanente en Centre de ressources</v>
      </c>
      <c r="B1967" s="45"/>
      <c r="C1967" s="386" t="str">
        <f>C529</f>
        <v>Le centre de ressources est opérationnel en 2018</v>
      </c>
      <c r="D1967" s="157">
        <f t="shared" si="1468"/>
        <v>8.5</v>
      </c>
      <c r="E1967" s="157">
        <f t="shared" si="1469"/>
        <v>50</v>
      </c>
      <c r="F1967" s="157">
        <f t="shared" si="1470"/>
        <v>20</v>
      </c>
      <c r="G1967" s="157">
        <f t="shared" si="1471"/>
        <v>20</v>
      </c>
      <c r="H1967" s="157">
        <f t="shared" si="1472"/>
        <v>20</v>
      </c>
      <c r="I1967" s="160">
        <f t="shared" si="1473"/>
        <v>118.5</v>
      </c>
      <c r="J1967" s="374">
        <f t="shared" si="1474"/>
        <v>0</v>
      </c>
      <c r="K1967" s="348">
        <f t="shared" si="1475"/>
        <v>0</v>
      </c>
      <c r="L1967" s="35">
        <f t="shared" ref="L1967:Q1967" si="1578">SUM(L1968:L1969)</f>
        <v>8500</v>
      </c>
      <c r="M1967" s="34">
        <f t="shared" si="1578"/>
        <v>50000</v>
      </c>
      <c r="N1967" s="34">
        <f t="shared" si="1578"/>
        <v>20000</v>
      </c>
      <c r="O1967" s="34">
        <f t="shared" si="1578"/>
        <v>20000</v>
      </c>
      <c r="P1967" s="34">
        <f t="shared" si="1578"/>
        <v>20000</v>
      </c>
      <c r="Q1967" s="26">
        <f t="shared" si="1578"/>
        <v>118500</v>
      </c>
      <c r="R1967" s="209">
        <f t="shared" ref="R1967:S1967" si="1579">SUM(R1968:R1969)</f>
        <v>0</v>
      </c>
      <c r="S1967" s="116">
        <f t="shared" si="1579"/>
        <v>0</v>
      </c>
      <c r="T1967" s="50">
        <f>T529</f>
        <v>0</v>
      </c>
      <c r="W1967" s="608">
        <f t="shared" si="1477"/>
        <v>118500</v>
      </c>
      <c r="X1967" s="608">
        <f>W1967-Q1967</f>
        <v>0</v>
      </c>
      <c r="Z1967" s="572">
        <f t="shared" si="1513"/>
        <v>0</v>
      </c>
      <c r="AA1967" s="1">
        <f t="shared" si="1514"/>
        <v>0</v>
      </c>
    </row>
    <row r="1968" spans="1:27" x14ac:dyDescent="0.2">
      <c r="A1968" s="20" t="str">
        <f>A530</f>
        <v>3.9.3.1 Étude de faisabilité de la transformation service en centre de ressource</v>
      </c>
      <c r="B1968" s="149"/>
      <c r="C1968" s="386">
        <f>C530</f>
        <v>0</v>
      </c>
      <c r="D1968" s="168">
        <f t="shared" si="1468"/>
        <v>8.5</v>
      </c>
      <c r="E1968" s="168">
        <f t="shared" si="1469"/>
        <v>0</v>
      </c>
      <c r="F1968" s="168">
        <f t="shared" si="1470"/>
        <v>0</v>
      </c>
      <c r="G1968" s="168">
        <f t="shared" si="1471"/>
        <v>0</v>
      </c>
      <c r="H1968" s="168">
        <f t="shared" si="1472"/>
        <v>0</v>
      </c>
      <c r="I1968" s="166">
        <f t="shared" si="1473"/>
        <v>8.5</v>
      </c>
      <c r="J1968" s="371" t="str">
        <f t="shared" si="1474"/>
        <v>MAS-DEP/SG</v>
      </c>
      <c r="K1968" s="350" t="str">
        <f t="shared" si="1475"/>
        <v>ND</v>
      </c>
      <c r="L1968" s="167">
        <f t="shared" ref="L1968:Q1968" si="1580">L530</f>
        <v>8500</v>
      </c>
      <c r="M1968" s="168">
        <f t="shared" si="1580"/>
        <v>0</v>
      </c>
      <c r="N1968" s="168">
        <f t="shared" si="1580"/>
        <v>0</v>
      </c>
      <c r="O1968" s="168">
        <f t="shared" si="1580"/>
        <v>0</v>
      </c>
      <c r="P1968" s="168">
        <f t="shared" si="1580"/>
        <v>0</v>
      </c>
      <c r="Q1968" s="165">
        <f t="shared" si="1580"/>
        <v>8500</v>
      </c>
      <c r="R1968" s="198" t="str">
        <f t="shared" ref="R1968:S1968" si="1581">R530</f>
        <v>MAS-DEP/SG</v>
      </c>
      <c r="S1968" s="115" t="str">
        <f t="shared" si="1581"/>
        <v>ND</v>
      </c>
      <c r="T1968" s="51">
        <f>T530</f>
        <v>0</v>
      </c>
      <c r="W1968" s="608">
        <f t="shared" si="1477"/>
        <v>8500</v>
      </c>
      <c r="X1968" s="608">
        <f t="shared" si="1478"/>
        <v>0</v>
      </c>
      <c r="Z1968" s="572">
        <f t="shared" si="1513"/>
        <v>0</v>
      </c>
      <c r="AA1968" s="1">
        <f t="shared" si="1514"/>
        <v>0</v>
      </c>
    </row>
    <row r="1969" spans="1:27" x14ac:dyDescent="0.2">
      <c r="A1969" s="20" t="str">
        <f>A533</f>
        <v>3.9.3.2 Réhabilitation, équipement et fonctionnement du centre</v>
      </c>
      <c r="B1969" s="46"/>
      <c r="C1969" s="386">
        <f>C533</f>
        <v>0</v>
      </c>
      <c r="D1969" s="168">
        <f t="shared" si="1468"/>
        <v>0</v>
      </c>
      <c r="E1969" s="168">
        <f t="shared" si="1469"/>
        <v>50</v>
      </c>
      <c r="F1969" s="168">
        <f t="shared" si="1470"/>
        <v>20</v>
      </c>
      <c r="G1969" s="168">
        <f t="shared" si="1471"/>
        <v>20</v>
      </c>
      <c r="H1969" s="168">
        <f t="shared" si="1472"/>
        <v>20</v>
      </c>
      <c r="I1969" s="166">
        <f t="shared" si="1473"/>
        <v>110</v>
      </c>
      <c r="J1969" s="371" t="str">
        <f t="shared" si="1474"/>
        <v>MAS-DEP/SG</v>
      </c>
      <c r="K1969" s="350" t="str">
        <f t="shared" si="1475"/>
        <v>ND</v>
      </c>
      <c r="L1969" s="167">
        <f t="shared" ref="L1969:T1969" si="1582">L533</f>
        <v>0</v>
      </c>
      <c r="M1969" s="168">
        <f t="shared" si="1582"/>
        <v>50000</v>
      </c>
      <c r="N1969" s="168">
        <f t="shared" si="1582"/>
        <v>20000</v>
      </c>
      <c r="O1969" s="168">
        <f t="shared" si="1582"/>
        <v>20000</v>
      </c>
      <c r="P1969" s="168">
        <f t="shared" si="1582"/>
        <v>20000</v>
      </c>
      <c r="Q1969" s="165">
        <f t="shared" si="1582"/>
        <v>110000</v>
      </c>
      <c r="R1969" s="198" t="str">
        <f t="shared" ref="R1969:S1969" si="1583">R533</f>
        <v>MAS-DEP/SG</v>
      </c>
      <c r="S1969" s="115" t="str">
        <f t="shared" si="1583"/>
        <v>ND</v>
      </c>
      <c r="T1969" s="51">
        <f t="shared" si="1582"/>
        <v>0</v>
      </c>
      <c r="W1969" s="608">
        <f t="shared" si="1477"/>
        <v>110000</v>
      </c>
      <c r="X1969" s="608">
        <f t="shared" si="1478"/>
        <v>0</v>
      </c>
      <c r="Z1969" s="572">
        <f t="shared" si="1513"/>
        <v>0</v>
      </c>
      <c r="AA1969" s="1">
        <f t="shared" si="1514"/>
        <v>0</v>
      </c>
    </row>
    <row r="1970" spans="1:27" x14ac:dyDescent="0.2">
      <c r="A1970" s="14" t="str">
        <f>A536</f>
        <v>3.10 Supervision et inspection : assurer l'encadrement pédagogique des centres</v>
      </c>
      <c r="B1970" s="44"/>
      <c r="C1970" s="385">
        <f>C536</f>
        <v>0</v>
      </c>
      <c r="D1970" s="217">
        <f t="shared" si="1468"/>
        <v>45.5</v>
      </c>
      <c r="E1970" s="217">
        <f t="shared" si="1469"/>
        <v>45.5</v>
      </c>
      <c r="F1970" s="217">
        <f t="shared" si="1470"/>
        <v>31.2</v>
      </c>
      <c r="G1970" s="217">
        <f t="shared" si="1471"/>
        <v>31.2</v>
      </c>
      <c r="H1970" s="217">
        <f t="shared" si="1472"/>
        <v>31.2</v>
      </c>
      <c r="I1970" s="220">
        <f t="shared" si="1473"/>
        <v>184.6</v>
      </c>
      <c r="J1970" s="373">
        <f t="shared" si="1474"/>
        <v>0</v>
      </c>
      <c r="K1970" s="346">
        <f t="shared" si="1475"/>
        <v>0</v>
      </c>
      <c r="L1970" s="33">
        <f t="shared" ref="L1970:S1970" si="1584">L1971</f>
        <v>45500</v>
      </c>
      <c r="M1970" s="32">
        <f t="shared" si="1584"/>
        <v>45500</v>
      </c>
      <c r="N1970" s="32">
        <f t="shared" si="1584"/>
        <v>31200</v>
      </c>
      <c r="O1970" s="32">
        <f t="shared" si="1584"/>
        <v>31200</v>
      </c>
      <c r="P1970" s="32">
        <f t="shared" si="1584"/>
        <v>31200</v>
      </c>
      <c r="Q1970" s="25">
        <f t="shared" si="1584"/>
        <v>184600</v>
      </c>
      <c r="R1970" s="515">
        <f t="shared" si="1584"/>
        <v>0</v>
      </c>
      <c r="S1970" s="145">
        <f t="shared" si="1584"/>
        <v>0</v>
      </c>
      <c r="T1970" s="49">
        <f>T536</f>
        <v>3</v>
      </c>
      <c r="W1970" s="608">
        <f t="shared" si="1477"/>
        <v>184600</v>
      </c>
      <c r="X1970" s="608">
        <f t="shared" si="1478"/>
        <v>0</v>
      </c>
      <c r="Y1970" s="572" t="s">
        <v>1512</v>
      </c>
      <c r="Z1970" s="572">
        <f t="shared" si="1513"/>
        <v>184.6</v>
      </c>
      <c r="AA1970" s="1">
        <f t="shared" si="1514"/>
        <v>0</v>
      </c>
    </row>
    <row r="1971" spans="1:27" x14ac:dyDescent="0.2">
      <c r="A1971" s="17" t="str">
        <f>A537</f>
        <v>3.10.1 Encadrement de proximité par les inspecteurs du primaire</v>
      </c>
      <c r="B1971" s="45"/>
      <c r="C1971" s="386">
        <f>C537</f>
        <v>0</v>
      </c>
      <c r="D1971" s="157">
        <f t="shared" si="1468"/>
        <v>45.5</v>
      </c>
      <c r="E1971" s="157">
        <f t="shared" si="1469"/>
        <v>45.5</v>
      </c>
      <c r="F1971" s="157">
        <f t="shared" si="1470"/>
        <v>31.2</v>
      </c>
      <c r="G1971" s="157">
        <f t="shared" si="1471"/>
        <v>31.2</v>
      </c>
      <c r="H1971" s="157">
        <f t="shared" si="1472"/>
        <v>31.2</v>
      </c>
      <c r="I1971" s="160">
        <f t="shared" si="1473"/>
        <v>184.6</v>
      </c>
      <c r="J1971" s="374">
        <f t="shared" si="1474"/>
        <v>0</v>
      </c>
      <c r="K1971" s="348">
        <f t="shared" si="1475"/>
        <v>0</v>
      </c>
      <c r="L1971" s="35">
        <f t="shared" ref="L1971:Q1971" si="1585">SUM(L1972:L1973)</f>
        <v>45500</v>
      </c>
      <c r="M1971" s="34">
        <f t="shared" si="1585"/>
        <v>45500</v>
      </c>
      <c r="N1971" s="34">
        <f t="shared" si="1585"/>
        <v>31200</v>
      </c>
      <c r="O1971" s="34">
        <f t="shared" si="1585"/>
        <v>31200</v>
      </c>
      <c r="P1971" s="34">
        <f t="shared" si="1585"/>
        <v>31200</v>
      </c>
      <c r="Q1971" s="26">
        <f t="shared" si="1585"/>
        <v>184600</v>
      </c>
      <c r="R1971" s="209">
        <f t="shared" ref="R1971:S1971" si="1586">SUM(R1972:R1973)</f>
        <v>0</v>
      </c>
      <c r="S1971" s="116">
        <f t="shared" si="1586"/>
        <v>0</v>
      </c>
      <c r="T1971" s="50">
        <f>T537</f>
        <v>0</v>
      </c>
      <c r="W1971" s="608">
        <f t="shared" si="1477"/>
        <v>184600</v>
      </c>
      <c r="X1971" s="608">
        <f t="shared" si="1478"/>
        <v>0</v>
      </c>
      <c r="Y1971" s="572" t="s">
        <v>1512</v>
      </c>
      <c r="Z1971" s="572">
        <f t="shared" si="1513"/>
        <v>184.6</v>
      </c>
      <c r="AA1971" s="1">
        <f t="shared" si="1514"/>
        <v>0</v>
      </c>
    </row>
    <row r="1972" spans="1:27" x14ac:dyDescent="0.2">
      <c r="A1972" s="20" t="str">
        <f>A538</f>
        <v>3.10.1.1 Formation spécifique destinée aux inspecteurs</v>
      </c>
      <c r="B1972" s="149"/>
      <c r="C1972" s="386" t="str">
        <f>C538</f>
        <v>Les centres sont inspectés par les inspecteurs de l'enseignement primaire</v>
      </c>
      <c r="D1972" s="168">
        <f t="shared" si="1468"/>
        <v>14.3</v>
      </c>
      <c r="E1972" s="168">
        <f t="shared" si="1469"/>
        <v>14.3</v>
      </c>
      <c r="F1972" s="168">
        <f t="shared" si="1470"/>
        <v>0</v>
      </c>
      <c r="G1972" s="168">
        <f t="shared" si="1471"/>
        <v>0</v>
      </c>
      <c r="H1972" s="168">
        <f t="shared" si="1472"/>
        <v>0</v>
      </c>
      <c r="I1972" s="166">
        <f t="shared" si="1473"/>
        <v>28.6</v>
      </c>
      <c r="J1972" s="371" t="str">
        <f t="shared" si="1474"/>
        <v>MAS/EPS-IG</v>
      </c>
      <c r="K1972" s="350" t="str">
        <f t="shared" si="1475"/>
        <v>PROSEB</v>
      </c>
      <c r="L1972" s="167">
        <f t="shared" ref="L1972:Q1972" si="1587">L538</f>
        <v>14300</v>
      </c>
      <c r="M1972" s="168">
        <f t="shared" si="1587"/>
        <v>14300</v>
      </c>
      <c r="N1972" s="168">
        <f t="shared" si="1587"/>
        <v>0</v>
      </c>
      <c r="O1972" s="168">
        <f t="shared" si="1587"/>
        <v>0</v>
      </c>
      <c r="P1972" s="168">
        <f t="shared" si="1587"/>
        <v>0</v>
      </c>
      <c r="Q1972" s="165">
        <f t="shared" si="1587"/>
        <v>28600</v>
      </c>
      <c r="R1972" s="198" t="str">
        <f t="shared" ref="R1972:S1972" si="1588">R538</f>
        <v>MAS/EPS-IG</v>
      </c>
      <c r="S1972" s="115" t="str">
        <f t="shared" si="1588"/>
        <v>PROSEB</v>
      </c>
      <c r="T1972" s="51">
        <f>T538</f>
        <v>0</v>
      </c>
      <c r="W1972" s="608">
        <f t="shared" si="1477"/>
        <v>28600</v>
      </c>
      <c r="X1972" s="608">
        <f t="shared" si="1478"/>
        <v>0</v>
      </c>
      <c r="Y1972" s="572" t="s">
        <v>1512</v>
      </c>
      <c r="Z1972" s="572">
        <f t="shared" si="1513"/>
        <v>28.6</v>
      </c>
      <c r="AA1972" s="1">
        <f t="shared" si="1514"/>
        <v>0</v>
      </c>
    </row>
    <row r="1973" spans="1:27" x14ac:dyDescent="0.2">
      <c r="A1973" s="20" t="str">
        <f>A540</f>
        <v>3.10.1.2 Assurer l'encadrement pédagogique et administratif des centres</v>
      </c>
      <c r="B1973" s="149"/>
      <c r="C1973" s="386">
        <f>C540</f>
        <v>0</v>
      </c>
      <c r="D1973" s="168">
        <f t="shared" si="1468"/>
        <v>31.2</v>
      </c>
      <c r="E1973" s="168">
        <f t="shared" si="1469"/>
        <v>31.2</v>
      </c>
      <c r="F1973" s="168">
        <f t="shared" si="1470"/>
        <v>31.2</v>
      </c>
      <c r="G1973" s="168">
        <f t="shared" si="1471"/>
        <v>31.2</v>
      </c>
      <c r="H1973" s="168">
        <f t="shared" si="1472"/>
        <v>31.2</v>
      </c>
      <c r="I1973" s="166">
        <f t="shared" si="1473"/>
        <v>156</v>
      </c>
      <c r="J1973" s="371" t="str">
        <f t="shared" si="1474"/>
        <v>MAS-DIC/EPS-IG</v>
      </c>
      <c r="K1973" s="350" t="str">
        <f t="shared" si="1475"/>
        <v>ND</v>
      </c>
      <c r="L1973" s="167">
        <f t="shared" ref="L1973:T1973" si="1589">L540</f>
        <v>31200</v>
      </c>
      <c r="M1973" s="168">
        <f t="shared" si="1589"/>
        <v>31200</v>
      </c>
      <c r="N1973" s="168">
        <f t="shared" si="1589"/>
        <v>31200</v>
      </c>
      <c r="O1973" s="168">
        <f t="shared" si="1589"/>
        <v>31200</v>
      </c>
      <c r="P1973" s="168">
        <f t="shared" si="1589"/>
        <v>31200</v>
      </c>
      <c r="Q1973" s="165">
        <f t="shared" si="1589"/>
        <v>156000</v>
      </c>
      <c r="R1973" s="198" t="str">
        <f t="shared" ref="R1973:S1973" si="1590">R540</f>
        <v>MAS-DIC/EPS-IG</v>
      </c>
      <c r="S1973" s="115" t="str">
        <f t="shared" si="1590"/>
        <v>ND</v>
      </c>
      <c r="T1973" s="51">
        <f t="shared" si="1589"/>
        <v>0</v>
      </c>
      <c r="W1973" s="608">
        <f t="shared" si="1477"/>
        <v>156000</v>
      </c>
      <c r="X1973" s="608">
        <f t="shared" si="1478"/>
        <v>0</v>
      </c>
      <c r="Y1973" s="572" t="s">
        <v>1512</v>
      </c>
      <c r="Z1973" s="572">
        <f t="shared" si="1513"/>
        <v>156</v>
      </c>
      <c r="AA1973" s="1">
        <f t="shared" si="1514"/>
        <v>0</v>
      </c>
    </row>
    <row r="1974" spans="1:27" x14ac:dyDescent="0.2">
      <c r="A1974" s="14" t="str">
        <f>A542</f>
        <v>3.11. Visibilité du sous-secteur : assurer la visibilité et la crédibilité du sous-secteur</v>
      </c>
      <c r="B1974" s="44"/>
      <c r="C1974" s="385">
        <f>C542</f>
        <v>0</v>
      </c>
      <c r="D1974" s="217">
        <f t="shared" si="1468"/>
        <v>16.7</v>
      </c>
      <c r="E1974" s="217">
        <f t="shared" si="1469"/>
        <v>72.8</v>
      </c>
      <c r="F1974" s="217">
        <f t="shared" si="1470"/>
        <v>72.8</v>
      </c>
      <c r="G1974" s="217">
        <f t="shared" si="1471"/>
        <v>72.8</v>
      </c>
      <c r="H1974" s="217">
        <f t="shared" si="1472"/>
        <v>72.8</v>
      </c>
      <c r="I1974" s="220">
        <f t="shared" si="1473"/>
        <v>307.89999999999998</v>
      </c>
      <c r="J1974" s="373">
        <f t="shared" si="1474"/>
        <v>0</v>
      </c>
      <c r="K1974" s="346">
        <f t="shared" si="1475"/>
        <v>0</v>
      </c>
      <c r="L1974" s="33">
        <f t="shared" ref="L1974:Q1974" si="1591">L1975+L1978</f>
        <v>16700</v>
      </c>
      <c r="M1974" s="32">
        <f t="shared" si="1591"/>
        <v>72800</v>
      </c>
      <c r="N1974" s="32">
        <f t="shared" si="1591"/>
        <v>72800</v>
      </c>
      <c r="O1974" s="32">
        <f t="shared" si="1591"/>
        <v>72800</v>
      </c>
      <c r="P1974" s="32">
        <f t="shared" si="1591"/>
        <v>72800</v>
      </c>
      <c r="Q1974" s="25">
        <f t="shared" si="1591"/>
        <v>307900</v>
      </c>
      <c r="R1974" s="515">
        <f t="shared" ref="R1974:S1974" si="1592">R1975+R1978</f>
        <v>0</v>
      </c>
      <c r="S1974" s="145">
        <f t="shared" si="1592"/>
        <v>0</v>
      </c>
      <c r="T1974" s="49">
        <f>T542</f>
        <v>3</v>
      </c>
      <c r="W1974" s="608">
        <f t="shared" si="1477"/>
        <v>307900</v>
      </c>
      <c r="X1974" s="608">
        <f t="shared" si="1478"/>
        <v>0</v>
      </c>
      <c r="Z1974" s="572">
        <f t="shared" si="1513"/>
        <v>0</v>
      </c>
      <c r="AA1974" s="1">
        <f t="shared" si="1514"/>
        <v>0</v>
      </c>
    </row>
    <row r="1975" spans="1:27" x14ac:dyDescent="0.2">
      <c r="A1975" s="17" t="str">
        <f>A543</f>
        <v>3.11.1 Plan et actions de communication</v>
      </c>
      <c r="B1975" s="45"/>
      <c r="C1975" s="386">
        <f>C543</f>
        <v>0</v>
      </c>
      <c r="D1975" s="157">
        <f t="shared" si="1468"/>
        <v>12.7</v>
      </c>
      <c r="E1975" s="157">
        <f t="shared" si="1469"/>
        <v>71.8</v>
      </c>
      <c r="F1975" s="157">
        <f t="shared" si="1470"/>
        <v>71.8</v>
      </c>
      <c r="G1975" s="157">
        <f t="shared" si="1471"/>
        <v>71.8</v>
      </c>
      <c r="H1975" s="157">
        <f t="shared" si="1472"/>
        <v>71.8</v>
      </c>
      <c r="I1975" s="160">
        <f t="shared" si="1473"/>
        <v>299.89999999999998</v>
      </c>
      <c r="J1975" s="374">
        <f t="shared" si="1474"/>
        <v>0</v>
      </c>
      <c r="K1975" s="348">
        <f t="shared" si="1475"/>
        <v>0</v>
      </c>
      <c r="L1975" s="35">
        <f t="shared" ref="L1975:Q1975" si="1593">SUM(L1976:L1977)</f>
        <v>12700</v>
      </c>
      <c r="M1975" s="34">
        <f t="shared" si="1593"/>
        <v>71800</v>
      </c>
      <c r="N1975" s="34">
        <f t="shared" si="1593"/>
        <v>71800</v>
      </c>
      <c r="O1975" s="34">
        <f t="shared" si="1593"/>
        <v>71800</v>
      </c>
      <c r="P1975" s="34">
        <f t="shared" si="1593"/>
        <v>71800</v>
      </c>
      <c r="Q1975" s="26">
        <f t="shared" si="1593"/>
        <v>299900</v>
      </c>
      <c r="R1975" s="209">
        <f t="shared" ref="R1975:S1975" si="1594">SUM(R1976:R1977)</f>
        <v>0</v>
      </c>
      <c r="S1975" s="116">
        <f t="shared" si="1594"/>
        <v>0</v>
      </c>
      <c r="T1975" s="50">
        <f>T543</f>
        <v>0</v>
      </c>
      <c r="W1975" s="608">
        <f t="shared" si="1477"/>
        <v>299900</v>
      </c>
      <c r="X1975" s="608">
        <f t="shared" si="1478"/>
        <v>0</v>
      </c>
      <c r="Z1975" s="572">
        <f t="shared" si="1513"/>
        <v>0</v>
      </c>
      <c r="AA1975" s="1">
        <f t="shared" si="1514"/>
        <v>0</v>
      </c>
    </row>
    <row r="1976" spans="1:27" x14ac:dyDescent="0.2">
      <c r="A1976" s="20" t="str">
        <f>A544</f>
        <v>3.1.1.1 Définir un plan de communication</v>
      </c>
      <c r="B1976" s="46"/>
      <c r="C1976" s="386" t="str">
        <f>C544</f>
        <v>Un plan de communication et des supports de communication disponibles dès 2016</v>
      </c>
      <c r="D1976" s="168">
        <f t="shared" si="1468"/>
        <v>12.7</v>
      </c>
      <c r="E1976" s="168">
        <f t="shared" si="1469"/>
        <v>0</v>
      </c>
      <c r="F1976" s="168">
        <f t="shared" si="1470"/>
        <v>0</v>
      </c>
      <c r="G1976" s="168">
        <f t="shared" si="1471"/>
        <v>0</v>
      </c>
      <c r="H1976" s="168">
        <f t="shared" si="1472"/>
        <v>0</v>
      </c>
      <c r="I1976" s="166">
        <f t="shared" si="1473"/>
        <v>12.7</v>
      </c>
      <c r="J1976" s="371" t="str">
        <f t="shared" si="1474"/>
        <v>MAS-DEP-DGENF</v>
      </c>
      <c r="K1976" s="350" t="str">
        <f t="shared" si="1475"/>
        <v>ND</v>
      </c>
      <c r="L1976" s="167">
        <f t="shared" ref="L1976:Q1976" si="1595">L544</f>
        <v>12700</v>
      </c>
      <c r="M1976" s="168">
        <f t="shared" si="1595"/>
        <v>0</v>
      </c>
      <c r="N1976" s="168">
        <f t="shared" si="1595"/>
        <v>0</v>
      </c>
      <c r="O1976" s="168">
        <f t="shared" si="1595"/>
        <v>0</v>
      </c>
      <c r="P1976" s="168">
        <f t="shared" si="1595"/>
        <v>0</v>
      </c>
      <c r="Q1976" s="165">
        <f t="shared" si="1595"/>
        <v>12700</v>
      </c>
      <c r="R1976" s="198" t="str">
        <f t="shared" ref="R1976:S1976" si="1596">R544</f>
        <v>MAS-DEP-DGENF</v>
      </c>
      <c r="S1976" s="115" t="str">
        <f t="shared" si="1596"/>
        <v>ND</v>
      </c>
      <c r="T1976" s="51">
        <f>T544</f>
        <v>0</v>
      </c>
      <c r="W1976" s="608">
        <f t="shared" si="1477"/>
        <v>12700</v>
      </c>
      <c r="X1976" s="608">
        <f t="shared" si="1478"/>
        <v>0</v>
      </c>
      <c r="Z1976" s="572">
        <f t="shared" si="1513"/>
        <v>0</v>
      </c>
      <c r="AA1976" s="1">
        <f t="shared" si="1514"/>
        <v>0</v>
      </c>
    </row>
    <row r="1977" spans="1:27" x14ac:dyDescent="0.2">
      <c r="A1977" s="20" t="str">
        <f>A548</f>
        <v>3.1.1.2 Développer des outils et des supports</v>
      </c>
      <c r="B1977" s="109"/>
      <c r="C1977" s="386">
        <f>C548</f>
        <v>0</v>
      </c>
      <c r="D1977" s="168">
        <f t="shared" ref="D1977:D2040" si="1597">L1977/1000</f>
        <v>0</v>
      </c>
      <c r="E1977" s="168">
        <f t="shared" ref="E1977:E2040" si="1598">M1977/1000</f>
        <v>71.8</v>
      </c>
      <c r="F1977" s="168">
        <f t="shared" ref="F1977:F2040" si="1599">N1977/1000</f>
        <v>71.8</v>
      </c>
      <c r="G1977" s="168">
        <f t="shared" ref="G1977:G2040" si="1600">O1977/1000</f>
        <v>71.8</v>
      </c>
      <c r="H1977" s="168">
        <f t="shared" ref="H1977:H2040" si="1601">P1977/1000</f>
        <v>71.8</v>
      </c>
      <c r="I1977" s="166">
        <f t="shared" ref="I1977:I2040" si="1602">Q1977/1000</f>
        <v>287.2</v>
      </c>
      <c r="J1977" s="371" t="str">
        <f t="shared" ref="J1977:J2040" si="1603">R1977</f>
        <v>MAS-DGENF</v>
      </c>
      <c r="K1977" s="350" t="str">
        <f t="shared" ref="K1977:K2040" si="1604">S1977</f>
        <v>ND</v>
      </c>
      <c r="L1977" s="167">
        <f t="shared" ref="L1977:T1977" si="1605">L548</f>
        <v>0</v>
      </c>
      <c r="M1977" s="168">
        <f t="shared" si="1605"/>
        <v>71800</v>
      </c>
      <c r="N1977" s="168">
        <f t="shared" si="1605"/>
        <v>71800</v>
      </c>
      <c r="O1977" s="168">
        <f t="shared" si="1605"/>
        <v>71800</v>
      </c>
      <c r="P1977" s="168">
        <f t="shared" si="1605"/>
        <v>71800</v>
      </c>
      <c r="Q1977" s="165">
        <f t="shared" si="1605"/>
        <v>287200</v>
      </c>
      <c r="R1977" s="198" t="str">
        <f t="shared" ref="R1977:S1977" si="1606">R548</f>
        <v>MAS-DGENF</v>
      </c>
      <c r="S1977" s="115" t="str">
        <f t="shared" si="1606"/>
        <v>ND</v>
      </c>
      <c r="T1977" s="51">
        <f t="shared" si="1605"/>
        <v>0</v>
      </c>
      <c r="W1977" s="608">
        <f t="shared" ref="W1977:W2040" si="1607">SUM(L1977:P1977)</f>
        <v>287200</v>
      </c>
      <c r="X1977" s="608">
        <f t="shared" ref="X1977:X2040" si="1608">W1977-Q1977</f>
        <v>0</v>
      </c>
      <c r="Z1977" s="572">
        <f t="shared" si="1513"/>
        <v>0</v>
      </c>
      <c r="AA1977" s="1">
        <f t="shared" si="1514"/>
        <v>0</v>
      </c>
    </row>
    <row r="1978" spans="1:27" x14ac:dyDescent="0.2">
      <c r="A1978" s="17" t="str">
        <f>A552</f>
        <v>3.11.2 Site web de l'AENF</v>
      </c>
      <c r="B1978" s="45"/>
      <c r="C1978" s="386" t="str">
        <f>C552</f>
        <v>Site Web opérationnel en 2017</v>
      </c>
      <c r="D1978" s="157">
        <f t="shared" si="1597"/>
        <v>4</v>
      </c>
      <c r="E1978" s="157">
        <f t="shared" si="1598"/>
        <v>1</v>
      </c>
      <c r="F1978" s="157">
        <f t="shared" si="1599"/>
        <v>1</v>
      </c>
      <c r="G1978" s="157">
        <f t="shared" si="1600"/>
        <v>1</v>
      </c>
      <c r="H1978" s="157">
        <f t="shared" si="1601"/>
        <v>1</v>
      </c>
      <c r="I1978" s="160">
        <f t="shared" si="1602"/>
        <v>8</v>
      </c>
      <c r="J1978" s="374">
        <f t="shared" si="1603"/>
        <v>0</v>
      </c>
      <c r="K1978" s="348">
        <f t="shared" si="1604"/>
        <v>0</v>
      </c>
      <c r="L1978" s="35">
        <f t="shared" ref="L1978:S1978" si="1609">SUM(L1979:L1979)</f>
        <v>4000</v>
      </c>
      <c r="M1978" s="34">
        <f t="shared" si="1609"/>
        <v>1000</v>
      </c>
      <c r="N1978" s="34">
        <f t="shared" si="1609"/>
        <v>1000</v>
      </c>
      <c r="O1978" s="34">
        <f t="shared" si="1609"/>
        <v>1000</v>
      </c>
      <c r="P1978" s="34">
        <f t="shared" si="1609"/>
        <v>1000</v>
      </c>
      <c r="Q1978" s="26">
        <f t="shared" si="1609"/>
        <v>8000</v>
      </c>
      <c r="R1978" s="209">
        <f t="shared" si="1609"/>
        <v>0</v>
      </c>
      <c r="S1978" s="116">
        <f t="shared" si="1609"/>
        <v>0</v>
      </c>
      <c r="T1978" s="50">
        <f>T552</f>
        <v>0</v>
      </c>
      <c r="W1978" s="608">
        <f t="shared" si="1607"/>
        <v>8000</v>
      </c>
      <c r="X1978" s="608">
        <f t="shared" si="1608"/>
        <v>0</v>
      </c>
      <c r="Z1978" s="572">
        <f t="shared" si="1513"/>
        <v>0</v>
      </c>
      <c r="AA1978" s="1">
        <f t="shared" si="1514"/>
        <v>0</v>
      </c>
    </row>
    <row r="1979" spans="1:27" x14ac:dyDescent="0.2">
      <c r="A1979" s="20" t="str">
        <f>A553</f>
        <v>3.11.2.1 Développement et fonctionnement du site web</v>
      </c>
      <c r="B1979" s="149"/>
      <c r="C1979" s="386">
        <f>C553</f>
        <v>0</v>
      </c>
      <c r="D1979" s="168">
        <f t="shared" si="1597"/>
        <v>4</v>
      </c>
      <c r="E1979" s="168">
        <f t="shared" si="1598"/>
        <v>1</v>
      </c>
      <c r="F1979" s="168">
        <f t="shared" si="1599"/>
        <v>1</v>
      </c>
      <c r="G1979" s="168">
        <f t="shared" si="1600"/>
        <v>1</v>
      </c>
      <c r="H1979" s="168">
        <f t="shared" si="1601"/>
        <v>1</v>
      </c>
      <c r="I1979" s="166">
        <f t="shared" si="1602"/>
        <v>8</v>
      </c>
      <c r="J1979" s="371" t="str">
        <f t="shared" si="1603"/>
        <v>MAS/SG</v>
      </c>
      <c r="K1979" s="350" t="str">
        <f t="shared" si="1604"/>
        <v>ND</v>
      </c>
      <c r="L1979" s="167">
        <f t="shared" ref="L1979:Q1979" si="1610">L553</f>
        <v>4000</v>
      </c>
      <c r="M1979" s="168">
        <f t="shared" si="1610"/>
        <v>1000</v>
      </c>
      <c r="N1979" s="168">
        <f t="shared" si="1610"/>
        <v>1000</v>
      </c>
      <c r="O1979" s="168">
        <f t="shared" si="1610"/>
        <v>1000</v>
      </c>
      <c r="P1979" s="168">
        <f t="shared" si="1610"/>
        <v>1000</v>
      </c>
      <c r="Q1979" s="165">
        <f t="shared" si="1610"/>
        <v>8000</v>
      </c>
      <c r="R1979" s="198" t="str">
        <f t="shared" ref="R1979:S1979" si="1611">R553</f>
        <v>MAS/SG</v>
      </c>
      <c r="S1979" s="115" t="str">
        <f t="shared" si="1611"/>
        <v>ND</v>
      </c>
      <c r="T1979" s="51">
        <f>T553</f>
        <v>0</v>
      </c>
      <c r="W1979" s="608">
        <f t="shared" si="1607"/>
        <v>8000</v>
      </c>
      <c r="X1979" s="608">
        <f t="shared" si="1608"/>
        <v>0</v>
      </c>
      <c r="Z1979" s="572">
        <f t="shared" si="1513"/>
        <v>0</v>
      </c>
      <c r="AA1979" s="1">
        <f t="shared" si="1514"/>
        <v>0</v>
      </c>
    </row>
    <row r="1980" spans="1:27" x14ac:dyDescent="0.2">
      <c r="A1980" s="11" t="str">
        <f>A556</f>
        <v>4. Enseignement du premier cycle secondaire : développer l'accès au premier cycle et préparer l'éducation de base de 8 ans</v>
      </c>
      <c r="B1980" s="13"/>
      <c r="C1980" s="391">
        <f>C556</f>
        <v>0</v>
      </c>
      <c r="D1980" s="339">
        <f t="shared" si="1597"/>
        <v>139466.76568139892</v>
      </c>
      <c r="E1980" s="339">
        <f t="shared" si="1598"/>
        <v>154901.79507845867</v>
      </c>
      <c r="F1980" s="339">
        <f t="shared" si="1599"/>
        <v>173486.11571463221</v>
      </c>
      <c r="G1980" s="339">
        <f t="shared" si="1600"/>
        <v>204836.2659192103</v>
      </c>
      <c r="H1980" s="339">
        <f t="shared" si="1601"/>
        <v>223015.02759026669</v>
      </c>
      <c r="I1980" s="375">
        <f t="shared" si="1602"/>
        <v>895705.96998396679</v>
      </c>
      <c r="J1980" s="372">
        <f t="shared" si="1603"/>
        <v>0</v>
      </c>
      <c r="K1980" s="344">
        <f t="shared" si="1604"/>
        <v>0</v>
      </c>
      <c r="L1980" s="30">
        <f t="shared" ref="L1980:Q1980" si="1612">L1981+L1993+L1996+L2002+L2012+L2022+L2026</f>
        <v>139466765.68139893</v>
      </c>
      <c r="M1980" s="29">
        <f t="shared" si="1612"/>
        <v>154901795.07845867</v>
      </c>
      <c r="N1980" s="29">
        <f t="shared" si="1612"/>
        <v>173486115.71463221</v>
      </c>
      <c r="O1980" s="29">
        <f t="shared" si="1612"/>
        <v>204836265.91921031</v>
      </c>
      <c r="P1980" s="29">
        <f t="shared" si="1612"/>
        <v>223015027.5902667</v>
      </c>
      <c r="Q1980" s="24">
        <f t="shared" si="1612"/>
        <v>895705969.98396683</v>
      </c>
      <c r="R1980" s="516">
        <f t="shared" ref="R1980:S1980" si="1613">R1981+R1993+R1996+R2002+R2012+R2022+R2026</f>
        <v>0</v>
      </c>
      <c r="S1980" s="177">
        <f t="shared" si="1613"/>
        <v>0</v>
      </c>
      <c r="T1980" s="48">
        <f>T556</f>
        <v>0</v>
      </c>
      <c r="U1980" s="653">
        <f>+Q1980+U1883</f>
        <v>4310801921.8711777</v>
      </c>
      <c r="W1980" s="608">
        <f t="shared" si="1607"/>
        <v>895705969.98396683</v>
      </c>
      <c r="X1980" s="608">
        <f t="shared" si="1608"/>
        <v>0</v>
      </c>
      <c r="Z1980" s="572">
        <f t="shared" si="1513"/>
        <v>0</v>
      </c>
      <c r="AA1980" s="1">
        <f t="shared" si="1514"/>
        <v>0</v>
      </c>
    </row>
    <row r="1981" spans="1:27" x14ac:dyDescent="0.2">
      <c r="A1981" s="14" t="str">
        <f>A557</f>
        <v>4.1 Mise en place de l'éducation de base de 8 ans : déterminer les contenus, les finalités et le mode d’organisation de l'éducation de base étendue à 8 ans</v>
      </c>
      <c r="B1981" s="44"/>
      <c r="C1981" s="385">
        <f>C557</f>
        <v>0</v>
      </c>
      <c r="D1981" s="217">
        <f t="shared" si="1597"/>
        <v>90.5</v>
      </c>
      <c r="E1981" s="217">
        <f t="shared" si="1598"/>
        <v>81.5</v>
      </c>
      <c r="F1981" s="217">
        <f t="shared" si="1599"/>
        <v>265.25</v>
      </c>
      <c r="G1981" s="217">
        <f t="shared" si="1600"/>
        <v>0</v>
      </c>
      <c r="H1981" s="217">
        <f t="shared" si="1601"/>
        <v>0</v>
      </c>
      <c r="I1981" s="220">
        <f t="shared" si="1602"/>
        <v>437.25</v>
      </c>
      <c r="J1981" s="373">
        <f t="shared" si="1603"/>
        <v>0</v>
      </c>
      <c r="K1981" s="346">
        <f t="shared" si="1604"/>
        <v>0</v>
      </c>
      <c r="L1981" s="33">
        <f t="shared" ref="L1981:Q1981" si="1614">L1982+L1984+L1986+L1988+L1990</f>
        <v>90500</v>
      </c>
      <c r="M1981" s="32">
        <f t="shared" si="1614"/>
        <v>81500</v>
      </c>
      <c r="N1981" s="32">
        <f t="shared" si="1614"/>
        <v>265250</v>
      </c>
      <c r="O1981" s="32">
        <f t="shared" si="1614"/>
        <v>0</v>
      </c>
      <c r="P1981" s="32">
        <f t="shared" si="1614"/>
        <v>0</v>
      </c>
      <c r="Q1981" s="25">
        <f t="shared" si="1614"/>
        <v>437250</v>
      </c>
      <c r="R1981" s="517">
        <f t="shared" ref="R1981:S1981" si="1615">R1982+R1984+R1986+R1988+R1990</f>
        <v>0</v>
      </c>
      <c r="S1981" s="179">
        <f t="shared" si="1615"/>
        <v>0</v>
      </c>
      <c r="T1981" s="49">
        <f>T557</f>
        <v>1</v>
      </c>
      <c r="W1981" s="608">
        <f t="shared" si="1607"/>
        <v>437250</v>
      </c>
      <c r="X1981" s="608">
        <f t="shared" si="1608"/>
        <v>0</v>
      </c>
      <c r="Z1981" s="572">
        <f t="shared" si="1513"/>
        <v>0</v>
      </c>
      <c r="AA1981" s="1">
        <f t="shared" si="1514"/>
        <v>0</v>
      </c>
    </row>
    <row r="1982" spans="1:27" x14ac:dyDescent="0.2">
      <c r="A1982" s="17" t="str">
        <f>A558</f>
        <v>4.1.1 Étude sur les compétences de base</v>
      </c>
      <c r="B1982" s="45"/>
      <c r="C1982" s="386" t="str">
        <f>C558</f>
        <v>Étude réalisée en 2016</v>
      </c>
      <c r="D1982" s="157">
        <f t="shared" si="1597"/>
        <v>73.5</v>
      </c>
      <c r="E1982" s="157">
        <f t="shared" si="1598"/>
        <v>0</v>
      </c>
      <c r="F1982" s="157">
        <f t="shared" si="1599"/>
        <v>0</v>
      </c>
      <c r="G1982" s="157">
        <f t="shared" si="1600"/>
        <v>0</v>
      </c>
      <c r="H1982" s="157">
        <f t="shared" si="1601"/>
        <v>0</v>
      </c>
      <c r="I1982" s="160">
        <f t="shared" si="1602"/>
        <v>73.5</v>
      </c>
      <c r="J1982" s="374">
        <f t="shared" si="1603"/>
        <v>0</v>
      </c>
      <c r="K1982" s="348">
        <f t="shared" si="1604"/>
        <v>0</v>
      </c>
      <c r="L1982" s="35">
        <f t="shared" ref="L1982:S1982" si="1616">SUM(L1983:L1983)</f>
        <v>73500</v>
      </c>
      <c r="M1982" s="34">
        <f t="shared" si="1616"/>
        <v>0</v>
      </c>
      <c r="N1982" s="34">
        <f t="shared" si="1616"/>
        <v>0</v>
      </c>
      <c r="O1982" s="34">
        <f t="shared" si="1616"/>
        <v>0</v>
      </c>
      <c r="P1982" s="34">
        <f t="shared" si="1616"/>
        <v>0</v>
      </c>
      <c r="Q1982" s="26">
        <f t="shared" si="1616"/>
        <v>73500</v>
      </c>
      <c r="R1982" s="518">
        <f t="shared" si="1616"/>
        <v>0</v>
      </c>
      <c r="S1982" s="181">
        <f t="shared" si="1616"/>
        <v>0</v>
      </c>
      <c r="T1982" s="50">
        <f>T558</f>
        <v>0</v>
      </c>
      <c r="W1982" s="608">
        <f t="shared" si="1607"/>
        <v>73500</v>
      </c>
      <c r="X1982" s="608">
        <f t="shared" si="1608"/>
        <v>0</v>
      </c>
      <c r="Z1982" s="572">
        <f t="shared" si="1513"/>
        <v>0</v>
      </c>
      <c r="AA1982" s="1">
        <f t="shared" si="1514"/>
        <v>0</v>
      </c>
    </row>
    <row r="1983" spans="1:27" x14ac:dyDescent="0.2">
      <c r="A1983" s="20" t="str">
        <f>A559</f>
        <v>4.1.1.1 Déterminer les contenus et les finalités de la réforme vers l'éducation de base étendue à 8 ans</v>
      </c>
      <c r="B1983" s="46"/>
      <c r="C1983" s="386">
        <f>C559</f>
        <v>0</v>
      </c>
      <c r="D1983" s="168">
        <f t="shared" si="1597"/>
        <v>73.5</v>
      </c>
      <c r="E1983" s="168">
        <f t="shared" si="1598"/>
        <v>0</v>
      </c>
      <c r="F1983" s="168">
        <f t="shared" si="1599"/>
        <v>0</v>
      </c>
      <c r="G1983" s="168">
        <f t="shared" si="1600"/>
        <v>0</v>
      </c>
      <c r="H1983" s="168">
        <f t="shared" si="1601"/>
        <v>0</v>
      </c>
      <c r="I1983" s="166">
        <f t="shared" si="1602"/>
        <v>73.5</v>
      </c>
      <c r="J1983" s="371" t="str">
        <f t="shared" si="1603"/>
        <v>EPS-DIPROMAD-DEP</v>
      </c>
      <c r="K1983" s="350" t="str">
        <f t="shared" si="1604"/>
        <v>BM</v>
      </c>
      <c r="L1983" s="167">
        <f t="shared" ref="L1983:Q1983" si="1617">L559</f>
        <v>73500</v>
      </c>
      <c r="M1983" s="168">
        <f t="shared" si="1617"/>
        <v>0</v>
      </c>
      <c r="N1983" s="168">
        <f t="shared" si="1617"/>
        <v>0</v>
      </c>
      <c r="O1983" s="168">
        <f t="shared" si="1617"/>
        <v>0</v>
      </c>
      <c r="P1983" s="168">
        <f t="shared" si="1617"/>
        <v>0</v>
      </c>
      <c r="Q1983" s="165">
        <f t="shared" si="1617"/>
        <v>73500</v>
      </c>
      <c r="R1983" s="205" t="str">
        <f t="shared" ref="R1983:S1983" si="1618">R559</f>
        <v>EPS-DIPROMAD-DEP</v>
      </c>
      <c r="S1983" s="183" t="str">
        <f t="shared" si="1618"/>
        <v>BM</v>
      </c>
      <c r="T1983" s="51">
        <f>T559</f>
        <v>0</v>
      </c>
      <c r="W1983" s="608">
        <f t="shared" si="1607"/>
        <v>73500</v>
      </c>
      <c r="X1983" s="608">
        <f t="shared" si="1608"/>
        <v>0</v>
      </c>
      <c r="Z1983" s="572">
        <f t="shared" si="1513"/>
        <v>0</v>
      </c>
      <c r="AA1983" s="1">
        <f t="shared" si="1514"/>
        <v>0</v>
      </c>
    </row>
    <row r="1984" spans="1:27" x14ac:dyDescent="0.2">
      <c r="A1984" s="17" t="str">
        <f>A563</f>
        <v>4.1.2 Étude des profils d'enseignants nécessaires</v>
      </c>
      <c r="B1984" s="45"/>
      <c r="C1984" s="387" t="str">
        <f>C563</f>
        <v>Étude réalisée en 2016</v>
      </c>
      <c r="D1984" s="157">
        <f t="shared" si="1597"/>
        <v>17</v>
      </c>
      <c r="E1984" s="157">
        <f t="shared" si="1598"/>
        <v>0</v>
      </c>
      <c r="F1984" s="157">
        <f t="shared" si="1599"/>
        <v>0</v>
      </c>
      <c r="G1984" s="157">
        <f t="shared" si="1600"/>
        <v>0</v>
      </c>
      <c r="H1984" s="157">
        <f t="shared" si="1601"/>
        <v>0</v>
      </c>
      <c r="I1984" s="160">
        <f t="shared" si="1602"/>
        <v>17</v>
      </c>
      <c r="J1984" s="374">
        <f t="shared" si="1603"/>
        <v>0</v>
      </c>
      <c r="K1984" s="348">
        <f t="shared" si="1604"/>
        <v>0</v>
      </c>
      <c r="L1984" s="35">
        <f t="shared" ref="L1984:S1984" si="1619">SUM(L1985:L1985)</f>
        <v>17000</v>
      </c>
      <c r="M1984" s="34">
        <f t="shared" si="1619"/>
        <v>0</v>
      </c>
      <c r="N1984" s="34">
        <f t="shared" si="1619"/>
        <v>0</v>
      </c>
      <c r="O1984" s="34">
        <f t="shared" si="1619"/>
        <v>0</v>
      </c>
      <c r="P1984" s="34">
        <f t="shared" si="1619"/>
        <v>0</v>
      </c>
      <c r="Q1984" s="26">
        <f t="shared" si="1619"/>
        <v>17000</v>
      </c>
      <c r="R1984" s="518">
        <f t="shared" si="1619"/>
        <v>0</v>
      </c>
      <c r="S1984" s="181">
        <f t="shared" si="1619"/>
        <v>0</v>
      </c>
      <c r="T1984" s="50">
        <f>T563</f>
        <v>0</v>
      </c>
      <c r="W1984" s="608">
        <f t="shared" si="1607"/>
        <v>17000</v>
      </c>
      <c r="X1984" s="608">
        <f t="shared" si="1608"/>
        <v>0</v>
      </c>
      <c r="Z1984" s="572">
        <f t="shared" si="1513"/>
        <v>0</v>
      </c>
      <c r="AA1984" s="1">
        <f t="shared" si="1514"/>
        <v>0</v>
      </c>
    </row>
    <row r="1985" spans="1:27" x14ac:dyDescent="0.2">
      <c r="A1985" s="20" t="str">
        <f>A564</f>
        <v>4.1.2.1 Déterminer les profils des enseignants</v>
      </c>
      <c r="B1985" s="46"/>
      <c r="C1985" s="386">
        <f>C564</f>
        <v>0</v>
      </c>
      <c r="D1985" s="168">
        <f t="shared" si="1597"/>
        <v>17</v>
      </c>
      <c r="E1985" s="168">
        <f t="shared" si="1598"/>
        <v>0</v>
      </c>
      <c r="F1985" s="168">
        <f t="shared" si="1599"/>
        <v>0</v>
      </c>
      <c r="G1985" s="168">
        <f t="shared" si="1600"/>
        <v>0</v>
      </c>
      <c r="H1985" s="168">
        <f t="shared" si="1601"/>
        <v>0</v>
      </c>
      <c r="I1985" s="166">
        <f t="shared" si="1602"/>
        <v>17</v>
      </c>
      <c r="J1985" s="371" t="str">
        <f t="shared" si="1603"/>
        <v>EPS-IG</v>
      </c>
      <c r="K1985" s="350" t="str">
        <f t="shared" si="1604"/>
        <v>BM</v>
      </c>
      <c r="L1985" s="167">
        <f t="shared" ref="L1985:Q1985" si="1620">L564</f>
        <v>17000</v>
      </c>
      <c r="M1985" s="168">
        <f t="shared" si="1620"/>
        <v>0</v>
      </c>
      <c r="N1985" s="168">
        <f t="shared" si="1620"/>
        <v>0</v>
      </c>
      <c r="O1985" s="168">
        <f t="shared" si="1620"/>
        <v>0</v>
      </c>
      <c r="P1985" s="168">
        <f t="shared" si="1620"/>
        <v>0</v>
      </c>
      <c r="Q1985" s="165">
        <f t="shared" si="1620"/>
        <v>17000</v>
      </c>
      <c r="R1985" s="205" t="str">
        <f t="shared" ref="R1985:S1985" si="1621">R564</f>
        <v>EPS-IG</v>
      </c>
      <c r="S1985" s="183" t="str">
        <f t="shared" si="1621"/>
        <v>BM</v>
      </c>
      <c r="T1985" s="51">
        <f>T564</f>
        <v>0</v>
      </c>
      <c r="W1985" s="608">
        <f t="shared" si="1607"/>
        <v>17000</v>
      </c>
      <c r="X1985" s="608">
        <f t="shared" si="1608"/>
        <v>0</v>
      </c>
      <c r="Z1985" s="572">
        <f t="shared" si="1513"/>
        <v>0</v>
      </c>
      <c r="AA1985" s="1">
        <f t="shared" si="1514"/>
        <v>0</v>
      </c>
    </row>
    <row r="1986" spans="1:27" x14ac:dyDescent="0.2">
      <c r="A1986" s="17" t="str">
        <f>A568</f>
        <v>4.1.3 Étude infrastructures et répartition territoriale</v>
      </c>
      <c r="B1986" s="45"/>
      <c r="C1986" s="387" t="str">
        <f>C568</f>
        <v>Étude réalisée en 2017</v>
      </c>
      <c r="D1986" s="157">
        <f t="shared" si="1597"/>
        <v>0</v>
      </c>
      <c r="E1986" s="157">
        <f t="shared" si="1598"/>
        <v>17</v>
      </c>
      <c r="F1986" s="157">
        <f t="shared" si="1599"/>
        <v>0</v>
      </c>
      <c r="G1986" s="157">
        <f t="shared" si="1600"/>
        <v>0</v>
      </c>
      <c r="H1986" s="157">
        <f t="shared" si="1601"/>
        <v>0</v>
      </c>
      <c r="I1986" s="160">
        <f t="shared" si="1602"/>
        <v>17</v>
      </c>
      <c r="J1986" s="374">
        <f t="shared" si="1603"/>
        <v>0</v>
      </c>
      <c r="K1986" s="348">
        <f t="shared" si="1604"/>
        <v>0</v>
      </c>
      <c r="L1986" s="35">
        <f t="shared" ref="L1986:S1986" si="1622">SUM(L1987:L1987)</f>
        <v>0</v>
      </c>
      <c r="M1986" s="34">
        <f t="shared" si="1622"/>
        <v>17000</v>
      </c>
      <c r="N1986" s="34">
        <f t="shared" si="1622"/>
        <v>0</v>
      </c>
      <c r="O1986" s="34">
        <f t="shared" si="1622"/>
        <v>0</v>
      </c>
      <c r="P1986" s="34">
        <f t="shared" si="1622"/>
        <v>0</v>
      </c>
      <c r="Q1986" s="26">
        <f t="shared" si="1622"/>
        <v>17000</v>
      </c>
      <c r="R1986" s="518">
        <f t="shared" si="1622"/>
        <v>0</v>
      </c>
      <c r="S1986" s="181">
        <f t="shared" si="1622"/>
        <v>0</v>
      </c>
      <c r="T1986" s="50">
        <f>T568</f>
        <v>0</v>
      </c>
      <c r="W1986" s="608">
        <f t="shared" si="1607"/>
        <v>17000</v>
      </c>
      <c r="X1986" s="608">
        <f t="shared" si="1608"/>
        <v>0</v>
      </c>
      <c r="Z1986" s="572">
        <f t="shared" si="1513"/>
        <v>0</v>
      </c>
      <c r="AA1986" s="1">
        <f t="shared" si="1514"/>
        <v>0</v>
      </c>
    </row>
    <row r="1987" spans="1:27" x14ac:dyDescent="0.2">
      <c r="A1987" s="20" t="str">
        <f>A569</f>
        <v>4.1.3.1 Diagnostic et propositions pour la gestion des infrastructures dans le cadre de l'enseignement de base</v>
      </c>
      <c r="B1987" s="46"/>
      <c r="C1987" s="386">
        <f>C569</f>
        <v>0</v>
      </c>
      <c r="D1987" s="168">
        <f t="shared" si="1597"/>
        <v>0</v>
      </c>
      <c r="E1987" s="168">
        <f t="shared" si="1598"/>
        <v>17</v>
      </c>
      <c r="F1987" s="168">
        <f t="shared" si="1599"/>
        <v>0</v>
      </c>
      <c r="G1987" s="168">
        <f t="shared" si="1600"/>
        <v>0</v>
      </c>
      <c r="H1987" s="168">
        <f t="shared" si="1601"/>
        <v>0</v>
      </c>
      <c r="I1987" s="166">
        <f t="shared" si="1602"/>
        <v>17</v>
      </c>
      <c r="J1987" s="371" t="str">
        <f t="shared" si="1603"/>
        <v>EPS-DIS</v>
      </c>
      <c r="K1987" s="350" t="str">
        <f t="shared" si="1604"/>
        <v>ND</v>
      </c>
      <c r="L1987" s="167">
        <f t="shared" ref="L1987:Q1987" si="1623">L569</f>
        <v>0</v>
      </c>
      <c r="M1987" s="168">
        <f t="shared" si="1623"/>
        <v>17000</v>
      </c>
      <c r="N1987" s="168">
        <f t="shared" si="1623"/>
        <v>0</v>
      </c>
      <c r="O1987" s="168">
        <f t="shared" si="1623"/>
        <v>0</v>
      </c>
      <c r="P1987" s="168">
        <f t="shared" si="1623"/>
        <v>0</v>
      </c>
      <c r="Q1987" s="165">
        <f t="shared" si="1623"/>
        <v>17000</v>
      </c>
      <c r="R1987" s="205" t="str">
        <f t="shared" ref="R1987:S1987" si="1624">R569</f>
        <v>EPS-DIS</v>
      </c>
      <c r="S1987" s="183" t="str">
        <f t="shared" si="1624"/>
        <v>ND</v>
      </c>
      <c r="T1987" s="51">
        <f>T569</f>
        <v>0</v>
      </c>
      <c r="W1987" s="608">
        <f t="shared" si="1607"/>
        <v>17000</v>
      </c>
      <c r="X1987" s="608">
        <f t="shared" si="1608"/>
        <v>0</v>
      </c>
      <c r="Z1987" s="572">
        <f t="shared" si="1513"/>
        <v>0</v>
      </c>
      <c r="AA1987" s="1">
        <f t="shared" si="1514"/>
        <v>0</v>
      </c>
    </row>
    <row r="1988" spans="1:27" x14ac:dyDescent="0.2">
      <c r="A1988" s="17" t="str">
        <f>A573</f>
        <v>4.1.4 Étude sur la gestion des flux et l'orientation scolaire</v>
      </c>
      <c r="B1988" s="45"/>
      <c r="C1988" s="387" t="str">
        <f>C573</f>
        <v>Étude réalisée en 2017</v>
      </c>
      <c r="D1988" s="157">
        <f t="shared" si="1597"/>
        <v>0</v>
      </c>
      <c r="E1988" s="157">
        <f t="shared" si="1598"/>
        <v>31.5</v>
      </c>
      <c r="F1988" s="157">
        <f t="shared" si="1599"/>
        <v>0</v>
      </c>
      <c r="G1988" s="157">
        <f t="shared" si="1600"/>
        <v>0</v>
      </c>
      <c r="H1988" s="157">
        <f t="shared" si="1601"/>
        <v>0</v>
      </c>
      <c r="I1988" s="160">
        <f t="shared" si="1602"/>
        <v>31.5</v>
      </c>
      <c r="J1988" s="374">
        <f t="shared" si="1603"/>
        <v>0</v>
      </c>
      <c r="K1988" s="348">
        <f t="shared" si="1604"/>
        <v>0</v>
      </c>
      <c r="L1988" s="35">
        <f t="shared" ref="L1988:S1988" si="1625">SUM(L1989:L1989)</f>
        <v>0</v>
      </c>
      <c r="M1988" s="34">
        <f t="shared" si="1625"/>
        <v>31500</v>
      </c>
      <c r="N1988" s="34">
        <f t="shared" si="1625"/>
        <v>0</v>
      </c>
      <c r="O1988" s="34">
        <f t="shared" si="1625"/>
        <v>0</v>
      </c>
      <c r="P1988" s="34">
        <f t="shared" si="1625"/>
        <v>0</v>
      </c>
      <c r="Q1988" s="26">
        <f t="shared" si="1625"/>
        <v>31500</v>
      </c>
      <c r="R1988" s="518">
        <f t="shared" si="1625"/>
        <v>0</v>
      </c>
      <c r="S1988" s="181">
        <f t="shared" si="1625"/>
        <v>0</v>
      </c>
      <c r="T1988" s="50">
        <f>T573</f>
        <v>0</v>
      </c>
      <c r="W1988" s="608">
        <f t="shared" si="1607"/>
        <v>31500</v>
      </c>
      <c r="X1988" s="608">
        <f t="shared" si="1608"/>
        <v>0</v>
      </c>
      <c r="Z1988" s="572">
        <f t="shared" si="1513"/>
        <v>0</v>
      </c>
      <c r="AA1988" s="1">
        <f t="shared" si="1514"/>
        <v>0</v>
      </c>
    </row>
    <row r="1989" spans="1:27" x14ac:dyDescent="0.2">
      <c r="A1989" s="20" t="str">
        <f>A574</f>
        <v>4.1.4.1 Mise à disposition d'un mécanisme de gestion des flux accompagné d'outils opérationnels</v>
      </c>
      <c r="B1989" s="46"/>
      <c r="C1989" s="386">
        <f>C574</f>
        <v>0</v>
      </c>
      <c r="D1989" s="168">
        <f t="shared" si="1597"/>
        <v>0</v>
      </c>
      <c r="E1989" s="168">
        <f t="shared" si="1598"/>
        <v>31.5</v>
      </c>
      <c r="F1989" s="168">
        <f t="shared" si="1599"/>
        <v>0</v>
      </c>
      <c r="G1989" s="168">
        <f t="shared" si="1600"/>
        <v>0</v>
      </c>
      <c r="H1989" s="168">
        <f t="shared" si="1601"/>
        <v>0</v>
      </c>
      <c r="I1989" s="166">
        <f t="shared" si="1602"/>
        <v>31.5</v>
      </c>
      <c r="J1989" s="371" t="str">
        <f t="shared" si="1603"/>
        <v>EPS-DEP</v>
      </c>
      <c r="K1989" s="350" t="str">
        <f t="shared" si="1604"/>
        <v>ND</v>
      </c>
      <c r="L1989" s="167">
        <f t="shared" ref="L1989:Q1989" si="1626">L574</f>
        <v>0</v>
      </c>
      <c r="M1989" s="168">
        <f t="shared" si="1626"/>
        <v>31500</v>
      </c>
      <c r="N1989" s="168">
        <f t="shared" si="1626"/>
        <v>0</v>
      </c>
      <c r="O1989" s="168">
        <f t="shared" si="1626"/>
        <v>0</v>
      </c>
      <c r="P1989" s="168">
        <f t="shared" si="1626"/>
        <v>0</v>
      </c>
      <c r="Q1989" s="165">
        <f t="shared" si="1626"/>
        <v>31500</v>
      </c>
      <c r="R1989" s="205" t="str">
        <f t="shared" ref="R1989:S1989" si="1627">R574</f>
        <v>EPS-DEP</v>
      </c>
      <c r="S1989" s="183" t="str">
        <f t="shared" si="1627"/>
        <v>ND</v>
      </c>
      <c r="T1989" s="51">
        <f>T574</f>
        <v>0</v>
      </c>
      <c r="W1989" s="608">
        <f t="shared" si="1607"/>
        <v>31500</v>
      </c>
      <c r="X1989" s="608">
        <f t="shared" si="1608"/>
        <v>0</v>
      </c>
      <c r="Z1989" s="572">
        <f t="shared" si="1513"/>
        <v>0</v>
      </c>
      <c r="AA1989" s="1">
        <f t="shared" si="1514"/>
        <v>0</v>
      </c>
    </row>
    <row r="1990" spans="1:27" x14ac:dyDescent="0.2">
      <c r="A1990" s="17" t="str">
        <f>A578</f>
        <v>4.1.5 Étude gouvernance, coûts et regroupement éventuel avec primaire</v>
      </c>
      <c r="B1990" s="45"/>
      <c r="C1990" s="387" t="str">
        <f>C578</f>
        <v>Étude réalisée en 2017</v>
      </c>
      <c r="D1990" s="157">
        <f t="shared" si="1597"/>
        <v>0</v>
      </c>
      <c r="E1990" s="157">
        <f t="shared" si="1598"/>
        <v>33</v>
      </c>
      <c r="F1990" s="157">
        <f t="shared" si="1599"/>
        <v>265.25</v>
      </c>
      <c r="G1990" s="157">
        <f t="shared" si="1600"/>
        <v>0</v>
      </c>
      <c r="H1990" s="157">
        <f t="shared" si="1601"/>
        <v>0</v>
      </c>
      <c r="I1990" s="160">
        <f t="shared" si="1602"/>
        <v>298.25</v>
      </c>
      <c r="J1990" s="374">
        <f t="shared" si="1603"/>
        <v>0</v>
      </c>
      <c r="K1990" s="348">
        <f t="shared" si="1604"/>
        <v>0</v>
      </c>
      <c r="L1990" s="35">
        <f t="shared" ref="L1990:Q1990" si="1628">SUM(L1991:L1992)</f>
        <v>0</v>
      </c>
      <c r="M1990" s="34">
        <f t="shared" si="1628"/>
        <v>33000</v>
      </c>
      <c r="N1990" s="34">
        <f t="shared" si="1628"/>
        <v>265250</v>
      </c>
      <c r="O1990" s="34">
        <f t="shared" si="1628"/>
        <v>0</v>
      </c>
      <c r="P1990" s="34">
        <f t="shared" si="1628"/>
        <v>0</v>
      </c>
      <c r="Q1990" s="26">
        <f t="shared" si="1628"/>
        <v>298250</v>
      </c>
      <c r="R1990" s="518">
        <f t="shared" ref="R1990:S1990" si="1629">SUM(R1991:R1992)</f>
        <v>0</v>
      </c>
      <c r="S1990" s="181">
        <f t="shared" si="1629"/>
        <v>0</v>
      </c>
      <c r="T1990" s="50">
        <f>T578</f>
        <v>0</v>
      </c>
      <c r="W1990" s="608">
        <f t="shared" si="1607"/>
        <v>298250</v>
      </c>
      <c r="X1990" s="608">
        <f t="shared" si="1608"/>
        <v>0</v>
      </c>
      <c r="Z1990" s="572">
        <f t="shared" si="1513"/>
        <v>0</v>
      </c>
      <c r="AA1990" s="1">
        <f t="shared" si="1514"/>
        <v>0</v>
      </c>
    </row>
    <row r="1991" spans="1:27" x14ac:dyDescent="0.2">
      <c r="A1991" s="20" t="str">
        <f>A579</f>
        <v>4.1.5.1 Étude sur les coût, les financements et les impacts probables de la réforme</v>
      </c>
      <c r="B1991" s="46"/>
      <c r="C1991" s="386">
        <f>C579</f>
        <v>0</v>
      </c>
      <c r="D1991" s="168">
        <f t="shared" si="1597"/>
        <v>0</v>
      </c>
      <c r="E1991" s="168">
        <f t="shared" si="1598"/>
        <v>33</v>
      </c>
      <c r="F1991" s="168">
        <f t="shared" si="1599"/>
        <v>0</v>
      </c>
      <c r="G1991" s="168">
        <f t="shared" si="1600"/>
        <v>0</v>
      </c>
      <c r="H1991" s="168">
        <f t="shared" si="1601"/>
        <v>0</v>
      </c>
      <c r="I1991" s="166">
        <f t="shared" si="1602"/>
        <v>33</v>
      </c>
      <c r="J1991" s="371" t="str">
        <f t="shared" si="1603"/>
        <v>EPS-DEP</v>
      </c>
      <c r="K1991" s="350" t="str">
        <f t="shared" si="1604"/>
        <v>ND</v>
      </c>
      <c r="L1991" s="167">
        <f t="shared" ref="L1991:Q1991" si="1630">L579</f>
        <v>0</v>
      </c>
      <c r="M1991" s="168">
        <f t="shared" si="1630"/>
        <v>33000</v>
      </c>
      <c r="N1991" s="168">
        <f t="shared" si="1630"/>
        <v>0</v>
      </c>
      <c r="O1991" s="168">
        <f t="shared" si="1630"/>
        <v>0</v>
      </c>
      <c r="P1991" s="168">
        <f t="shared" si="1630"/>
        <v>0</v>
      </c>
      <c r="Q1991" s="165">
        <f t="shared" si="1630"/>
        <v>33000</v>
      </c>
      <c r="R1991" s="205" t="str">
        <f t="shared" ref="R1991:S1991" si="1631">R579</f>
        <v>EPS-DEP</v>
      </c>
      <c r="S1991" s="183" t="str">
        <f t="shared" si="1631"/>
        <v>ND</v>
      </c>
      <c r="T1991" s="51">
        <f>T579</f>
        <v>0</v>
      </c>
      <c r="W1991" s="608">
        <f t="shared" si="1607"/>
        <v>33000</v>
      </c>
      <c r="X1991" s="608">
        <f t="shared" si="1608"/>
        <v>0</v>
      </c>
      <c r="Z1991" s="572">
        <f t="shared" si="1513"/>
        <v>0</v>
      </c>
      <c r="AA1991" s="1">
        <f t="shared" si="1514"/>
        <v>0</v>
      </c>
    </row>
    <row r="1992" spans="1:27" x14ac:dyDescent="0.2">
      <c r="A1992" s="123" t="str">
        <f>A583</f>
        <v xml:space="preserve">4.1.5.2 Sensibilisation à la réforme de l'éducation de base </v>
      </c>
      <c r="B1992" s="46"/>
      <c r="C1992" s="386">
        <f>C583</f>
        <v>0</v>
      </c>
      <c r="D1992" s="168">
        <f t="shared" si="1597"/>
        <v>0</v>
      </c>
      <c r="E1992" s="168">
        <f t="shared" si="1598"/>
        <v>0</v>
      </c>
      <c r="F1992" s="168">
        <f t="shared" si="1599"/>
        <v>265.25</v>
      </c>
      <c r="G1992" s="168">
        <f t="shared" si="1600"/>
        <v>0</v>
      </c>
      <c r="H1992" s="168">
        <f t="shared" si="1601"/>
        <v>0</v>
      </c>
      <c r="I1992" s="166">
        <f t="shared" si="1602"/>
        <v>265.25</v>
      </c>
      <c r="J1992" s="371" t="str">
        <f t="shared" si="1603"/>
        <v>EPS-CGC</v>
      </c>
      <c r="K1992" s="350" t="str">
        <f t="shared" si="1604"/>
        <v>ND</v>
      </c>
      <c r="L1992" s="167">
        <f t="shared" ref="L1992:T1992" si="1632">L583</f>
        <v>0</v>
      </c>
      <c r="M1992" s="168">
        <f t="shared" si="1632"/>
        <v>0</v>
      </c>
      <c r="N1992" s="168">
        <f t="shared" si="1632"/>
        <v>265250</v>
      </c>
      <c r="O1992" s="168">
        <f t="shared" si="1632"/>
        <v>0</v>
      </c>
      <c r="P1992" s="168">
        <f t="shared" si="1632"/>
        <v>0</v>
      </c>
      <c r="Q1992" s="165">
        <f t="shared" si="1632"/>
        <v>265250</v>
      </c>
      <c r="R1992" s="205" t="str">
        <f t="shared" ref="R1992:S1992" si="1633">R583</f>
        <v>EPS-CGC</v>
      </c>
      <c r="S1992" s="183" t="str">
        <f t="shared" si="1633"/>
        <v>ND</v>
      </c>
      <c r="T1992" s="51">
        <f t="shared" si="1632"/>
        <v>0</v>
      </c>
      <c r="W1992" s="608">
        <f t="shared" si="1607"/>
        <v>265250</v>
      </c>
      <c r="X1992" s="608">
        <f t="shared" si="1608"/>
        <v>0</v>
      </c>
      <c r="Z1992" s="572">
        <f t="shared" si="1513"/>
        <v>0</v>
      </c>
      <c r="AA1992" s="1">
        <f t="shared" si="1514"/>
        <v>0</v>
      </c>
    </row>
    <row r="1993" spans="1:27" x14ac:dyDescent="0.2">
      <c r="A1993" s="14" t="str">
        <f>A588</f>
        <v>4.2 Accès équitable au premier cycle secondaire : apporter des infrastructures et équipements nécessaires</v>
      </c>
      <c r="B1993" s="44"/>
      <c r="C1993" s="385">
        <f>C588</f>
        <v>0</v>
      </c>
      <c r="D1993" s="217">
        <f t="shared" si="1597"/>
        <v>52000</v>
      </c>
      <c r="E1993" s="217">
        <f t="shared" si="1598"/>
        <v>52000</v>
      </c>
      <c r="F1993" s="217">
        <f t="shared" si="1599"/>
        <v>52000</v>
      </c>
      <c r="G1993" s="217">
        <f t="shared" si="1600"/>
        <v>52000</v>
      </c>
      <c r="H1993" s="217">
        <f t="shared" si="1601"/>
        <v>52000</v>
      </c>
      <c r="I1993" s="220">
        <f t="shared" si="1602"/>
        <v>260000</v>
      </c>
      <c r="J1993" s="373">
        <f t="shared" si="1603"/>
        <v>0</v>
      </c>
      <c r="K1993" s="346">
        <f t="shared" si="1604"/>
        <v>0</v>
      </c>
      <c r="L1993" s="33">
        <f t="shared" ref="L1993:S1993" si="1634">L1994</f>
        <v>52000000</v>
      </c>
      <c r="M1993" s="32">
        <f t="shared" si="1634"/>
        <v>52000000</v>
      </c>
      <c r="N1993" s="32">
        <f t="shared" si="1634"/>
        <v>52000000</v>
      </c>
      <c r="O1993" s="32">
        <f t="shared" si="1634"/>
        <v>52000000</v>
      </c>
      <c r="P1993" s="32">
        <f t="shared" si="1634"/>
        <v>52000000</v>
      </c>
      <c r="Q1993" s="25">
        <f t="shared" si="1634"/>
        <v>260000000</v>
      </c>
      <c r="R1993" s="517">
        <f t="shared" si="1634"/>
        <v>0</v>
      </c>
      <c r="S1993" s="179">
        <f t="shared" si="1634"/>
        <v>0</v>
      </c>
      <c r="T1993" s="49">
        <f>T588</f>
        <v>1</v>
      </c>
      <c r="W1993" s="608">
        <f t="shared" si="1607"/>
        <v>260000000</v>
      </c>
      <c r="X1993" s="608">
        <f t="shared" si="1608"/>
        <v>0</v>
      </c>
      <c r="Z1993" s="572">
        <f t="shared" si="1513"/>
        <v>0</v>
      </c>
      <c r="AA1993" s="1">
        <f t="shared" si="1514"/>
        <v>0</v>
      </c>
    </row>
    <row r="1994" spans="1:27" x14ac:dyDescent="0.2">
      <c r="A1994" s="17" t="str">
        <f>A589</f>
        <v>4.2.1 Construction et équipement</v>
      </c>
      <c r="B1994" s="45"/>
      <c r="C1994" s="387" t="str">
        <f>C589</f>
        <v>26 000 salles de classes construites entre 2016 et 2025</v>
      </c>
      <c r="D1994" s="157">
        <f t="shared" si="1597"/>
        <v>52000</v>
      </c>
      <c r="E1994" s="157">
        <f t="shared" si="1598"/>
        <v>52000</v>
      </c>
      <c r="F1994" s="157">
        <f t="shared" si="1599"/>
        <v>52000</v>
      </c>
      <c r="G1994" s="157">
        <f t="shared" si="1600"/>
        <v>52000</v>
      </c>
      <c r="H1994" s="157">
        <f t="shared" si="1601"/>
        <v>52000</v>
      </c>
      <c r="I1994" s="160">
        <f t="shared" si="1602"/>
        <v>260000</v>
      </c>
      <c r="J1994" s="374">
        <f t="shared" si="1603"/>
        <v>0</v>
      </c>
      <c r="K1994" s="348">
        <f t="shared" si="1604"/>
        <v>0</v>
      </c>
      <c r="L1994" s="35">
        <f t="shared" ref="L1994:S1994" si="1635">SUM(L1995:L1995)</f>
        <v>52000000</v>
      </c>
      <c r="M1994" s="34">
        <f t="shared" si="1635"/>
        <v>52000000</v>
      </c>
      <c r="N1994" s="34">
        <f t="shared" si="1635"/>
        <v>52000000</v>
      </c>
      <c r="O1994" s="34">
        <f t="shared" si="1635"/>
        <v>52000000</v>
      </c>
      <c r="P1994" s="34">
        <f t="shared" si="1635"/>
        <v>52000000</v>
      </c>
      <c r="Q1994" s="26">
        <f t="shared" si="1635"/>
        <v>260000000</v>
      </c>
      <c r="R1994" s="518">
        <f t="shared" si="1635"/>
        <v>0</v>
      </c>
      <c r="S1994" s="181">
        <f t="shared" si="1635"/>
        <v>0</v>
      </c>
      <c r="T1994" s="50">
        <f>T589</f>
        <v>0</v>
      </c>
      <c r="W1994" s="608">
        <f t="shared" si="1607"/>
        <v>260000000</v>
      </c>
      <c r="X1994" s="608">
        <f t="shared" si="1608"/>
        <v>0</v>
      </c>
      <c r="Z1994" s="572">
        <f t="shared" ref="Z1994:Z2057" si="1636">IF($Y1994="P",$I1994,)</f>
        <v>0</v>
      </c>
      <c r="AA1994" s="1">
        <f t="shared" ref="AA1994:AA2057" si="1637">IF($Y1994="G",$I1994,)</f>
        <v>0</v>
      </c>
    </row>
    <row r="1995" spans="1:27" x14ac:dyDescent="0.2">
      <c r="A1995" s="20" t="str">
        <f>A590</f>
        <v>4.2.1.1 Construction de salles de classes</v>
      </c>
      <c r="B1995" s="46"/>
      <c r="C1995" s="386">
        <f>C590</f>
        <v>0</v>
      </c>
      <c r="D1995" s="168">
        <f t="shared" si="1597"/>
        <v>52000</v>
      </c>
      <c r="E1995" s="168">
        <f t="shared" si="1598"/>
        <v>52000</v>
      </c>
      <c r="F1995" s="168">
        <f t="shared" si="1599"/>
        <v>52000</v>
      </c>
      <c r="G1995" s="168">
        <f t="shared" si="1600"/>
        <v>52000</v>
      </c>
      <c r="H1995" s="168">
        <f t="shared" si="1601"/>
        <v>52000</v>
      </c>
      <c r="I1995" s="166">
        <f t="shared" si="1602"/>
        <v>260000</v>
      </c>
      <c r="J1995" s="371" t="str">
        <f t="shared" si="1603"/>
        <v>EPS-DIS</v>
      </c>
      <c r="K1995" s="350" t="str">
        <f t="shared" si="1604"/>
        <v>ND</v>
      </c>
      <c r="L1995" s="167">
        <f t="shared" ref="L1995:Q1995" si="1638">L590</f>
        <v>52000000</v>
      </c>
      <c r="M1995" s="168">
        <f t="shared" si="1638"/>
        <v>52000000</v>
      </c>
      <c r="N1995" s="168">
        <f t="shared" si="1638"/>
        <v>52000000</v>
      </c>
      <c r="O1995" s="168">
        <f t="shared" si="1638"/>
        <v>52000000</v>
      </c>
      <c r="P1995" s="168">
        <f t="shared" si="1638"/>
        <v>52000000</v>
      </c>
      <c r="Q1995" s="165">
        <f t="shared" si="1638"/>
        <v>260000000</v>
      </c>
      <c r="R1995" s="205" t="str">
        <f t="shared" ref="R1995:S1995" si="1639">R590</f>
        <v>EPS-DIS</v>
      </c>
      <c r="S1995" s="183" t="str">
        <f t="shared" si="1639"/>
        <v>ND</v>
      </c>
      <c r="T1995" s="51">
        <f>T590</f>
        <v>0</v>
      </c>
      <c r="W1995" s="608">
        <f t="shared" si="1607"/>
        <v>260000000</v>
      </c>
      <c r="X1995" s="608">
        <f t="shared" si="1608"/>
        <v>0</v>
      </c>
      <c r="Z1995" s="572">
        <f t="shared" si="1636"/>
        <v>0</v>
      </c>
      <c r="AA1995" s="1">
        <f t="shared" si="1637"/>
        <v>0</v>
      </c>
    </row>
    <row r="1996" spans="1:27" x14ac:dyDescent="0.2">
      <c r="A1996" s="14" t="str">
        <f>A592</f>
        <v>4.3 Moyens des écoles publiques : apporter un soutien fort de l'État, complété par des frais scolaires payés par les familles</v>
      </c>
      <c r="B1996" s="44"/>
      <c r="C1996" s="385">
        <f>C592</f>
        <v>0</v>
      </c>
      <c r="D1996" s="217">
        <f t="shared" si="1597"/>
        <v>77818.532681398938</v>
      </c>
      <c r="E1996" s="217">
        <f t="shared" si="1598"/>
        <v>86990.062078458664</v>
      </c>
      <c r="F1996" s="217">
        <f t="shared" si="1599"/>
        <v>101168.6327146322</v>
      </c>
      <c r="G1996" s="217">
        <f t="shared" si="1600"/>
        <v>140107.1409192103</v>
      </c>
      <c r="H1996" s="217">
        <f t="shared" si="1601"/>
        <v>154997.90259026669</v>
      </c>
      <c r="I1996" s="220">
        <f t="shared" si="1602"/>
        <v>561082.27098396688</v>
      </c>
      <c r="J1996" s="373">
        <f t="shared" si="1603"/>
        <v>0</v>
      </c>
      <c r="K1996" s="346">
        <f t="shared" si="1604"/>
        <v>0</v>
      </c>
      <c r="L1996" s="33">
        <f t="shared" ref="L1996:Q1996" si="1640">L1997+L2000</f>
        <v>77818532.681398943</v>
      </c>
      <c r="M1996" s="32">
        <f t="shared" si="1640"/>
        <v>86990062.078458667</v>
      </c>
      <c r="N1996" s="32">
        <f t="shared" si="1640"/>
        <v>101168632.7146322</v>
      </c>
      <c r="O1996" s="32">
        <f t="shared" si="1640"/>
        <v>140107140.91921031</v>
      </c>
      <c r="P1996" s="32">
        <f t="shared" si="1640"/>
        <v>154997902.5902667</v>
      </c>
      <c r="Q1996" s="25">
        <f t="shared" si="1640"/>
        <v>561082270.98396683</v>
      </c>
      <c r="R1996" s="517">
        <f t="shared" ref="R1996:S1996" si="1641">R1997+R2000</f>
        <v>0</v>
      </c>
      <c r="S1996" s="179">
        <f t="shared" si="1641"/>
        <v>0</v>
      </c>
      <c r="T1996" s="49">
        <f>T592</f>
        <v>1</v>
      </c>
      <c r="W1996" s="608">
        <f t="shared" si="1607"/>
        <v>561082270.98396683</v>
      </c>
      <c r="X1996" s="608">
        <f t="shared" si="1608"/>
        <v>0</v>
      </c>
      <c r="Z1996" s="572">
        <f t="shared" si="1636"/>
        <v>0</v>
      </c>
      <c r="AA1996" s="1">
        <f t="shared" si="1637"/>
        <v>0</v>
      </c>
    </row>
    <row r="1997" spans="1:27" x14ac:dyDescent="0.2">
      <c r="A1997" s="17" t="str">
        <f>A593</f>
        <v>4.3.1 Prise en charge du personnel</v>
      </c>
      <c r="B1997" s="45"/>
      <c r="C1997" s="387" t="str">
        <f>C593</f>
        <v>En 2025 tous les enseignants sont rémunérés par l'État</v>
      </c>
      <c r="D1997" s="157">
        <f t="shared" si="1597"/>
        <v>77818.532681398938</v>
      </c>
      <c r="E1997" s="157">
        <f t="shared" si="1598"/>
        <v>86990.062078458664</v>
      </c>
      <c r="F1997" s="157">
        <f t="shared" si="1599"/>
        <v>101168.6327146322</v>
      </c>
      <c r="G1997" s="157">
        <f t="shared" si="1600"/>
        <v>116107.14091921032</v>
      </c>
      <c r="H1997" s="157">
        <f t="shared" si="1601"/>
        <v>130997.90259026669</v>
      </c>
      <c r="I1997" s="160">
        <f t="shared" si="1602"/>
        <v>513082.27098396682</v>
      </c>
      <c r="J1997" s="374">
        <f t="shared" si="1603"/>
        <v>0</v>
      </c>
      <c r="K1997" s="348">
        <f t="shared" si="1604"/>
        <v>0</v>
      </c>
      <c r="L1997" s="35">
        <f t="shared" ref="L1997:Q1997" si="1642">SUM(L1998:L1999)</f>
        <v>77818532.681398943</v>
      </c>
      <c r="M1997" s="34">
        <f t="shared" si="1642"/>
        <v>86990062.078458667</v>
      </c>
      <c r="N1997" s="34">
        <f t="shared" si="1642"/>
        <v>101168632.7146322</v>
      </c>
      <c r="O1997" s="34">
        <f t="shared" si="1642"/>
        <v>116107140.91921031</v>
      </c>
      <c r="P1997" s="34">
        <f t="shared" si="1642"/>
        <v>130997902.59026669</v>
      </c>
      <c r="Q1997" s="26">
        <f t="shared" si="1642"/>
        <v>513082270.98396683</v>
      </c>
      <c r="R1997" s="518">
        <f t="shared" ref="R1997:S1997" si="1643">SUM(R1998:R1999)</f>
        <v>0</v>
      </c>
      <c r="S1997" s="181">
        <f t="shared" si="1643"/>
        <v>0</v>
      </c>
      <c r="T1997" s="50">
        <f>T593</f>
        <v>0</v>
      </c>
      <c r="W1997" s="608">
        <f t="shared" si="1607"/>
        <v>513082270.98396683</v>
      </c>
      <c r="X1997" s="608">
        <f t="shared" si="1608"/>
        <v>0</v>
      </c>
      <c r="Z1997" s="572">
        <f t="shared" si="1636"/>
        <v>0</v>
      </c>
      <c r="AA1997" s="1">
        <f t="shared" si="1637"/>
        <v>0</v>
      </c>
    </row>
    <row r="1998" spans="1:27" x14ac:dyDescent="0.2">
      <c r="A1998" s="20" t="str">
        <f>A594</f>
        <v>4.3.1.1 Recenser les enseignants du secondaire à prendre en charge</v>
      </c>
      <c r="B1998" s="46"/>
      <c r="C1998" s="386">
        <f>C594</f>
        <v>0</v>
      </c>
      <c r="D1998" s="168">
        <f t="shared" si="1597"/>
        <v>18.899999999999999</v>
      </c>
      <c r="E1998" s="168">
        <f t="shared" si="1598"/>
        <v>37.799999999999997</v>
      </c>
      <c r="F1998" s="168">
        <f t="shared" si="1599"/>
        <v>56.7</v>
      </c>
      <c r="G1998" s="168">
        <f t="shared" si="1600"/>
        <v>0</v>
      </c>
      <c r="H1998" s="168">
        <f t="shared" si="1601"/>
        <v>0</v>
      </c>
      <c r="I1998" s="166">
        <f t="shared" si="1602"/>
        <v>113.4</v>
      </c>
      <c r="J1998" s="371" t="str">
        <f t="shared" si="1603"/>
        <v>SECOPE/SG</v>
      </c>
      <c r="K1998" s="350" t="str">
        <f t="shared" si="1604"/>
        <v>GVT</v>
      </c>
      <c r="L1998" s="167">
        <f t="shared" ref="L1998:Q1998" si="1644">L594</f>
        <v>18900</v>
      </c>
      <c r="M1998" s="168">
        <f t="shared" si="1644"/>
        <v>37800</v>
      </c>
      <c r="N1998" s="168">
        <f t="shared" si="1644"/>
        <v>56700</v>
      </c>
      <c r="O1998" s="168">
        <f t="shared" si="1644"/>
        <v>0</v>
      </c>
      <c r="P1998" s="168">
        <f t="shared" si="1644"/>
        <v>0</v>
      </c>
      <c r="Q1998" s="165">
        <f t="shared" si="1644"/>
        <v>113400</v>
      </c>
      <c r="R1998" s="205" t="str">
        <f t="shared" ref="R1998:S1998" si="1645">R594</f>
        <v>SECOPE/SG</v>
      </c>
      <c r="S1998" s="183" t="str">
        <f t="shared" si="1645"/>
        <v>GVT</v>
      </c>
      <c r="T1998" s="51">
        <f>T594</f>
        <v>0</v>
      </c>
      <c r="W1998" s="608">
        <f t="shared" si="1607"/>
        <v>113400</v>
      </c>
      <c r="X1998" s="608">
        <f t="shared" si="1608"/>
        <v>0</v>
      </c>
      <c r="Z1998" s="572">
        <f t="shared" si="1636"/>
        <v>0</v>
      </c>
      <c r="AA1998" s="1">
        <f t="shared" si="1637"/>
        <v>0</v>
      </c>
    </row>
    <row r="1999" spans="1:27" x14ac:dyDescent="0.2">
      <c r="A1999" s="20" t="str">
        <f>A597</f>
        <v>4.3.1.2 Paiement des enseignants du secondaire 1</v>
      </c>
      <c r="B1999" s="46"/>
      <c r="C1999" s="386">
        <f>C597</f>
        <v>0</v>
      </c>
      <c r="D1999" s="168">
        <f t="shared" si="1597"/>
        <v>77799.632681398944</v>
      </c>
      <c r="E1999" s="168">
        <f t="shared" si="1598"/>
        <v>86952.262078458662</v>
      </c>
      <c r="F1999" s="168">
        <f t="shared" si="1599"/>
        <v>101111.9327146322</v>
      </c>
      <c r="G1999" s="168">
        <f t="shared" si="1600"/>
        <v>116107.14091921032</v>
      </c>
      <c r="H1999" s="168">
        <f t="shared" si="1601"/>
        <v>130997.90259026669</v>
      </c>
      <c r="I1999" s="166">
        <f t="shared" si="1602"/>
        <v>512968.8709839668</v>
      </c>
      <c r="J1999" s="371" t="str">
        <f t="shared" si="1603"/>
        <v>SECOPE/SG</v>
      </c>
      <c r="K1999" s="350" t="str">
        <f t="shared" si="1604"/>
        <v>GVT</v>
      </c>
      <c r="L1999" s="167">
        <f t="shared" ref="L1999:T1999" si="1646">L597</f>
        <v>77799632.681398943</v>
      </c>
      <c r="M1999" s="168">
        <f t="shared" si="1646"/>
        <v>86952262.078458667</v>
      </c>
      <c r="N1999" s="168">
        <f t="shared" si="1646"/>
        <v>101111932.7146322</v>
      </c>
      <c r="O1999" s="168">
        <f t="shared" si="1646"/>
        <v>116107140.91921031</v>
      </c>
      <c r="P1999" s="168">
        <f t="shared" si="1646"/>
        <v>130997902.59026669</v>
      </c>
      <c r="Q1999" s="165">
        <f t="shared" si="1646"/>
        <v>512968870.98396683</v>
      </c>
      <c r="R1999" s="205" t="str">
        <f t="shared" ref="R1999:S1999" si="1647">R597</f>
        <v>SECOPE/SG</v>
      </c>
      <c r="S1999" s="183" t="str">
        <f t="shared" si="1647"/>
        <v>GVT</v>
      </c>
      <c r="T1999" s="51">
        <f t="shared" si="1646"/>
        <v>0</v>
      </c>
      <c r="W1999" s="608">
        <f t="shared" si="1607"/>
        <v>512968870.98396683</v>
      </c>
      <c r="X1999" s="608">
        <f t="shared" si="1608"/>
        <v>0</v>
      </c>
      <c r="Z1999" s="572">
        <f t="shared" si="1636"/>
        <v>0</v>
      </c>
      <c r="AA1999" s="1">
        <f t="shared" si="1637"/>
        <v>0</v>
      </c>
    </row>
    <row r="2000" spans="1:27" x14ac:dyDescent="0.2">
      <c r="A2000" s="17" t="str">
        <f>A599</f>
        <v xml:space="preserve">4.3.2 Subventions aux écoles </v>
      </c>
      <c r="B2000" s="45"/>
      <c r="C2000" s="387" t="str">
        <f>C599</f>
        <v>En 2025, toutes les écoles reçoivent une subvention pour le fonctionnement des classes 1&amp;2</v>
      </c>
      <c r="D2000" s="157">
        <f t="shared" si="1597"/>
        <v>0</v>
      </c>
      <c r="E2000" s="157">
        <f t="shared" si="1598"/>
        <v>0</v>
      </c>
      <c r="F2000" s="157">
        <f t="shared" si="1599"/>
        <v>0</v>
      </c>
      <c r="G2000" s="157">
        <f t="shared" si="1600"/>
        <v>24000</v>
      </c>
      <c r="H2000" s="157">
        <f t="shared" si="1601"/>
        <v>24000</v>
      </c>
      <c r="I2000" s="160">
        <f t="shared" si="1602"/>
        <v>48000</v>
      </c>
      <c r="J2000" s="374">
        <f t="shared" si="1603"/>
        <v>0</v>
      </c>
      <c r="K2000" s="348">
        <f t="shared" si="1604"/>
        <v>0</v>
      </c>
      <c r="L2000" s="35">
        <f t="shared" ref="L2000:S2000" si="1648">SUM(L2001:L2001)</f>
        <v>0</v>
      </c>
      <c r="M2000" s="34">
        <f t="shared" si="1648"/>
        <v>0</v>
      </c>
      <c r="N2000" s="34">
        <f t="shared" si="1648"/>
        <v>0</v>
      </c>
      <c r="O2000" s="34">
        <f t="shared" si="1648"/>
        <v>24000000</v>
      </c>
      <c r="P2000" s="34">
        <f t="shared" si="1648"/>
        <v>24000000</v>
      </c>
      <c r="Q2000" s="26">
        <f t="shared" si="1648"/>
        <v>48000000</v>
      </c>
      <c r="R2000" s="518">
        <f t="shared" si="1648"/>
        <v>0</v>
      </c>
      <c r="S2000" s="181">
        <f t="shared" si="1648"/>
        <v>0</v>
      </c>
      <c r="T2000" s="50">
        <f>T599</f>
        <v>0</v>
      </c>
      <c r="W2000" s="608">
        <f t="shared" si="1607"/>
        <v>48000000</v>
      </c>
      <c r="X2000" s="608">
        <f t="shared" si="1608"/>
        <v>0</v>
      </c>
      <c r="Z2000" s="572">
        <f t="shared" si="1636"/>
        <v>0</v>
      </c>
      <c r="AA2000" s="1">
        <f t="shared" si="1637"/>
        <v>0</v>
      </c>
    </row>
    <row r="2001" spans="1:27" x14ac:dyDescent="0.2">
      <c r="A2001" s="20" t="str">
        <f>A600</f>
        <v>4.3.2.1 Subvention de fonctionnement au secondaire</v>
      </c>
      <c r="B2001" s="46"/>
      <c r="C2001" s="386">
        <f>C600</f>
        <v>0</v>
      </c>
      <c r="D2001" s="168">
        <f t="shared" si="1597"/>
        <v>0</v>
      </c>
      <c r="E2001" s="168">
        <f t="shared" si="1598"/>
        <v>0</v>
      </c>
      <c r="F2001" s="168">
        <f t="shared" si="1599"/>
        <v>0</v>
      </c>
      <c r="G2001" s="168">
        <f t="shared" si="1600"/>
        <v>24000</v>
      </c>
      <c r="H2001" s="168">
        <f t="shared" si="1601"/>
        <v>24000</v>
      </c>
      <c r="I2001" s="166">
        <f t="shared" si="1602"/>
        <v>48000</v>
      </c>
      <c r="J2001" s="371" t="str">
        <f t="shared" si="1603"/>
        <v>SECOPE/SG</v>
      </c>
      <c r="K2001" s="350" t="str">
        <f t="shared" si="1604"/>
        <v>GVT</v>
      </c>
      <c r="L2001" s="167">
        <f t="shared" ref="L2001:Q2001" si="1649">L600</f>
        <v>0</v>
      </c>
      <c r="M2001" s="168">
        <f t="shared" si="1649"/>
        <v>0</v>
      </c>
      <c r="N2001" s="168">
        <f t="shared" si="1649"/>
        <v>0</v>
      </c>
      <c r="O2001" s="168">
        <f t="shared" si="1649"/>
        <v>24000000</v>
      </c>
      <c r="P2001" s="168">
        <f t="shared" si="1649"/>
        <v>24000000</v>
      </c>
      <c r="Q2001" s="165">
        <f t="shared" si="1649"/>
        <v>48000000</v>
      </c>
      <c r="R2001" s="205" t="str">
        <f t="shared" ref="R2001:S2001" si="1650">R600</f>
        <v>SECOPE/SG</v>
      </c>
      <c r="S2001" s="183" t="str">
        <f t="shared" si="1650"/>
        <v>GVT</v>
      </c>
      <c r="T2001" s="51">
        <f>T600</f>
        <v>0</v>
      </c>
      <c r="W2001" s="608">
        <f t="shared" si="1607"/>
        <v>48000000</v>
      </c>
      <c r="X2001" s="608">
        <f t="shared" si="1608"/>
        <v>0</v>
      </c>
      <c r="Z2001" s="572">
        <f t="shared" si="1636"/>
        <v>0</v>
      </c>
      <c r="AA2001" s="1">
        <f t="shared" si="1637"/>
        <v>0</v>
      </c>
    </row>
    <row r="2002" spans="1:27" x14ac:dyDescent="0.2">
      <c r="A2002" s="14" t="str">
        <f>A602</f>
        <v>4.4 Matériels et équipements pédagogiques : apporter aux écoles les manuels et matériels didactiques nécessaires</v>
      </c>
      <c r="B2002" s="44"/>
      <c r="C2002" s="385">
        <f>C602</f>
        <v>0</v>
      </c>
      <c r="D2002" s="217">
        <f t="shared" si="1597"/>
        <v>5038.0079999999998</v>
      </c>
      <c r="E2002" s="217">
        <f t="shared" si="1598"/>
        <v>5012.5079999999998</v>
      </c>
      <c r="F2002" s="217">
        <f t="shared" si="1599"/>
        <v>5012.5079999999998</v>
      </c>
      <c r="G2002" s="217">
        <f t="shared" si="1600"/>
        <v>4914.8999999999996</v>
      </c>
      <c r="H2002" s="217">
        <f t="shared" si="1601"/>
        <v>4914.8999999999996</v>
      </c>
      <c r="I2002" s="220">
        <f t="shared" si="1602"/>
        <v>24892.824000000001</v>
      </c>
      <c r="J2002" s="373">
        <f t="shared" si="1603"/>
        <v>0</v>
      </c>
      <c r="K2002" s="346">
        <f t="shared" si="1604"/>
        <v>0</v>
      </c>
      <c r="L2002" s="33">
        <f t="shared" ref="L2002:Q2002" si="1651">L2003+L2006+L2010</f>
        <v>5038008</v>
      </c>
      <c r="M2002" s="32">
        <f t="shared" si="1651"/>
        <v>5012508</v>
      </c>
      <c r="N2002" s="32">
        <f t="shared" si="1651"/>
        <v>5012508</v>
      </c>
      <c r="O2002" s="32">
        <f t="shared" si="1651"/>
        <v>4914900</v>
      </c>
      <c r="P2002" s="32">
        <f t="shared" si="1651"/>
        <v>4914900</v>
      </c>
      <c r="Q2002" s="25">
        <f t="shared" si="1651"/>
        <v>24892824</v>
      </c>
      <c r="R2002" s="16">
        <f t="shared" ref="R2002:S2002" si="1652">R2003+R2006+R2010</f>
        <v>0</v>
      </c>
      <c r="S2002" s="15">
        <f t="shared" si="1652"/>
        <v>0</v>
      </c>
      <c r="T2002" s="112">
        <f>T602</f>
        <v>2</v>
      </c>
      <c r="W2002" s="608">
        <f t="shared" si="1607"/>
        <v>24892824</v>
      </c>
      <c r="X2002" s="608">
        <f t="shared" si="1608"/>
        <v>0</v>
      </c>
      <c r="Z2002" s="572">
        <f t="shared" si="1636"/>
        <v>0</v>
      </c>
      <c r="AA2002" s="1">
        <f t="shared" si="1637"/>
        <v>0</v>
      </c>
    </row>
    <row r="2003" spans="1:27" x14ac:dyDescent="0.2">
      <c r="A2003" s="17" t="str">
        <f>A603</f>
        <v>4.4.1 Équipements pédagogiques</v>
      </c>
      <c r="B2003" s="45"/>
      <c r="C2003" s="386" t="str">
        <f>C603</f>
        <v>En 2025, toutes les écoles disposent de matériels pédagogiques</v>
      </c>
      <c r="D2003" s="157">
        <f t="shared" si="1597"/>
        <v>2449.5</v>
      </c>
      <c r="E2003" s="157">
        <f t="shared" si="1598"/>
        <v>2445</v>
      </c>
      <c r="F2003" s="157">
        <f t="shared" si="1599"/>
        <v>2445</v>
      </c>
      <c r="G2003" s="157">
        <f t="shared" si="1600"/>
        <v>2445</v>
      </c>
      <c r="H2003" s="157">
        <f t="shared" si="1601"/>
        <v>2445</v>
      </c>
      <c r="I2003" s="160">
        <f t="shared" si="1602"/>
        <v>12229.5</v>
      </c>
      <c r="J2003" s="374">
        <f t="shared" si="1603"/>
        <v>0</v>
      </c>
      <c r="K2003" s="348">
        <f t="shared" si="1604"/>
        <v>0</v>
      </c>
      <c r="L2003" s="35">
        <f t="shared" ref="L2003:Q2003" si="1653">SUM(L2004:L2005)</f>
        <v>2449500</v>
      </c>
      <c r="M2003" s="34">
        <f t="shared" si="1653"/>
        <v>2445000</v>
      </c>
      <c r="N2003" s="34">
        <f t="shared" si="1653"/>
        <v>2445000</v>
      </c>
      <c r="O2003" s="34">
        <f t="shared" si="1653"/>
        <v>2445000</v>
      </c>
      <c r="P2003" s="34">
        <f t="shared" si="1653"/>
        <v>2445000</v>
      </c>
      <c r="Q2003" s="26">
        <f t="shared" si="1653"/>
        <v>12229500</v>
      </c>
      <c r="R2003" s="19">
        <f t="shared" ref="R2003:S2003" si="1654">SUM(R2004:R2005)</f>
        <v>0</v>
      </c>
      <c r="S2003" s="18">
        <f t="shared" si="1654"/>
        <v>0</v>
      </c>
      <c r="T2003" s="51">
        <f>T603</f>
        <v>0</v>
      </c>
      <c r="W2003" s="608">
        <f t="shared" si="1607"/>
        <v>12229500</v>
      </c>
      <c r="X2003" s="608">
        <f t="shared" si="1608"/>
        <v>0</v>
      </c>
      <c r="Z2003" s="572">
        <f t="shared" si="1636"/>
        <v>0</v>
      </c>
      <c r="AA2003" s="1">
        <f t="shared" si="1637"/>
        <v>0</v>
      </c>
    </row>
    <row r="2004" spans="1:27" x14ac:dyDescent="0.2">
      <c r="A2004" s="20" t="str">
        <f>A604</f>
        <v>4.4.1.1 Définition du kit d'équipement en matériel pédagogique pour le premier cycle du secondaire</v>
      </c>
      <c r="B2004" s="46"/>
      <c r="C2004" s="386">
        <f>C604</f>
        <v>0</v>
      </c>
      <c r="D2004" s="168">
        <f t="shared" si="1597"/>
        <v>4.5</v>
      </c>
      <c r="E2004" s="168">
        <f t="shared" si="1598"/>
        <v>0</v>
      </c>
      <c r="F2004" s="168">
        <f t="shared" si="1599"/>
        <v>0</v>
      </c>
      <c r="G2004" s="168">
        <f t="shared" si="1600"/>
        <v>0</v>
      </c>
      <c r="H2004" s="168">
        <f t="shared" si="1601"/>
        <v>0</v>
      </c>
      <c r="I2004" s="166">
        <f t="shared" si="1602"/>
        <v>4.5</v>
      </c>
      <c r="J2004" s="371" t="str">
        <f t="shared" si="1603"/>
        <v>EPS-DIPROMAD</v>
      </c>
      <c r="K2004" s="350" t="str">
        <f t="shared" si="1604"/>
        <v>BM</v>
      </c>
      <c r="L2004" s="167">
        <f t="shared" ref="L2004:Q2004" si="1655">L604</f>
        <v>4500</v>
      </c>
      <c r="M2004" s="168">
        <f t="shared" si="1655"/>
        <v>0</v>
      </c>
      <c r="N2004" s="168">
        <f t="shared" si="1655"/>
        <v>0</v>
      </c>
      <c r="O2004" s="168">
        <f t="shared" si="1655"/>
        <v>0</v>
      </c>
      <c r="P2004" s="168">
        <f t="shared" si="1655"/>
        <v>0</v>
      </c>
      <c r="Q2004" s="165">
        <f t="shared" si="1655"/>
        <v>4500</v>
      </c>
      <c r="R2004" s="198" t="str">
        <f t="shared" ref="R2004:S2004" si="1656">R604</f>
        <v>EPS-DIPROMAD</v>
      </c>
      <c r="S2004" s="115" t="str">
        <f t="shared" si="1656"/>
        <v>BM</v>
      </c>
      <c r="T2004" s="51">
        <f>T604</f>
        <v>0</v>
      </c>
      <c r="W2004" s="608">
        <f t="shared" si="1607"/>
        <v>4500</v>
      </c>
      <c r="X2004" s="608">
        <f t="shared" si="1608"/>
        <v>0</v>
      </c>
      <c r="Z2004" s="572">
        <f t="shared" si="1636"/>
        <v>0</v>
      </c>
      <c r="AA2004" s="1">
        <f t="shared" si="1637"/>
        <v>0</v>
      </c>
    </row>
    <row r="2005" spans="1:27" x14ac:dyDescent="0.2">
      <c r="A2005" s="20" t="str">
        <f>A607</f>
        <v>4.4.1.2 Acquisition et distribution de kits pédagogiques</v>
      </c>
      <c r="B2005" s="46"/>
      <c r="C2005" s="386">
        <f>C607</f>
        <v>0</v>
      </c>
      <c r="D2005" s="168">
        <f t="shared" si="1597"/>
        <v>2445</v>
      </c>
      <c r="E2005" s="168">
        <f t="shared" si="1598"/>
        <v>2445</v>
      </c>
      <c r="F2005" s="168">
        <f t="shared" si="1599"/>
        <v>2445</v>
      </c>
      <c r="G2005" s="168">
        <f t="shared" si="1600"/>
        <v>2445</v>
      </c>
      <c r="H2005" s="168">
        <f t="shared" si="1601"/>
        <v>2445</v>
      </c>
      <c r="I2005" s="166">
        <f t="shared" si="1602"/>
        <v>12225</v>
      </c>
      <c r="J2005" s="371" t="str">
        <f t="shared" si="1603"/>
        <v>EPS-DIPROMAD</v>
      </c>
      <c r="K2005" s="350" t="str">
        <f t="shared" si="1604"/>
        <v>BM</v>
      </c>
      <c r="L2005" s="167">
        <f t="shared" ref="L2005:T2005" si="1657">L607</f>
        <v>2445000</v>
      </c>
      <c r="M2005" s="168">
        <f t="shared" si="1657"/>
        <v>2445000</v>
      </c>
      <c r="N2005" s="168">
        <f t="shared" si="1657"/>
        <v>2445000</v>
      </c>
      <c r="O2005" s="168">
        <f t="shared" si="1657"/>
        <v>2445000</v>
      </c>
      <c r="P2005" s="168">
        <f t="shared" si="1657"/>
        <v>2445000</v>
      </c>
      <c r="Q2005" s="165">
        <f t="shared" si="1657"/>
        <v>12225000</v>
      </c>
      <c r="R2005" s="198" t="str">
        <f t="shared" ref="R2005:S2005" si="1658">R607</f>
        <v>EPS-DIPROMAD</v>
      </c>
      <c r="S2005" s="115" t="str">
        <f t="shared" si="1658"/>
        <v>BM</v>
      </c>
      <c r="T2005" s="51">
        <f t="shared" si="1657"/>
        <v>0</v>
      </c>
      <c r="W2005" s="608">
        <f t="shared" si="1607"/>
        <v>12225000</v>
      </c>
      <c r="X2005" s="608">
        <f t="shared" si="1608"/>
        <v>0</v>
      </c>
      <c r="Z2005" s="572">
        <f t="shared" si="1636"/>
        <v>0</v>
      </c>
      <c r="AA2005" s="1">
        <f t="shared" si="1637"/>
        <v>0</v>
      </c>
    </row>
    <row r="2006" spans="1:27" x14ac:dyDescent="0.2">
      <c r="A2006" s="17" t="str">
        <f>A609</f>
        <v xml:space="preserve">4.4.2 Manuels scolaires </v>
      </c>
      <c r="B2006" s="45"/>
      <c r="C2006" s="386" t="str">
        <f>C609</f>
        <v xml:space="preserve">En 2025, tous les enfants disposent de 3 manuels </v>
      </c>
      <c r="D2006" s="157">
        <f t="shared" si="1597"/>
        <v>2490.9</v>
      </c>
      <c r="E2006" s="157">
        <f t="shared" si="1598"/>
        <v>2469.9</v>
      </c>
      <c r="F2006" s="157">
        <f t="shared" si="1599"/>
        <v>2469.9</v>
      </c>
      <c r="G2006" s="157">
        <f t="shared" si="1600"/>
        <v>2469.9</v>
      </c>
      <c r="H2006" s="157">
        <f t="shared" si="1601"/>
        <v>2469.9</v>
      </c>
      <c r="I2006" s="160">
        <f t="shared" si="1602"/>
        <v>12370.5</v>
      </c>
      <c r="J2006" s="374">
        <f t="shared" si="1603"/>
        <v>0</v>
      </c>
      <c r="K2006" s="348">
        <f t="shared" si="1604"/>
        <v>0</v>
      </c>
      <c r="L2006" s="35">
        <f t="shared" ref="L2006:Q2006" si="1659">SUM(L2007:L2009)</f>
        <v>2490900</v>
      </c>
      <c r="M2006" s="34">
        <f t="shared" si="1659"/>
        <v>2469900</v>
      </c>
      <c r="N2006" s="34">
        <f t="shared" si="1659"/>
        <v>2469900</v>
      </c>
      <c r="O2006" s="34">
        <f t="shared" si="1659"/>
        <v>2469900</v>
      </c>
      <c r="P2006" s="34">
        <f t="shared" si="1659"/>
        <v>2469900</v>
      </c>
      <c r="Q2006" s="26">
        <f t="shared" si="1659"/>
        <v>12370500</v>
      </c>
      <c r="R2006" s="19">
        <f t="shared" ref="R2006:S2006" si="1660">SUM(R2007:R2009)</f>
        <v>0</v>
      </c>
      <c r="S2006" s="18">
        <f t="shared" si="1660"/>
        <v>0</v>
      </c>
      <c r="T2006" s="51">
        <f>T609</f>
        <v>0</v>
      </c>
      <c r="W2006" s="608">
        <f t="shared" si="1607"/>
        <v>12370500</v>
      </c>
      <c r="X2006" s="608">
        <f t="shared" si="1608"/>
        <v>0</v>
      </c>
      <c r="Z2006" s="572">
        <f t="shared" si="1636"/>
        <v>0</v>
      </c>
      <c r="AA2006" s="1">
        <f t="shared" si="1637"/>
        <v>0</v>
      </c>
    </row>
    <row r="2007" spans="1:27" x14ac:dyDescent="0.2">
      <c r="A2007" s="20" t="str">
        <f>A610</f>
        <v>4.4.2.1 Élaboration de manuels scolaires en français, mathématiques et sciences et de leurs guides pédagogiques</v>
      </c>
      <c r="B2007" s="46"/>
      <c r="C2007" s="386">
        <f>C610</f>
        <v>0</v>
      </c>
      <c r="D2007" s="168">
        <f t="shared" si="1597"/>
        <v>7.2</v>
      </c>
      <c r="E2007" s="168">
        <f t="shared" si="1598"/>
        <v>0</v>
      </c>
      <c r="F2007" s="168">
        <f t="shared" si="1599"/>
        <v>0</v>
      </c>
      <c r="G2007" s="168">
        <f t="shared" si="1600"/>
        <v>0</v>
      </c>
      <c r="H2007" s="168">
        <f t="shared" si="1601"/>
        <v>0</v>
      </c>
      <c r="I2007" s="166">
        <f t="shared" si="1602"/>
        <v>7.2</v>
      </c>
      <c r="J2007" s="371" t="str">
        <f t="shared" si="1603"/>
        <v>EPS-DIPROMAD</v>
      </c>
      <c r="K2007" s="350" t="str">
        <f t="shared" si="1604"/>
        <v>ND</v>
      </c>
      <c r="L2007" s="167">
        <f t="shared" ref="L2007:Q2007" si="1661">L610</f>
        <v>7200</v>
      </c>
      <c r="M2007" s="168">
        <f t="shared" si="1661"/>
        <v>0</v>
      </c>
      <c r="N2007" s="168">
        <f t="shared" si="1661"/>
        <v>0</v>
      </c>
      <c r="O2007" s="168">
        <f t="shared" si="1661"/>
        <v>0</v>
      </c>
      <c r="P2007" s="168">
        <f t="shared" si="1661"/>
        <v>0</v>
      </c>
      <c r="Q2007" s="165">
        <f t="shared" si="1661"/>
        <v>7200</v>
      </c>
      <c r="R2007" s="198" t="str">
        <f t="shared" ref="R2007:S2007" si="1662">R610</f>
        <v>EPS-DIPROMAD</v>
      </c>
      <c r="S2007" s="115" t="str">
        <f t="shared" si="1662"/>
        <v>ND</v>
      </c>
      <c r="T2007" s="51">
        <f>T610</f>
        <v>0</v>
      </c>
      <c r="W2007" s="608">
        <f t="shared" si="1607"/>
        <v>7200</v>
      </c>
      <c r="X2007" s="608">
        <f t="shared" si="1608"/>
        <v>0</v>
      </c>
      <c r="Z2007" s="572">
        <f t="shared" si="1636"/>
        <v>0</v>
      </c>
      <c r="AA2007" s="1">
        <f t="shared" si="1637"/>
        <v>0</v>
      </c>
    </row>
    <row r="2008" spans="1:27" x14ac:dyDescent="0.2">
      <c r="A2008" s="20" t="str">
        <f>A613</f>
        <v>4.4.2.3 Élaboration du module de formation à l'utilisation des manuels scolaires en français, mathématiques et sciences</v>
      </c>
      <c r="B2008" s="46"/>
      <c r="C2008" s="386">
        <f>C613</f>
        <v>0</v>
      </c>
      <c r="D2008" s="168">
        <f t="shared" si="1597"/>
        <v>13.8</v>
      </c>
      <c r="E2008" s="168">
        <f t="shared" si="1598"/>
        <v>0</v>
      </c>
      <c r="F2008" s="168">
        <f t="shared" si="1599"/>
        <v>0</v>
      </c>
      <c r="G2008" s="168">
        <f t="shared" si="1600"/>
        <v>0</v>
      </c>
      <c r="H2008" s="168">
        <f t="shared" si="1601"/>
        <v>0</v>
      </c>
      <c r="I2008" s="166">
        <f t="shared" si="1602"/>
        <v>13.8</v>
      </c>
      <c r="J2008" s="371" t="str">
        <f t="shared" si="1603"/>
        <v>EPS-DIPROMAD/SERNAFOR</v>
      </c>
      <c r="K2008" s="350" t="str">
        <f t="shared" si="1604"/>
        <v>ND</v>
      </c>
      <c r="L2008" s="167">
        <f t="shared" ref="L2008:T2008" si="1663">L613</f>
        <v>13800</v>
      </c>
      <c r="M2008" s="168">
        <f t="shared" si="1663"/>
        <v>0</v>
      </c>
      <c r="N2008" s="168">
        <f t="shared" si="1663"/>
        <v>0</v>
      </c>
      <c r="O2008" s="168">
        <f t="shared" si="1663"/>
        <v>0</v>
      </c>
      <c r="P2008" s="168">
        <f t="shared" si="1663"/>
        <v>0</v>
      </c>
      <c r="Q2008" s="165">
        <f t="shared" si="1663"/>
        <v>13800</v>
      </c>
      <c r="R2008" s="198" t="str">
        <f t="shared" ref="R2008:S2008" si="1664">R613</f>
        <v>EPS-DIPROMAD/SERNAFOR</v>
      </c>
      <c r="S2008" s="115" t="str">
        <f t="shared" si="1664"/>
        <v>ND</v>
      </c>
      <c r="T2008" s="51">
        <f t="shared" si="1663"/>
        <v>0</v>
      </c>
      <c r="W2008" s="608">
        <f t="shared" si="1607"/>
        <v>13800</v>
      </c>
      <c r="X2008" s="608">
        <f t="shared" si="1608"/>
        <v>0</v>
      </c>
      <c r="Z2008" s="572">
        <f t="shared" si="1636"/>
        <v>0</v>
      </c>
      <c r="AA2008" s="1">
        <f t="shared" si="1637"/>
        <v>0</v>
      </c>
    </row>
    <row r="2009" spans="1:27" x14ac:dyDescent="0.2">
      <c r="A2009" s="20" t="str">
        <f>A617</f>
        <v>4.4.2.4 Acquisition et distribution des manuels scolaires en français, mathématiques et sciences</v>
      </c>
      <c r="B2009" s="46"/>
      <c r="C2009" s="386">
        <f>C617</f>
        <v>0</v>
      </c>
      <c r="D2009" s="168">
        <f t="shared" si="1597"/>
        <v>2469.9</v>
      </c>
      <c r="E2009" s="168">
        <f t="shared" si="1598"/>
        <v>2469.9</v>
      </c>
      <c r="F2009" s="168">
        <f t="shared" si="1599"/>
        <v>2469.9</v>
      </c>
      <c r="G2009" s="168">
        <f t="shared" si="1600"/>
        <v>2469.9</v>
      </c>
      <c r="H2009" s="168">
        <f t="shared" si="1601"/>
        <v>2469.9</v>
      </c>
      <c r="I2009" s="166">
        <f t="shared" si="1602"/>
        <v>12349.5</v>
      </c>
      <c r="J2009" s="371" t="str">
        <f t="shared" si="1603"/>
        <v>EPS-DIPROMAD</v>
      </c>
      <c r="K2009" s="350" t="str">
        <f t="shared" si="1604"/>
        <v>ND</v>
      </c>
      <c r="L2009" s="167">
        <f t="shared" ref="L2009:T2009" si="1665">L617</f>
        <v>2469900</v>
      </c>
      <c r="M2009" s="168">
        <f t="shared" si="1665"/>
        <v>2469900</v>
      </c>
      <c r="N2009" s="168">
        <f t="shared" si="1665"/>
        <v>2469900</v>
      </c>
      <c r="O2009" s="168">
        <f t="shared" si="1665"/>
        <v>2469900</v>
      </c>
      <c r="P2009" s="168">
        <f t="shared" si="1665"/>
        <v>2469900</v>
      </c>
      <c r="Q2009" s="165">
        <f t="shared" si="1665"/>
        <v>12349500</v>
      </c>
      <c r="R2009" s="198" t="str">
        <f t="shared" ref="R2009:S2009" si="1666">R617</f>
        <v>EPS-DIPROMAD</v>
      </c>
      <c r="S2009" s="115" t="str">
        <f t="shared" si="1666"/>
        <v>ND</v>
      </c>
      <c r="T2009" s="51">
        <f t="shared" si="1665"/>
        <v>0</v>
      </c>
      <c r="W2009" s="608">
        <f t="shared" si="1607"/>
        <v>12349500</v>
      </c>
      <c r="X2009" s="608">
        <f t="shared" si="1608"/>
        <v>0</v>
      </c>
      <c r="Z2009" s="572">
        <f t="shared" si="1636"/>
        <v>0</v>
      </c>
      <c r="AA2009" s="1">
        <f t="shared" si="1637"/>
        <v>0</v>
      </c>
    </row>
    <row r="2010" spans="1:27" x14ac:dyDescent="0.2">
      <c r="A2010" s="17" t="str">
        <f>A619</f>
        <v>4.4.3 Guides pédagogiques pour les enseignants</v>
      </c>
      <c r="B2010" s="45"/>
      <c r="C2010" s="386" t="str">
        <f>C619</f>
        <v>En 2018, tous les enseignants du 1er cycle disposent d'un guide</v>
      </c>
      <c r="D2010" s="157">
        <f t="shared" si="1597"/>
        <v>97.608000000000004</v>
      </c>
      <c r="E2010" s="157">
        <f t="shared" si="1598"/>
        <v>97.608000000000004</v>
      </c>
      <c r="F2010" s="157">
        <f t="shared" si="1599"/>
        <v>97.608000000000004</v>
      </c>
      <c r="G2010" s="157">
        <f t="shared" si="1600"/>
        <v>0</v>
      </c>
      <c r="H2010" s="157">
        <f t="shared" si="1601"/>
        <v>0</v>
      </c>
      <c r="I2010" s="160">
        <f t="shared" si="1602"/>
        <v>292.82400000000001</v>
      </c>
      <c r="J2010" s="374">
        <f t="shared" si="1603"/>
        <v>0</v>
      </c>
      <c r="K2010" s="348">
        <f t="shared" si="1604"/>
        <v>0</v>
      </c>
      <c r="L2010" s="35">
        <f t="shared" ref="L2010:S2010" si="1667">SUM(L2011:L2011)</f>
        <v>97608</v>
      </c>
      <c r="M2010" s="34">
        <f t="shared" si="1667"/>
        <v>97608</v>
      </c>
      <c r="N2010" s="34">
        <f t="shared" si="1667"/>
        <v>97608</v>
      </c>
      <c r="O2010" s="34">
        <f t="shared" si="1667"/>
        <v>0</v>
      </c>
      <c r="P2010" s="34">
        <f t="shared" si="1667"/>
        <v>0</v>
      </c>
      <c r="Q2010" s="26">
        <f t="shared" si="1667"/>
        <v>292824</v>
      </c>
      <c r="R2010" s="19">
        <f t="shared" si="1667"/>
        <v>0</v>
      </c>
      <c r="S2010" s="18">
        <f t="shared" si="1667"/>
        <v>0</v>
      </c>
      <c r="T2010" s="51">
        <f>T619</f>
        <v>0</v>
      </c>
      <c r="W2010" s="608">
        <f t="shared" si="1607"/>
        <v>292824</v>
      </c>
      <c r="X2010" s="608">
        <f t="shared" si="1608"/>
        <v>0</v>
      </c>
      <c r="Z2010" s="572">
        <f t="shared" si="1636"/>
        <v>0</v>
      </c>
      <c r="AA2010" s="1">
        <f t="shared" si="1637"/>
        <v>0</v>
      </c>
    </row>
    <row r="2011" spans="1:27" x14ac:dyDescent="0.2">
      <c r="A2011" s="20" t="str">
        <f>A620</f>
        <v>4.4.2.4 Acquisition et distribution des guides pédagogiques pour les enseignants</v>
      </c>
      <c r="B2011" s="46"/>
      <c r="C2011" s="386">
        <f>C620</f>
        <v>0</v>
      </c>
      <c r="D2011" s="168">
        <f t="shared" si="1597"/>
        <v>97.608000000000004</v>
      </c>
      <c r="E2011" s="168">
        <f t="shared" si="1598"/>
        <v>97.608000000000004</v>
      </c>
      <c r="F2011" s="168">
        <f t="shared" si="1599"/>
        <v>97.608000000000004</v>
      </c>
      <c r="G2011" s="168">
        <f t="shared" si="1600"/>
        <v>0</v>
      </c>
      <c r="H2011" s="168">
        <f t="shared" si="1601"/>
        <v>0</v>
      </c>
      <c r="I2011" s="166">
        <f t="shared" si="1602"/>
        <v>292.82400000000001</v>
      </c>
      <c r="J2011" s="371" t="str">
        <f t="shared" si="1603"/>
        <v>EPS-DIPROMAD</v>
      </c>
      <c r="K2011" s="350" t="str">
        <f t="shared" si="1604"/>
        <v>BM</v>
      </c>
      <c r="L2011" s="167">
        <f t="shared" ref="L2011:Q2011" si="1668">L620</f>
        <v>97608</v>
      </c>
      <c r="M2011" s="168">
        <f t="shared" si="1668"/>
        <v>97608</v>
      </c>
      <c r="N2011" s="168">
        <f t="shared" si="1668"/>
        <v>97608</v>
      </c>
      <c r="O2011" s="168">
        <f t="shared" si="1668"/>
        <v>0</v>
      </c>
      <c r="P2011" s="168">
        <f t="shared" si="1668"/>
        <v>0</v>
      </c>
      <c r="Q2011" s="165">
        <f t="shared" si="1668"/>
        <v>292824</v>
      </c>
      <c r="R2011" s="198" t="str">
        <f t="shared" ref="R2011:S2011" si="1669">R620</f>
        <v>EPS-DIPROMAD</v>
      </c>
      <c r="S2011" s="115" t="str">
        <f t="shared" si="1669"/>
        <v>BM</v>
      </c>
      <c r="T2011" s="51">
        <f>T620</f>
        <v>0</v>
      </c>
      <c r="W2011" s="608">
        <f t="shared" si="1607"/>
        <v>292824</v>
      </c>
      <c r="X2011" s="608">
        <f t="shared" si="1608"/>
        <v>0</v>
      </c>
      <c r="Z2011" s="572">
        <f t="shared" si="1636"/>
        <v>0</v>
      </c>
      <c r="AA2011" s="1">
        <f t="shared" si="1637"/>
        <v>0</v>
      </c>
    </row>
    <row r="2012" spans="1:27" x14ac:dyDescent="0.2">
      <c r="A2012" s="14" t="str">
        <f>A622</f>
        <v>4.5 Environnement éducatif : apporter aux écoles les équipements nécessaires</v>
      </c>
      <c r="B2012" s="44"/>
      <c r="C2012" s="385">
        <f>C622</f>
        <v>0</v>
      </c>
      <c r="D2012" s="217">
        <f t="shared" si="1597"/>
        <v>1223.2249999999999</v>
      </c>
      <c r="E2012" s="217">
        <f t="shared" si="1598"/>
        <v>5714.2250000000004</v>
      </c>
      <c r="F2012" s="217">
        <f t="shared" si="1599"/>
        <v>5714.2250000000004</v>
      </c>
      <c r="G2012" s="217">
        <f t="shared" si="1600"/>
        <v>5714.2250000000004</v>
      </c>
      <c r="H2012" s="217">
        <f t="shared" si="1601"/>
        <v>5714.2250000000004</v>
      </c>
      <c r="I2012" s="220">
        <f t="shared" si="1602"/>
        <v>24080.125</v>
      </c>
      <c r="J2012" s="373">
        <f t="shared" si="1603"/>
        <v>0</v>
      </c>
      <c r="K2012" s="346">
        <f t="shared" si="1604"/>
        <v>0</v>
      </c>
      <c r="L2012" s="33">
        <f t="shared" ref="L2012:Q2012" si="1670">L2013+L2015+L2018</f>
        <v>1223225</v>
      </c>
      <c r="M2012" s="32">
        <f t="shared" si="1670"/>
        <v>5714225</v>
      </c>
      <c r="N2012" s="32">
        <f t="shared" si="1670"/>
        <v>5714225</v>
      </c>
      <c r="O2012" s="32">
        <f t="shared" si="1670"/>
        <v>5714225</v>
      </c>
      <c r="P2012" s="32">
        <f t="shared" si="1670"/>
        <v>5714225</v>
      </c>
      <c r="Q2012" s="25">
        <f t="shared" si="1670"/>
        <v>24080125</v>
      </c>
      <c r="R2012" s="16">
        <f t="shared" ref="R2012:S2012" si="1671">R2013+R2015+R2018</f>
        <v>0</v>
      </c>
      <c r="S2012" s="15">
        <f t="shared" si="1671"/>
        <v>0</v>
      </c>
      <c r="T2012" s="112">
        <f>T622</f>
        <v>2</v>
      </c>
      <c r="W2012" s="608">
        <f t="shared" si="1607"/>
        <v>24080125</v>
      </c>
      <c r="X2012" s="608">
        <f t="shared" si="1608"/>
        <v>0</v>
      </c>
      <c r="Z2012" s="572">
        <f t="shared" si="1636"/>
        <v>0</v>
      </c>
      <c r="AA2012" s="1">
        <f t="shared" si="1637"/>
        <v>0</v>
      </c>
    </row>
    <row r="2013" spans="1:27" x14ac:dyDescent="0.2">
      <c r="A2013" s="17" t="str">
        <f>A623</f>
        <v>4.5.1 Équipement en table-bancs</v>
      </c>
      <c r="B2013" s="45"/>
      <c r="C2013" s="386" t="str">
        <f>C623</f>
        <v>En 2025, toutes les écoles sont équipées en tables-bancs</v>
      </c>
      <c r="D2013" s="157">
        <f t="shared" si="1597"/>
        <v>0</v>
      </c>
      <c r="E2013" s="157">
        <f t="shared" si="1598"/>
        <v>4574</v>
      </c>
      <c r="F2013" s="157">
        <f t="shared" si="1599"/>
        <v>4574</v>
      </c>
      <c r="G2013" s="157">
        <f t="shared" si="1600"/>
        <v>4574</v>
      </c>
      <c r="H2013" s="157">
        <f t="shared" si="1601"/>
        <v>4574</v>
      </c>
      <c r="I2013" s="160">
        <f t="shared" si="1602"/>
        <v>18296</v>
      </c>
      <c r="J2013" s="374">
        <f t="shared" si="1603"/>
        <v>0</v>
      </c>
      <c r="K2013" s="348">
        <f t="shared" si="1604"/>
        <v>0</v>
      </c>
      <c r="L2013" s="35">
        <f t="shared" ref="L2013:S2013" si="1672">SUM(L2014:L2014)</f>
        <v>0</v>
      </c>
      <c r="M2013" s="34">
        <f t="shared" si="1672"/>
        <v>4574000</v>
      </c>
      <c r="N2013" s="34">
        <f t="shared" si="1672"/>
        <v>4574000</v>
      </c>
      <c r="O2013" s="34">
        <f t="shared" si="1672"/>
        <v>4574000</v>
      </c>
      <c r="P2013" s="34">
        <f t="shared" si="1672"/>
        <v>4574000</v>
      </c>
      <c r="Q2013" s="26">
        <f t="shared" si="1672"/>
        <v>18296000</v>
      </c>
      <c r="R2013" s="19">
        <f t="shared" si="1672"/>
        <v>0</v>
      </c>
      <c r="S2013" s="18">
        <f t="shared" si="1672"/>
        <v>0</v>
      </c>
      <c r="T2013" s="51">
        <f>T623</f>
        <v>0</v>
      </c>
      <c r="W2013" s="608">
        <f t="shared" si="1607"/>
        <v>18296000</v>
      </c>
      <c r="X2013" s="608">
        <f t="shared" si="1608"/>
        <v>0</v>
      </c>
      <c r="Z2013" s="572">
        <f t="shared" si="1636"/>
        <v>0</v>
      </c>
      <c r="AA2013" s="1">
        <f t="shared" si="1637"/>
        <v>0</v>
      </c>
    </row>
    <row r="2014" spans="1:27" x14ac:dyDescent="0.2">
      <c r="A2014" s="20" t="str">
        <f>A624</f>
        <v>4.5.1.1 Acquisition de table-bancs</v>
      </c>
      <c r="B2014" s="46"/>
      <c r="C2014" s="386">
        <f>C624</f>
        <v>0</v>
      </c>
      <c r="D2014" s="168">
        <f t="shared" si="1597"/>
        <v>0</v>
      </c>
      <c r="E2014" s="168">
        <f t="shared" si="1598"/>
        <v>4574</v>
      </c>
      <c r="F2014" s="168">
        <f t="shared" si="1599"/>
        <v>4574</v>
      </c>
      <c r="G2014" s="168">
        <f t="shared" si="1600"/>
        <v>4574</v>
      </c>
      <c r="H2014" s="168">
        <f t="shared" si="1601"/>
        <v>4574</v>
      </c>
      <c r="I2014" s="166">
        <f t="shared" si="1602"/>
        <v>18296</v>
      </c>
      <c r="J2014" s="371" t="str">
        <f t="shared" si="1603"/>
        <v>EPS-DIS</v>
      </c>
      <c r="K2014" s="350" t="str">
        <f t="shared" si="1604"/>
        <v>BM</v>
      </c>
      <c r="L2014" s="167">
        <f t="shared" ref="L2014:Q2014" si="1673">L624</f>
        <v>0</v>
      </c>
      <c r="M2014" s="168">
        <f t="shared" si="1673"/>
        <v>4574000</v>
      </c>
      <c r="N2014" s="168">
        <f t="shared" si="1673"/>
        <v>4574000</v>
      </c>
      <c r="O2014" s="168">
        <f t="shared" si="1673"/>
        <v>4574000</v>
      </c>
      <c r="P2014" s="168">
        <f t="shared" si="1673"/>
        <v>4574000</v>
      </c>
      <c r="Q2014" s="165">
        <f t="shared" si="1673"/>
        <v>18296000</v>
      </c>
      <c r="R2014" s="198" t="str">
        <f t="shared" ref="R2014:S2014" si="1674">R624</f>
        <v>EPS-DIS</v>
      </c>
      <c r="S2014" s="115" t="str">
        <f t="shared" si="1674"/>
        <v>BM</v>
      </c>
      <c r="T2014" s="51">
        <f>T624</f>
        <v>0</v>
      </c>
      <c r="W2014" s="608">
        <f t="shared" si="1607"/>
        <v>18296000</v>
      </c>
      <c r="X2014" s="608">
        <f t="shared" si="1608"/>
        <v>0</v>
      </c>
      <c r="Z2014" s="572">
        <f t="shared" si="1636"/>
        <v>0</v>
      </c>
      <c r="AA2014" s="1">
        <f t="shared" si="1637"/>
        <v>0</v>
      </c>
    </row>
    <row r="2015" spans="1:27" x14ac:dyDescent="0.2">
      <c r="A2015" s="17" t="str">
        <f>A626</f>
        <v>4.5.2 Équipement pour activités physiques et sportives</v>
      </c>
      <c r="B2015" s="45"/>
      <c r="C2015" s="386" t="str">
        <f>C626</f>
        <v>En 2025, toutes les écoles ont accès à des équipements sportifs pour les activités d'EPS</v>
      </c>
      <c r="D2015" s="157">
        <f t="shared" si="1597"/>
        <v>169.88900000000001</v>
      </c>
      <c r="E2015" s="157">
        <f t="shared" si="1598"/>
        <v>162.88900000000001</v>
      </c>
      <c r="F2015" s="157">
        <f t="shared" si="1599"/>
        <v>162.88900000000001</v>
      </c>
      <c r="G2015" s="157">
        <f t="shared" si="1600"/>
        <v>162.88900000000001</v>
      </c>
      <c r="H2015" s="157">
        <f t="shared" si="1601"/>
        <v>162.88900000000001</v>
      </c>
      <c r="I2015" s="160">
        <f t="shared" si="1602"/>
        <v>821.44500000000005</v>
      </c>
      <c r="J2015" s="374">
        <f t="shared" si="1603"/>
        <v>0</v>
      </c>
      <c r="K2015" s="348">
        <f t="shared" si="1604"/>
        <v>0</v>
      </c>
      <c r="L2015" s="35">
        <f t="shared" ref="L2015:Q2015" si="1675">SUM(L2016:L2017)</f>
        <v>169889</v>
      </c>
      <c r="M2015" s="34">
        <f t="shared" si="1675"/>
        <v>162889</v>
      </c>
      <c r="N2015" s="34">
        <f t="shared" si="1675"/>
        <v>162889</v>
      </c>
      <c r="O2015" s="34">
        <f t="shared" si="1675"/>
        <v>162889</v>
      </c>
      <c r="P2015" s="34">
        <f t="shared" si="1675"/>
        <v>162889</v>
      </c>
      <c r="Q2015" s="26">
        <f t="shared" si="1675"/>
        <v>821445</v>
      </c>
      <c r="R2015" s="19">
        <f t="shared" ref="R2015:S2015" si="1676">SUM(R2016:R2017)</f>
        <v>0</v>
      </c>
      <c r="S2015" s="18">
        <f t="shared" si="1676"/>
        <v>0</v>
      </c>
      <c r="T2015" s="51">
        <f>T626</f>
        <v>0</v>
      </c>
      <c r="W2015" s="608">
        <f t="shared" si="1607"/>
        <v>821445</v>
      </c>
      <c r="X2015" s="608">
        <f t="shared" si="1608"/>
        <v>0</v>
      </c>
      <c r="Z2015" s="572">
        <f t="shared" si="1636"/>
        <v>0</v>
      </c>
      <c r="AA2015" s="1">
        <f t="shared" si="1637"/>
        <v>0</v>
      </c>
    </row>
    <row r="2016" spans="1:27" x14ac:dyDescent="0.2">
      <c r="A2016" s="20" t="str">
        <f>A627</f>
        <v xml:space="preserve">4.5.2.1 Définition d'un kit minimum pour une école d'équipements pour activités physiques et sportives </v>
      </c>
      <c r="B2016" s="46"/>
      <c r="C2016" s="386">
        <f>C627</f>
        <v>0</v>
      </c>
      <c r="D2016" s="168">
        <f t="shared" si="1597"/>
        <v>7</v>
      </c>
      <c r="E2016" s="168">
        <f t="shared" si="1598"/>
        <v>0</v>
      </c>
      <c r="F2016" s="168">
        <f t="shared" si="1599"/>
        <v>0</v>
      </c>
      <c r="G2016" s="168">
        <f t="shared" si="1600"/>
        <v>0</v>
      </c>
      <c r="H2016" s="168">
        <f t="shared" si="1601"/>
        <v>0</v>
      </c>
      <c r="I2016" s="166">
        <f t="shared" si="1602"/>
        <v>7</v>
      </c>
      <c r="J2016" s="371" t="str">
        <f t="shared" si="1603"/>
        <v>EPS/Dir. Sport et loisirs</v>
      </c>
      <c r="K2016" s="350" t="str">
        <f t="shared" si="1604"/>
        <v>ND</v>
      </c>
      <c r="L2016" s="167">
        <f t="shared" ref="L2016:Q2016" si="1677">L627</f>
        <v>7000</v>
      </c>
      <c r="M2016" s="168">
        <f t="shared" si="1677"/>
        <v>0</v>
      </c>
      <c r="N2016" s="168">
        <f t="shared" si="1677"/>
        <v>0</v>
      </c>
      <c r="O2016" s="168">
        <f t="shared" si="1677"/>
        <v>0</v>
      </c>
      <c r="P2016" s="168">
        <f t="shared" si="1677"/>
        <v>0</v>
      </c>
      <c r="Q2016" s="165">
        <f t="shared" si="1677"/>
        <v>7000</v>
      </c>
      <c r="R2016" s="198" t="str">
        <f t="shared" ref="R2016:S2016" si="1678">R627</f>
        <v>EPS/Dir. Sport et loisirs</v>
      </c>
      <c r="S2016" s="115" t="str">
        <f t="shared" si="1678"/>
        <v>ND</v>
      </c>
      <c r="T2016" s="51">
        <f>T627</f>
        <v>0</v>
      </c>
      <c r="W2016" s="608">
        <f t="shared" si="1607"/>
        <v>7000</v>
      </c>
      <c r="X2016" s="608">
        <f t="shared" si="1608"/>
        <v>0</v>
      </c>
      <c r="Z2016" s="572">
        <f t="shared" si="1636"/>
        <v>0</v>
      </c>
      <c r="AA2016" s="1">
        <f t="shared" si="1637"/>
        <v>0</v>
      </c>
    </row>
    <row r="2017" spans="1:27" x14ac:dyDescent="0.2">
      <c r="A2017" s="20" t="str">
        <f>A630</f>
        <v>4.5.2.2 Acquisition et distribution d'équipement pour activités physiques et sportives</v>
      </c>
      <c r="B2017" s="46"/>
      <c r="C2017" s="386">
        <f>C630</f>
        <v>0</v>
      </c>
      <c r="D2017" s="168">
        <f t="shared" si="1597"/>
        <v>162.88900000000001</v>
      </c>
      <c r="E2017" s="168">
        <f t="shared" si="1598"/>
        <v>162.88900000000001</v>
      </c>
      <c r="F2017" s="168">
        <f t="shared" si="1599"/>
        <v>162.88900000000001</v>
      </c>
      <c r="G2017" s="168">
        <f t="shared" si="1600"/>
        <v>162.88900000000001</v>
      </c>
      <c r="H2017" s="168">
        <f t="shared" si="1601"/>
        <v>162.88900000000001</v>
      </c>
      <c r="I2017" s="166">
        <f t="shared" si="1602"/>
        <v>814.44500000000005</v>
      </c>
      <c r="J2017" s="371" t="str">
        <f t="shared" si="1603"/>
        <v>EPS/Dir. Sport et loisirs</v>
      </c>
      <c r="K2017" s="350" t="str">
        <f t="shared" si="1604"/>
        <v>ND</v>
      </c>
      <c r="L2017" s="167">
        <f t="shared" ref="L2017:T2017" si="1679">L630</f>
        <v>162889</v>
      </c>
      <c r="M2017" s="168">
        <f t="shared" si="1679"/>
        <v>162889</v>
      </c>
      <c r="N2017" s="168">
        <f t="shared" si="1679"/>
        <v>162889</v>
      </c>
      <c r="O2017" s="168">
        <f t="shared" si="1679"/>
        <v>162889</v>
      </c>
      <c r="P2017" s="168">
        <f t="shared" si="1679"/>
        <v>162889</v>
      </c>
      <c r="Q2017" s="165">
        <f t="shared" si="1679"/>
        <v>814445</v>
      </c>
      <c r="R2017" s="198" t="str">
        <f t="shared" ref="R2017:S2017" si="1680">R630</f>
        <v>EPS/Dir. Sport et loisirs</v>
      </c>
      <c r="S2017" s="115" t="str">
        <f t="shared" si="1680"/>
        <v>ND</v>
      </c>
      <c r="T2017" s="51">
        <f t="shared" si="1679"/>
        <v>0</v>
      </c>
      <c r="W2017" s="608">
        <f t="shared" si="1607"/>
        <v>814445</v>
      </c>
      <c r="X2017" s="608">
        <f t="shared" si="1608"/>
        <v>0</v>
      </c>
      <c r="Z2017" s="572">
        <f t="shared" si="1636"/>
        <v>0</v>
      </c>
      <c r="AA2017" s="1">
        <f t="shared" si="1637"/>
        <v>0</v>
      </c>
    </row>
    <row r="2018" spans="1:27" x14ac:dyDescent="0.2">
      <c r="A2018" s="17" t="str">
        <f>A632</f>
        <v>4.5.3 Équipement en bibliothèques</v>
      </c>
      <c r="B2018" s="45"/>
      <c r="C2018" s="386" t="str">
        <f>C632</f>
        <v>En 2025, toutes les écoles disposent d'une bibliothèque</v>
      </c>
      <c r="D2018" s="157">
        <f t="shared" si="1597"/>
        <v>1053.336</v>
      </c>
      <c r="E2018" s="157">
        <f t="shared" si="1598"/>
        <v>977.33600000000001</v>
      </c>
      <c r="F2018" s="157">
        <f t="shared" si="1599"/>
        <v>977.33600000000001</v>
      </c>
      <c r="G2018" s="157">
        <f t="shared" si="1600"/>
        <v>977.33600000000001</v>
      </c>
      <c r="H2018" s="157">
        <f t="shared" si="1601"/>
        <v>977.33600000000001</v>
      </c>
      <c r="I2018" s="160">
        <f t="shared" si="1602"/>
        <v>4962.68</v>
      </c>
      <c r="J2018" s="374">
        <f t="shared" si="1603"/>
        <v>0</v>
      </c>
      <c r="K2018" s="348">
        <f t="shared" si="1604"/>
        <v>0</v>
      </c>
      <c r="L2018" s="35">
        <f t="shared" ref="L2018:Q2018" si="1681">SUM(L2019:L2021)</f>
        <v>1053336</v>
      </c>
      <c r="M2018" s="34">
        <f t="shared" si="1681"/>
        <v>977336</v>
      </c>
      <c r="N2018" s="34">
        <f t="shared" si="1681"/>
        <v>977336</v>
      </c>
      <c r="O2018" s="34">
        <f t="shared" si="1681"/>
        <v>977336</v>
      </c>
      <c r="P2018" s="34">
        <f t="shared" si="1681"/>
        <v>977336</v>
      </c>
      <c r="Q2018" s="26">
        <f t="shared" si="1681"/>
        <v>4962680</v>
      </c>
      <c r="R2018" s="19">
        <f t="shared" ref="R2018:S2018" si="1682">SUM(R2019:R2021)</f>
        <v>0</v>
      </c>
      <c r="S2018" s="18">
        <f t="shared" si="1682"/>
        <v>0</v>
      </c>
      <c r="T2018" s="51">
        <f>T632</f>
        <v>0</v>
      </c>
      <c r="W2018" s="608">
        <f t="shared" si="1607"/>
        <v>4962680</v>
      </c>
      <c r="X2018" s="608">
        <f t="shared" si="1608"/>
        <v>0</v>
      </c>
      <c r="Z2018" s="572">
        <f t="shared" si="1636"/>
        <v>0</v>
      </c>
      <c r="AA2018" s="1">
        <f t="shared" si="1637"/>
        <v>0</v>
      </c>
    </row>
    <row r="2019" spans="1:27" x14ac:dyDescent="0.2">
      <c r="A2019" s="20" t="str">
        <f>A633</f>
        <v>4.5.3.1 Analyse des besoins en bibliothèques (audit de l'existant)</v>
      </c>
      <c r="B2019" s="46"/>
      <c r="C2019" s="386">
        <f>C633</f>
        <v>0</v>
      </c>
      <c r="D2019" s="168">
        <f t="shared" si="1597"/>
        <v>7.5</v>
      </c>
      <c r="E2019" s="168">
        <f t="shared" si="1598"/>
        <v>0</v>
      </c>
      <c r="F2019" s="168">
        <f t="shared" si="1599"/>
        <v>0</v>
      </c>
      <c r="G2019" s="168">
        <f t="shared" si="1600"/>
        <v>0</v>
      </c>
      <c r="H2019" s="168">
        <f t="shared" si="1601"/>
        <v>0</v>
      </c>
      <c r="I2019" s="166">
        <f t="shared" si="1602"/>
        <v>7.5</v>
      </c>
      <c r="J2019" s="371" t="str">
        <f t="shared" si="1603"/>
        <v>EPS-DIPROMAD</v>
      </c>
      <c r="K2019" s="350" t="str">
        <f t="shared" si="1604"/>
        <v>ND</v>
      </c>
      <c r="L2019" s="167">
        <f t="shared" ref="L2019:Q2019" si="1683">L633</f>
        <v>7500</v>
      </c>
      <c r="M2019" s="168">
        <f t="shared" si="1683"/>
        <v>0</v>
      </c>
      <c r="N2019" s="168">
        <f t="shared" si="1683"/>
        <v>0</v>
      </c>
      <c r="O2019" s="168">
        <f t="shared" si="1683"/>
        <v>0</v>
      </c>
      <c r="P2019" s="168">
        <f t="shared" si="1683"/>
        <v>0</v>
      </c>
      <c r="Q2019" s="165">
        <f t="shared" si="1683"/>
        <v>7500</v>
      </c>
      <c r="R2019" s="198" t="str">
        <f t="shared" ref="R2019:S2019" si="1684">R633</f>
        <v>EPS-DIPROMAD</v>
      </c>
      <c r="S2019" s="115" t="str">
        <f t="shared" si="1684"/>
        <v>ND</v>
      </c>
      <c r="T2019" s="51">
        <f>T633</f>
        <v>0</v>
      </c>
      <c r="W2019" s="608">
        <f t="shared" si="1607"/>
        <v>7500</v>
      </c>
      <c r="X2019" s="608">
        <f t="shared" si="1608"/>
        <v>0</v>
      </c>
      <c r="Z2019" s="572">
        <f t="shared" si="1636"/>
        <v>0</v>
      </c>
      <c r="AA2019" s="1">
        <f t="shared" si="1637"/>
        <v>0</v>
      </c>
    </row>
    <row r="2020" spans="1:27" x14ac:dyDescent="0.2">
      <c r="A2020" s="20" t="str">
        <f>A635</f>
        <v>4.5.3.2 Définition d'une bibliothèque standard et élaboration d'un guide de gestion</v>
      </c>
      <c r="B2020" s="46"/>
      <c r="C2020" s="386">
        <f>C635</f>
        <v>0</v>
      </c>
      <c r="D2020" s="168">
        <f t="shared" si="1597"/>
        <v>68.5</v>
      </c>
      <c r="E2020" s="168">
        <f t="shared" si="1598"/>
        <v>0</v>
      </c>
      <c r="F2020" s="168">
        <f t="shared" si="1599"/>
        <v>0</v>
      </c>
      <c r="G2020" s="168">
        <f t="shared" si="1600"/>
        <v>0</v>
      </c>
      <c r="H2020" s="168">
        <f t="shared" si="1601"/>
        <v>0</v>
      </c>
      <c r="I2020" s="166">
        <f t="shared" si="1602"/>
        <v>68.5</v>
      </c>
      <c r="J2020" s="371" t="str">
        <f t="shared" si="1603"/>
        <v>EPS-DIPROMAD</v>
      </c>
      <c r="K2020" s="350" t="str">
        <f t="shared" si="1604"/>
        <v>ND</v>
      </c>
      <c r="L2020" s="167">
        <f t="shared" ref="L2020:T2020" si="1685">L635</f>
        <v>68500</v>
      </c>
      <c r="M2020" s="168">
        <f t="shared" si="1685"/>
        <v>0</v>
      </c>
      <c r="N2020" s="168">
        <f t="shared" si="1685"/>
        <v>0</v>
      </c>
      <c r="O2020" s="168">
        <f t="shared" si="1685"/>
        <v>0</v>
      </c>
      <c r="P2020" s="168">
        <f t="shared" si="1685"/>
        <v>0</v>
      </c>
      <c r="Q2020" s="165">
        <f t="shared" si="1685"/>
        <v>68500</v>
      </c>
      <c r="R2020" s="198" t="str">
        <f t="shared" ref="R2020:S2020" si="1686">R635</f>
        <v>EPS-DIPROMAD</v>
      </c>
      <c r="S2020" s="115" t="str">
        <f t="shared" si="1686"/>
        <v>ND</v>
      </c>
      <c r="T2020" s="51">
        <f t="shared" si="1685"/>
        <v>0</v>
      </c>
      <c r="W2020" s="608">
        <f t="shared" si="1607"/>
        <v>68500</v>
      </c>
      <c r="X2020" s="608">
        <f t="shared" si="1608"/>
        <v>0</v>
      </c>
      <c r="Z2020" s="572">
        <f t="shared" si="1636"/>
        <v>0</v>
      </c>
      <c r="AA2020" s="1">
        <f t="shared" si="1637"/>
        <v>0</v>
      </c>
    </row>
    <row r="2021" spans="1:27" x14ac:dyDescent="0.2">
      <c r="A2021" s="20" t="str">
        <f>A639</f>
        <v>4.5.3.5 Acquisition et distribution de livres et de matériel</v>
      </c>
      <c r="B2021" s="46"/>
      <c r="C2021" s="386">
        <f>C639</f>
        <v>0</v>
      </c>
      <c r="D2021" s="168">
        <f t="shared" si="1597"/>
        <v>977.33600000000001</v>
      </c>
      <c r="E2021" s="168">
        <f t="shared" si="1598"/>
        <v>977.33600000000001</v>
      </c>
      <c r="F2021" s="168">
        <f t="shared" si="1599"/>
        <v>977.33600000000001</v>
      </c>
      <c r="G2021" s="168">
        <f t="shared" si="1600"/>
        <v>977.33600000000001</v>
      </c>
      <c r="H2021" s="168">
        <f t="shared" si="1601"/>
        <v>977.33600000000001</v>
      </c>
      <c r="I2021" s="166">
        <f t="shared" si="1602"/>
        <v>4886.68</v>
      </c>
      <c r="J2021" s="371" t="str">
        <f t="shared" si="1603"/>
        <v>EPS-DIPROMAD</v>
      </c>
      <c r="K2021" s="350" t="str">
        <f t="shared" si="1604"/>
        <v>ND</v>
      </c>
      <c r="L2021" s="167">
        <f t="shared" ref="L2021:T2021" si="1687">L639</f>
        <v>977336</v>
      </c>
      <c r="M2021" s="168">
        <f t="shared" si="1687"/>
        <v>977336</v>
      </c>
      <c r="N2021" s="168">
        <f t="shared" si="1687"/>
        <v>977336</v>
      </c>
      <c r="O2021" s="168">
        <f t="shared" si="1687"/>
        <v>977336</v>
      </c>
      <c r="P2021" s="168">
        <f t="shared" si="1687"/>
        <v>977336</v>
      </c>
      <c r="Q2021" s="165">
        <f t="shared" si="1687"/>
        <v>4886680</v>
      </c>
      <c r="R2021" s="198" t="str">
        <f t="shared" ref="R2021:S2021" si="1688">R639</f>
        <v>EPS-DIPROMAD</v>
      </c>
      <c r="S2021" s="115" t="str">
        <f t="shared" si="1688"/>
        <v>ND</v>
      </c>
      <c r="T2021" s="51">
        <f t="shared" si="1687"/>
        <v>0</v>
      </c>
      <c r="W2021" s="608">
        <f t="shared" si="1607"/>
        <v>4886680</v>
      </c>
      <c r="X2021" s="608">
        <f t="shared" si="1608"/>
        <v>0</v>
      </c>
      <c r="Z2021" s="572">
        <f t="shared" si="1636"/>
        <v>0</v>
      </c>
      <c r="AA2021" s="1">
        <f t="shared" si="1637"/>
        <v>0</v>
      </c>
    </row>
    <row r="2022" spans="1:27" x14ac:dyDescent="0.2">
      <c r="A2022" s="14" t="str">
        <f>A642</f>
        <v>4.6 Formation des enseignants : former les enseignants</v>
      </c>
      <c r="B2022" s="44"/>
      <c r="C2022" s="385">
        <f>C642</f>
        <v>0</v>
      </c>
      <c r="D2022" s="217">
        <f t="shared" si="1597"/>
        <v>3296.5</v>
      </c>
      <c r="E2022" s="217">
        <f t="shared" si="1598"/>
        <v>0</v>
      </c>
      <c r="F2022" s="217">
        <f t="shared" si="1599"/>
        <v>3288</v>
      </c>
      <c r="G2022" s="217">
        <f t="shared" si="1600"/>
        <v>0</v>
      </c>
      <c r="H2022" s="217">
        <f t="shared" si="1601"/>
        <v>3288</v>
      </c>
      <c r="I2022" s="220">
        <f t="shared" si="1602"/>
        <v>9872.5</v>
      </c>
      <c r="J2022" s="373">
        <f t="shared" si="1603"/>
        <v>0</v>
      </c>
      <c r="K2022" s="346">
        <f t="shared" si="1604"/>
        <v>0</v>
      </c>
      <c r="L2022" s="33">
        <f t="shared" ref="L2022:S2022" si="1689">L2023</f>
        <v>3296500</v>
      </c>
      <c r="M2022" s="32">
        <f t="shared" si="1689"/>
        <v>0</v>
      </c>
      <c r="N2022" s="32">
        <f t="shared" si="1689"/>
        <v>3288000</v>
      </c>
      <c r="O2022" s="32">
        <f t="shared" si="1689"/>
        <v>0</v>
      </c>
      <c r="P2022" s="32">
        <f t="shared" si="1689"/>
        <v>3288000</v>
      </c>
      <c r="Q2022" s="25">
        <f t="shared" si="1689"/>
        <v>9872500</v>
      </c>
      <c r="R2022" s="16">
        <f t="shared" si="1689"/>
        <v>0</v>
      </c>
      <c r="S2022" s="15">
        <f t="shared" si="1689"/>
        <v>0</v>
      </c>
      <c r="T2022" s="112">
        <f>T642</f>
        <v>2</v>
      </c>
      <c r="W2022" s="608">
        <f t="shared" si="1607"/>
        <v>9872500</v>
      </c>
      <c r="X2022" s="608">
        <f t="shared" si="1608"/>
        <v>0</v>
      </c>
      <c r="Y2022" s="572" t="s">
        <v>1512</v>
      </c>
      <c r="Z2022" s="572">
        <f t="shared" si="1636"/>
        <v>9872.5</v>
      </c>
      <c r="AA2022" s="1">
        <f t="shared" si="1637"/>
        <v>0</v>
      </c>
    </row>
    <row r="2023" spans="1:27" x14ac:dyDescent="0.2">
      <c r="A2023" s="17" t="str">
        <f>A643</f>
        <v>4.6.1 Formation continue des enseignants</v>
      </c>
      <c r="B2023" s="45"/>
      <c r="C2023" s="386" t="str">
        <f>C643</f>
        <v>Tous les enseignants reçoivent deux semaines de formation tous les deux ans</v>
      </c>
      <c r="D2023" s="157">
        <f t="shared" si="1597"/>
        <v>3296.5</v>
      </c>
      <c r="E2023" s="157">
        <f t="shared" si="1598"/>
        <v>0</v>
      </c>
      <c r="F2023" s="157">
        <f t="shared" si="1599"/>
        <v>3288</v>
      </c>
      <c r="G2023" s="157">
        <f t="shared" si="1600"/>
        <v>0</v>
      </c>
      <c r="H2023" s="157">
        <f t="shared" si="1601"/>
        <v>3288</v>
      </c>
      <c r="I2023" s="160">
        <f t="shared" si="1602"/>
        <v>9872.5</v>
      </c>
      <c r="J2023" s="374">
        <f t="shared" si="1603"/>
        <v>0</v>
      </c>
      <c r="K2023" s="348">
        <f t="shared" si="1604"/>
        <v>0</v>
      </c>
      <c r="L2023" s="35">
        <f t="shared" ref="L2023:Q2023" si="1690">SUM(L2024:L2025)</f>
        <v>3296500</v>
      </c>
      <c r="M2023" s="34">
        <f t="shared" si="1690"/>
        <v>0</v>
      </c>
      <c r="N2023" s="34">
        <f t="shared" si="1690"/>
        <v>3288000</v>
      </c>
      <c r="O2023" s="34">
        <f t="shared" si="1690"/>
        <v>0</v>
      </c>
      <c r="P2023" s="34">
        <f t="shared" si="1690"/>
        <v>3288000</v>
      </c>
      <c r="Q2023" s="26">
        <f t="shared" si="1690"/>
        <v>9872500</v>
      </c>
      <c r="R2023" s="19">
        <f t="shared" ref="R2023:S2023" si="1691">SUM(R2024:R2025)</f>
        <v>0</v>
      </c>
      <c r="S2023" s="18">
        <f t="shared" si="1691"/>
        <v>0</v>
      </c>
      <c r="T2023" s="51">
        <f>T643</f>
        <v>0</v>
      </c>
      <c r="W2023" s="608">
        <f t="shared" si="1607"/>
        <v>9872500</v>
      </c>
      <c r="X2023" s="608">
        <f t="shared" si="1608"/>
        <v>0</v>
      </c>
      <c r="Y2023" s="572" t="s">
        <v>1512</v>
      </c>
      <c r="Z2023" s="572">
        <f t="shared" si="1636"/>
        <v>9872.5</v>
      </c>
      <c r="AA2023" s="1">
        <f t="shared" si="1637"/>
        <v>0</v>
      </c>
    </row>
    <row r="2024" spans="1:27" x14ac:dyDescent="0.2">
      <c r="A2024" s="20" t="str">
        <f>A644</f>
        <v>4.6.1.1 Développer et actualiser les modules de formation</v>
      </c>
      <c r="B2024" s="46"/>
      <c r="C2024" s="386">
        <f>C644</f>
        <v>0</v>
      </c>
      <c r="D2024" s="168">
        <f t="shared" si="1597"/>
        <v>8.5</v>
      </c>
      <c r="E2024" s="168">
        <f t="shared" si="1598"/>
        <v>0</v>
      </c>
      <c r="F2024" s="168">
        <f t="shared" si="1599"/>
        <v>0</v>
      </c>
      <c r="G2024" s="168">
        <f t="shared" si="1600"/>
        <v>0</v>
      </c>
      <c r="H2024" s="168">
        <f t="shared" si="1601"/>
        <v>0</v>
      </c>
      <c r="I2024" s="166">
        <f t="shared" si="1602"/>
        <v>8.5</v>
      </c>
      <c r="J2024" s="371" t="str">
        <f t="shared" si="1603"/>
        <v>EPS-SERNAFOR</v>
      </c>
      <c r="K2024" s="350" t="str">
        <f t="shared" si="1604"/>
        <v>BM</v>
      </c>
      <c r="L2024" s="167">
        <f t="shared" ref="L2024:Q2024" si="1692">L644</f>
        <v>8500</v>
      </c>
      <c r="M2024" s="168">
        <f t="shared" si="1692"/>
        <v>0</v>
      </c>
      <c r="N2024" s="168">
        <f t="shared" si="1692"/>
        <v>0</v>
      </c>
      <c r="O2024" s="168">
        <f t="shared" si="1692"/>
        <v>0</v>
      </c>
      <c r="P2024" s="168">
        <f t="shared" si="1692"/>
        <v>0</v>
      </c>
      <c r="Q2024" s="165">
        <f t="shared" si="1692"/>
        <v>8500</v>
      </c>
      <c r="R2024" s="198" t="str">
        <f t="shared" ref="R2024:S2024" si="1693">R644</f>
        <v>EPS-SERNAFOR</v>
      </c>
      <c r="S2024" s="115" t="str">
        <f t="shared" si="1693"/>
        <v>BM</v>
      </c>
      <c r="T2024" s="51">
        <f>T644</f>
        <v>0</v>
      </c>
      <c r="W2024" s="608">
        <f t="shared" si="1607"/>
        <v>8500</v>
      </c>
      <c r="X2024" s="608">
        <f t="shared" si="1608"/>
        <v>0</v>
      </c>
      <c r="Y2024" s="572" t="s">
        <v>1512</v>
      </c>
      <c r="Z2024" s="572">
        <f t="shared" si="1636"/>
        <v>8.5</v>
      </c>
      <c r="AA2024" s="1">
        <f t="shared" si="1637"/>
        <v>0</v>
      </c>
    </row>
    <row r="2025" spans="1:27" x14ac:dyDescent="0.2">
      <c r="A2025" s="20" t="str">
        <f>A647</f>
        <v>4.6.1.2 Mettre en place le plan de formation</v>
      </c>
      <c r="B2025" s="46"/>
      <c r="C2025" s="386">
        <f>C647</f>
        <v>0</v>
      </c>
      <c r="D2025" s="168">
        <f t="shared" si="1597"/>
        <v>3288</v>
      </c>
      <c r="E2025" s="168">
        <f t="shared" si="1598"/>
        <v>0</v>
      </c>
      <c r="F2025" s="168">
        <f t="shared" si="1599"/>
        <v>3288</v>
      </c>
      <c r="G2025" s="168">
        <f t="shared" si="1600"/>
        <v>0</v>
      </c>
      <c r="H2025" s="168">
        <f t="shared" si="1601"/>
        <v>3288</v>
      </c>
      <c r="I2025" s="166">
        <f t="shared" si="1602"/>
        <v>9864</v>
      </c>
      <c r="J2025" s="371" t="str">
        <f t="shared" si="1603"/>
        <v>EPS-SERNAFOR</v>
      </c>
      <c r="K2025" s="350" t="str">
        <f t="shared" si="1604"/>
        <v>BM</v>
      </c>
      <c r="L2025" s="167">
        <f t="shared" ref="L2025:T2025" si="1694">L647</f>
        <v>3288000</v>
      </c>
      <c r="M2025" s="168">
        <f t="shared" si="1694"/>
        <v>0</v>
      </c>
      <c r="N2025" s="168">
        <f t="shared" si="1694"/>
        <v>3288000</v>
      </c>
      <c r="O2025" s="168">
        <f t="shared" si="1694"/>
        <v>0</v>
      </c>
      <c r="P2025" s="168">
        <f t="shared" si="1694"/>
        <v>3288000</v>
      </c>
      <c r="Q2025" s="165">
        <f t="shared" si="1694"/>
        <v>9864000</v>
      </c>
      <c r="R2025" s="198" t="str">
        <f t="shared" ref="R2025:S2025" si="1695">R647</f>
        <v>EPS-SERNAFOR</v>
      </c>
      <c r="S2025" s="115" t="str">
        <f t="shared" si="1695"/>
        <v>BM</v>
      </c>
      <c r="T2025" s="51">
        <f t="shared" si="1694"/>
        <v>0</v>
      </c>
      <c r="W2025" s="608">
        <f t="shared" si="1607"/>
        <v>9864000</v>
      </c>
      <c r="X2025" s="608">
        <f t="shared" si="1608"/>
        <v>0</v>
      </c>
      <c r="Y2025" s="572" t="s">
        <v>1512</v>
      </c>
      <c r="Z2025" s="572">
        <f t="shared" si="1636"/>
        <v>9864</v>
      </c>
      <c r="AA2025" s="1">
        <f t="shared" si="1637"/>
        <v>0</v>
      </c>
    </row>
    <row r="2026" spans="1:27" x14ac:dyDescent="0.2">
      <c r="A2026" s="14" t="str">
        <f>A650</f>
        <v>4.7 Supervision des structures et des enseignants : assurer l'encadrement pédagogique et administratif des écoles</v>
      </c>
      <c r="B2026" s="44"/>
      <c r="C2026" s="385">
        <f>C650</f>
        <v>0</v>
      </c>
      <c r="D2026" s="217">
        <f t="shared" si="1597"/>
        <v>0</v>
      </c>
      <c r="E2026" s="217">
        <f t="shared" si="1598"/>
        <v>5103.5</v>
      </c>
      <c r="F2026" s="217">
        <f t="shared" si="1599"/>
        <v>6037.5</v>
      </c>
      <c r="G2026" s="217">
        <f t="shared" si="1600"/>
        <v>2100</v>
      </c>
      <c r="H2026" s="217">
        <f t="shared" si="1601"/>
        <v>2100</v>
      </c>
      <c r="I2026" s="220">
        <f t="shared" si="1602"/>
        <v>15341</v>
      </c>
      <c r="J2026" s="373">
        <f t="shared" si="1603"/>
        <v>0</v>
      </c>
      <c r="K2026" s="346">
        <f t="shared" si="1604"/>
        <v>0</v>
      </c>
      <c r="L2026" s="33">
        <f t="shared" ref="L2026:Q2026" si="1696">L2027+L2029+L2031</f>
        <v>0</v>
      </c>
      <c r="M2026" s="32">
        <f t="shared" si="1696"/>
        <v>5103500</v>
      </c>
      <c r="N2026" s="32">
        <f t="shared" si="1696"/>
        <v>6037500</v>
      </c>
      <c r="O2026" s="32">
        <f t="shared" si="1696"/>
        <v>2100000</v>
      </c>
      <c r="P2026" s="32">
        <f t="shared" si="1696"/>
        <v>2100000</v>
      </c>
      <c r="Q2026" s="25">
        <f t="shared" si="1696"/>
        <v>15341000</v>
      </c>
      <c r="R2026" s="515">
        <f t="shared" ref="R2026:S2026" si="1697">R2027+R2029+R2031</f>
        <v>0</v>
      </c>
      <c r="S2026" s="145">
        <f t="shared" si="1697"/>
        <v>0</v>
      </c>
      <c r="T2026" s="49">
        <f>T650</f>
        <v>3</v>
      </c>
      <c r="W2026" s="608">
        <f t="shared" si="1607"/>
        <v>15341000</v>
      </c>
      <c r="X2026" s="608">
        <f t="shared" si="1608"/>
        <v>0</v>
      </c>
      <c r="Y2026" s="572" t="s">
        <v>1512</v>
      </c>
      <c r="Z2026" s="572">
        <f t="shared" si="1636"/>
        <v>15341</v>
      </c>
      <c r="AA2026" s="1">
        <f t="shared" si="1637"/>
        <v>0</v>
      </c>
    </row>
    <row r="2027" spans="1:27" x14ac:dyDescent="0.2">
      <c r="A2027" s="17" t="str">
        <f>A651</f>
        <v>4.7.1 Moyens de déplacement des inspecteurs</v>
      </c>
      <c r="B2027" s="45"/>
      <c r="C2027" s="386">
        <f>C651</f>
        <v>0</v>
      </c>
      <c r="D2027" s="157">
        <f t="shared" si="1597"/>
        <v>0</v>
      </c>
      <c r="E2027" s="157">
        <f t="shared" si="1598"/>
        <v>3135</v>
      </c>
      <c r="F2027" s="157">
        <f t="shared" si="1599"/>
        <v>2625</v>
      </c>
      <c r="G2027" s="157">
        <f t="shared" si="1600"/>
        <v>0</v>
      </c>
      <c r="H2027" s="157">
        <f t="shared" si="1601"/>
        <v>0</v>
      </c>
      <c r="I2027" s="160">
        <f t="shared" si="1602"/>
        <v>5760</v>
      </c>
      <c r="J2027" s="374">
        <f t="shared" si="1603"/>
        <v>0</v>
      </c>
      <c r="K2027" s="348">
        <f t="shared" si="1604"/>
        <v>0</v>
      </c>
      <c r="L2027" s="35">
        <f t="shared" ref="L2027:S2027" si="1698">SUM(L2028:L2028)</f>
        <v>0</v>
      </c>
      <c r="M2027" s="34">
        <f t="shared" si="1698"/>
        <v>3135000</v>
      </c>
      <c r="N2027" s="34">
        <f t="shared" si="1698"/>
        <v>2625000</v>
      </c>
      <c r="O2027" s="34">
        <f t="shared" si="1698"/>
        <v>0</v>
      </c>
      <c r="P2027" s="34">
        <f t="shared" si="1698"/>
        <v>0</v>
      </c>
      <c r="Q2027" s="26">
        <f t="shared" si="1698"/>
        <v>5760000</v>
      </c>
      <c r="R2027" s="209">
        <f t="shared" si="1698"/>
        <v>0</v>
      </c>
      <c r="S2027" s="116">
        <f t="shared" si="1698"/>
        <v>0</v>
      </c>
      <c r="T2027" s="50">
        <f>T651</f>
        <v>0</v>
      </c>
      <c r="W2027" s="608">
        <f t="shared" si="1607"/>
        <v>5760000</v>
      </c>
      <c r="X2027" s="608">
        <f t="shared" si="1608"/>
        <v>0</v>
      </c>
      <c r="Y2027" s="572" t="s">
        <v>1512</v>
      </c>
      <c r="Z2027" s="572">
        <f t="shared" si="1636"/>
        <v>5760</v>
      </c>
      <c r="AA2027" s="1">
        <f t="shared" si="1637"/>
        <v>0</v>
      </c>
    </row>
    <row r="2028" spans="1:27" x14ac:dyDescent="0.2">
      <c r="A2028" s="20" t="str">
        <f>A652</f>
        <v>4.7.1.1 Renforcement des moyen des déplacements</v>
      </c>
      <c r="B2028" s="149"/>
      <c r="C2028" s="386">
        <f>C652</f>
        <v>0</v>
      </c>
      <c r="D2028" s="168">
        <f t="shared" si="1597"/>
        <v>0</v>
      </c>
      <c r="E2028" s="168">
        <f t="shared" si="1598"/>
        <v>3135</v>
      </c>
      <c r="F2028" s="168">
        <f t="shared" si="1599"/>
        <v>2625</v>
      </c>
      <c r="G2028" s="168">
        <f t="shared" si="1600"/>
        <v>0</v>
      </c>
      <c r="H2028" s="168">
        <f t="shared" si="1601"/>
        <v>0</v>
      </c>
      <c r="I2028" s="166">
        <f t="shared" si="1602"/>
        <v>5760</v>
      </c>
      <c r="J2028" s="371" t="str">
        <f t="shared" si="1603"/>
        <v>EPS-IG</v>
      </c>
      <c r="K2028" s="350" t="str">
        <f t="shared" si="1604"/>
        <v>ND</v>
      </c>
      <c r="L2028" s="167">
        <f t="shared" ref="L2028:Q2028" si="1699">L652</f>
        <v>0</v>
      </c>
      <c r="M2028" s="168">
        <f t="shared" si="1699"/>
        <v>3135000</v>
      </c>
      <c r="N2028" s="168">
        <f t="shared" si="1699"/>
        <v>2625000</v>
      </c>
      <c r="O2028" s="168">
        <f t="shared" si="1699"/>
        <v>0</v>
      </c>
      <c r="P2028" s="168">
        <f t="shared" si="1699"/>
        <v>0</v>
      </c>
      <c r="Q2028" s="165">
        <f t="shared" si="1699"/>
        <v>5760000</v>
      </c>
      <c r="R2028" s="198" t="str">
        <f t="shared" ref="R2028:S2028" si="1700">R652</f>
        <v>EPS-IG</v>
      </c>
      <c r="S2028" s="115" t="str">
        <f t="shared" si="1700"/>
        <v>ND</v>
      </c>
      <c r="T2028" s="51">
        <f>T652</f>
        <v>0</v>
      </c>
      <c r="W2028" s="608">
        <f t="shared" si="1607"/>
        <v>5760000</v>
      </c>
      <c r="X2028" s="608">
        <f t="shared" si="1608"/>
        <v>0</v>
      </c>
      <c r="Y2028" s="572" t="s">
        <v>1512</v>
      </c>
      <c r="Z2028" s="572">
        <f t="shared" si="1636"/>
        <v>5760</v>
      </c>
      <c r="AA2028" s="1">
        <f t="shared" si="1637"/>
        <v>0</v>
      </c>
    </row>
    <row r="2029" spans="1:27" x14ac:dyDescent="0.2">
      <c r="A2029" s="17" t="str">
        <f>A656</f>
        <v>4.7.2 Primes d'itinérance</v>
      </c>
      <c r="B2029" s="45"/>
      <c r="C2029" s="386">
        <f>C656</f>
        <v>0</v>
      </c>
      <c r="D2029" s="157">
        <f t="shared" si="1597"/>
        <v>0</v>
      </c>
      <c r="E2029" s="157">
        <f t="shared" si="1598"/>
        <v>0</v>
      </c>
      <c r="F2029" s="157">
        <f t="shared" si="1599"/>
        <v>2100</v>
      </c>
      <c r="G2029" s="157">
        <f t="shared" si="1600"/>
        <v>2100</v>
      </c>
      <c r="H2029" s="157">
        <f t="shared" si="1601"/>
        <v>2100</v>
      </c>
      <c r="I2029" s="160">
        <f t="shared" si="1602"/>
        <v>6300</v>
      </c>
      <c r="J2029" s="374">
        <f t="shared" si="1603"/>
        <v>0</v>
      </c>
      <c r="K2029" s="348">
        <f t="shared" si="1604"/>
        <v>0</v>
      </c>
      <c r="L2029" s="35">
        <f t="shared" ref="L2029:S2029" si="1701">SUM(L2030:L2030)</f>
        <v>0</v>
      </c>
      <c r="M2029" s="34">
        <f t="shared" si="1701"/>
        <v>0</v>
      </c>
      <c r="N2029" s="34">
        <f t="shared" si="1701"/>
        <v>2100000</v>
      </c>
      <c r="O2029" s="34">
        <f t="shared" si="1701"/>
        <v>2100000</v>
      </c>
      <c r="P2029" s="34">
        <f t="shared" si="1701"/>
        <v>2100000</v>
      </c>
      <c r="Q2029" s="26">
        <f t="shared" si="1701"/>
        <v>6300000</v>
      </c>
      <c r="R2029" s="209">
        <f t="shared" si="1701"/>
        <v>0</v>
      </c>
      <c r="S2029" s="116">
        <f t="shared" si="1701"/>
        <v>0</v>
      </c>
      <c r="T2029" s="50">
        <f>T656</f>
        <v>0</v>
      </c>
      <c r="W2029" s="608">
        <f t="shared" si="1607"/>
        <v>6300000</v>
      </c>
      <c r="X2029" s="608">
        <f t="shared" si="1608"/>
        <v>0</v>
      </c>
      <c r="Y2029" s="572" t="s">
        <v>1512</v>
      </c>
      <c r="Z2029" s="572">
        <f t="shared" si="1636"/>
        <v>6300</v>
      </c>
      <c r="AA2029" s="1">
        <f t="shared" si="1637"/>
        <v>0</v>
      </c>
    </row>
    <row r="2030" spans="1:27" x14ac:dyDescent="0.2">
      <c r="A2030" s="20" t="str">
        <f>A657</f>
        <v>4.7.2.1 Assurer l'encadrement pédagogique et administratifs des écoles</v>
      </c>
      <c r="B2030" s="149"/>
      <c r="C2030" s="386" t="str">
        <f>C657</f>
        <v>A partir de 2018, tous les inspecteurs perçoivent la prime d'itinérance</v>
      </c>
      <c r="D2030" s="168">
        <f t="shared" si="1597"/>
        <v>0</v>
      </c>
      <c r="E2030" s="168">
        <f t="shared" si="1598"/>
        <v>0</v>
      </c>
      <c r="F2030" s="168">
        <f t="shared" si="1599"/>
        <v>2100</v>
      </c>
      <c r="G2030" s="168">
        <f t="shared" si="1600"/>
        <v>2100</v>
      </c>
      <c r="H2030" s="168">
        <f t="shared" si="1601"/>
        <v>2100</v>
      </c>
      <c r="I2030" s="166">
        <f t="shared" si="1602"/>
        <v>6300</v>
      </c>
      <c r="J2030" s="371" t="str">
        <f t="shared" si="1603"/>
        <v>EPS-IG</v>
      </c>
      <c r="K2030" s="350" t="str">
        <f t="shared" si="1604"/>
        <v>GVT</v>
      </c>
      <c r="L2030" s="167">
        <f t="shared" ref="L2030:Q2030" si="1702">L657</f>
        <v>0</v>
      </c>
      <c r="M2030" s="168">
        <f t="shared" si="1702"/>
        <v>0</v>
      </c>
      <c r="N2030" s="168">
        <f t="shared" si="1702"/>
        <v>2100000</v>
      </c>
      <c r="O2030" s="168">
        <f t="shared" si="1702"/>
        <v>2100000</v>
      </c>
      <c r="P2030" s="168">
        <f t="shared" si="1702"/>
        <v>2100000</v>
      </c>
      <c r="Q2030" s="165">
        <f t="shared" si="1702"/>
        <v>6300000</v>
      </c>
      <c r="R2030" s="198" t="str">
        <f t="shared" ref="R2030:S2030" si="1703">R657</f>
        <v>EPS-IG</v>
      </c>
      <c r="S2030" s="115" t="str">
        <f t="shared" si="1703"/>
        <v>GVT</v>
      </c>
      <c r="T2030" s="51">
        <f>T657</f>
        <v>0</v>
      </c>
      <c r="W2030" s="608">
        <f t="shared" si="1607"/>
        <v>6300000</v>
      </c>
      <c r="X2030" s="608">
        <f t="shared" si="1608"/>
        <v>0</v>
      </c>
      <c r="Y2030" s="572" t="s">
        <v>1512</v>
      </c>
      <c r="Z2030" s="572">
        <f t="shared" si="1636"/>
        <v>6300</v>
      </c>
      <c r="AA2030" s="1">
        <f t="shared" si="1637"/>
        <v>0</v>
      </c>
    </row>
    <row r="2031" spans="1:27" x14ac:dyDescent="0.2">
      <c r="A2031" s="17" t="str">
        <f>A659</f>
        <v>4.7.3 Moyens informatiques</v>
      </c>
      <c r="B2031" s="45"/>
      <c r="C2031" s="386">
        <f>C659</f>
        <v>0</v>
      </c>
      <c r="D2031" s="157">
        <f t="shared" si="1597"/>
        <v>0</v>
      </c>
      <c r="E2031" s="157">
        <f t="shared" si="1598"/>
        <v>1968.5</v>
      </c>
      <c r="F2031" s="157">
        <f t="shared" si="1599"/>
        <v>1312.5</v>
      </c>
      <c r="G2031" s="157">
        <f t="shared" si="1600"/>
        <v>0</v>
      </c>
      <c r="H2031" s="157">
        <f t="shared" si="1601"/>
        <v>0</v>
      </c>
      <c r="I2031" s="160">
        <f t="shared" si="1602"/>
        <v>3281</v>
      </c>
      <c r="J2031" s="374">
        <f t="shared" si="1603"/>
        <v>0</v>
      </c>
      <c r="K2031" s="348">
        <f t="shared" si="1604"/>
        <v>0</v>
      </c>
      <c r="L2031" s="35">
        <f t="shared" ref="L2031:S2031" si="1704">SUM(L2032:L2032)</f>
        <v>0</v>
      </c>
      <c r="M2031" s="34">
        <f t="shared" si="1704"/>
        <v>1968500</v>
      </c>
      <c r="N2031" s="34">
        <f t="shared" si="1704"/>
        <v>1312500</v>
      </c>
      <c r="O2031" s="34">
        <f t="shared" si="1704"/>
        <v>0</v>
      </c>
      <c r="P2031" s="34">
        <f t="shared" si="1704"/>
        <v>0</v>
      </c>
      <c r="Q2031" s="26">
        <f t="shared" si="1704"/>
        <v>3281000</v>
      </c>
      <c r="R2031" s="209">
        <f t="shared" si="1704"/>
        <v>0</v>
      </c>
      <c r="S2031" s="116">
        <f t="shared" si="1704"/>
        <v>0</v>
      </c>
      <c r="T2031" s="50">
        <f>T659</f>
        <v>0</v>
      </c>
      <c r="W2031" s="608">
        <f t="shared" si="1607"/>
        <v>3281000</v>
      </c>
      <c r="X2031" s="608">
        <f t="shared" si="1608"/>
        <v>0</v>
      </c>
      <c r="Y2031" s="572" t="s">
        <v>1512</v>
      </c>
      <c r="Z2031" s="572">
        <f t="shared" si="1636"/>
        <v>3281</v>
      </c>
      <c r="AA2031" s="1">
        <f t="shared" si="1637"/>
        <v>0</v>
      </c>
    </row>
    <row r="2032" spans="1:27" x14ac:dyDescent="0.2">
      <c r="A2032" s="20" t="str">
        <f>A660</f>
        <v>4.7.3.1 Équipement informatique et de communication</v>
      </c>
      <c r="B2032" s="149"/>
      <c r="C2032" s="386" t="str">
        <f>C660</f>
        <v>A partir de 2018, tous les inspecteurs sont équipés avec un ordinateur portable</v>
      </c>
      <c r="D2032" s="168">
        <f t="shared" si="1597"/>
        <v>0</v>
      </c>
      <c r="E2032" s="168">
        <f t="shared" si="1598"/>
        <v>1968.5</v>
      </c>
      <c r="F2032" s="168">
        <f t="shared" si="1599"/>
        <v>1312.5</v>
      </c>
      <c r="G2032" s="168">
        <f t="shared" si="1600"/>
        <v>0</v>
      </c>
      <c r="H2032" s="168">
        <f t="shared" si="1601"/>
        <v>0</v>
      </c>
      <c r="I2032" s="166">
        <f t="shared" si="1602"/>
        <v>3281</v>
      </c>
      <c r="J2032" s="371" t="str">
        <f t="shared" si="1603"/>
        <v>EPS-DEP</v>
      </c>
      <c r="K2032" s="350" t="str">
        <f t="shared" si="1604"/>
        <v>BM/UNESCO</v>
      </c>
      <c r="L2032" s="167">
        <f t="shared" ref="L2032:Q2032" si="1705">L660</f>
        <v>0</v>
      </c>
      <c r="M2032" s="168">
        <f t="shared" si="1705"/>
        <v>1968500</v>
      </c>
      <c r="N2032" s="168">
        <f t="shared" si="1705"/>
        <v>1312500</v>
      </c>
      <c r="O2032" s="168">
        <f t="shared" si="1705"/>
        <v>0</v>
      </c>
      <c r="P2032" s="168">
        <f t="shared" si="1705"/>
        <v>0</v>
      </c>
      <c r="Q2032" s="165">
        <f t="shared" si="1705"/>
        <v>3281000</v>
      </c>
      <c r="R2032" s="198" t="str">
        <f t="shared" ref="R2032:S2032" si="1706">R660</f>
        <v>EPS-DEP</v>
      </c>
      <c r="S2032" s="115" t="str">
        <f t="shared" si="1706"/>
        <v>BM/UNESCO</v>
      </c>
      <c r="T2032" s="51">
        <f>T660</f>
        <v>0</v>
      </c>
      <c r="W2032" s="608">
        <f t="shared" si="1607"/>
        <v>3281000</v>
      </c>
      <c r="X2032" s="608">
        <f t="shared" si="1608"/>
        <v>0</v>
      </c>
      <c r="Y2032" s="572" t="s">
        <v>1512</v>
      </c>
      <c r="Z2032" s="572">
        <f t="shared" si="1636"/>
        <v>3281</v>
      </c>
      <c r="AA2032" s="1">
        <f t="shared" si="1637"/>
        <v>0</v>
      </c>
    </row>
    <row r="2033" spans="1:27" x14ac:dyDescent="0.2">
      <c r="A2033" s="11" t="str">
        <f>A663</f>
        <v>5. Enseignement du second cycle secondaire : maitriser et diversifier l'accès et préparer les élèves aux études supérieures</v>
      </c>
      <c r="B2033" s="13"/>
      <c r="C2033" s="391">
        <f>C663</f>
        <v>0</v>
      </c>
      <c r="D2033" s="339">
        <f t="shared" si="1597"/>
        <v>144129.66024233619</v>
      </c>
      <c r="E2033" s="339">
        <f t="shared" si="1598"/>
        <v>179446.78911333758</v>
      </c>
      <c r="F2033" s="339">
        <f t="shared" si="1599"/>
        <v>192162.61850446844</v>
      </c>
      <c r="G2033" s="339">
        <f t="shared" si="1600"/>
        <v>200615.02158609108</v>
      </c>
      <c r="H2033" s="339">
        <f t="shared" si="1601"/>
        <v>214152.68103409512</v>
      </c>
      <c r="I2033" s="375">
        <f t="shared" si="1602"/>
        <v>930506.77048032836</v>
      </c>
      <c r="J2033" s="372">
        <f t="shared" si="1603"/>
        <v>0</v>
      </c>
      <c r="K2033" s="344">
        <f t="shared" si="1604"/>
        <v>0</v>
      </c>
      <c r="L2033" s="30">
        <f>L2034+L2038+L2043+L2048+L2058+L2067+L2072+L2091+L2098+L2076</f>
        <v>144129660.24233618</v>
      </c>
      <c r="M2033" s="29">
        <f t="shared" ref="M2033:Q2033" si="1707">M2034+M2038+M2043+M2048+M2058+M2067+M2072+M2091+M2098+M2076</f>
        <v>179446789.11333758</v>
      </c>
      <c r="N2033" s="29">
        <f t="shared" si="1707"/>
        <v>192162618.50446844</v>
      </c>
      <c r="O2033" s="29">
        <f t="shared" si="1707"/>
        <v>200615021.58609107</v>
      </c>
      <c r="P2033" s="29">
        <f t="shared" si="1707"/>
        <v>214152681.03409511</v>
      </c>
      <c r="Q2033" s="24">
        <f t="shared" si="1707"/>
        <v>930506770.48032832</v>
      </c>
      <c r="R2033" s="516"/>
      <c r="S2033" s="177"/>
      <c r="T2033" s="48">
        <f>T663</f>
        <v>0</v>
      </c>
      <c r="U2033" s="653">
        <f>+Q2033+U1980</f>
        <v>5241308692.3515062</v>
      </c>
      <c r="W2033" s="608">
        <f t="shared" si="1607"/>
        <v>930506770.48032832</v>
      </c>
      <c r="X2033" s="608">
        <f t="shared" si="1608"/>
        <v>0</v>
      </c>
      <c r="Z2033" s="572">
        <f t="shared" si="1636"/>
        <v>0</v>
      </c>
      <c r="AA2033" s="1">
        <f t="shared" si="1637"/>
        <v>0</v>
      </c>
    </row>
    <row r="2034" spans="1:27" x14ac:dyDescent="0.2">
      <c r="A2034" s="14" t="str">
        <f>A664</f>
        <v>5.1 Réforme du secondaire : distinguer entre filières générales et filières professionnelles</v>
      </c>
      <c r="B2034" s="44"/>
      <c r="C2034" s="385">
        <f>C664</f>
        <v>0</v>
      </c>
      <c r="D2034" s="217">
        <f t="shared" si="1597"/>
        <v>11.5</v>
      </c>
      <c r="E2034" s="217">
        <f t="shared" si="1598"/>
        <v>20000</v>
      </c>
      <c r="F2034" s="217">
        <f t="shared" si="1599"/>
        <v>20000</v>
      </c>
      <c r="G2034" s="217">
        <f t="shared" si="1600"/>
        <v>20000</v>
      </c>
      <c r="H2034" s="217">
        <f t="shared" si="1601"/>
        <v>20000</v>
      </c>
      <c r="I2034" s="220">
        <f t="shared" si="1602"/>
        <v>80011.5</v>
      </c>
      <c r="J2034" s="373">
        <f t="shared" si="1603"/>
        <v>0</v>
      </c>
      <c r="K2034" s="346">
        <f t="shared" si="1604"/>
        <v>0</v>
      </c>
      <c r="L2034" s="33">
        <f t="shared" ref="L2034:S2034" si="1708">L2035</f>
        <v>11500</v>
      </c>
      <c r="M2034" s="32">
        <f t="shared" si="1708"/>
        <v>20000000</v>
      </c>
      <c r="N2034" s="32">
        <f t="shared" si="1708"/>
        <v>20000000</v>
      </c>
      <c r="O2034" s="32">
        <f t="shared" si="1708"/>
        <v>20000000</v>
      </c>
      <c r="P2034" s="32">
        <f t="shared" si="1708"/>
        <v>20000000</v>
      </c>
      <c r="Q2034" s="25">
        <f t="shared" si="1708"/>
        <v>80011500</v>
      </c>
      <c r="R2034" s="517">
        <f t="shared" si="1708"/>
        <v>0</v>
      </c>
      <c r="S2034" s="179">
        <f t="shared" si="1708"/>
        <v>0</v>
      </c>
      <c r="T2034" s="49">
        <f>T664</f>
        <v>1</v>
      </c>
      <c r="W2034" s="608">
        <f t="shared" si="1607"/>
        <v>80011500</v>
      </c>
      <c r="X2034" s="608">
        <f t="shared" si="1608"/>
        <v>0</v>
      </c>
      <c r="Z2034" s="572">
        <f t="shared" si="1636"/>
        <v>0</v>
      </c>
      <c r="AA2034" s="1">
        <f t="shared" si="1637"/>
        <v>0</v>
      </c>
    </row>
    <row r="2035" spans="1:27" x14ac:dyDescent="0.2">
      <c r="A2035" s="17" t="str">
        <f>A665</f>
        <v>5.1.1 Réforme des filières et spécialisation des écoles secondaires</v>
      </c>
      <c r="B2035" s="45"/>
      <c r="C2035" s="387" t="str">
        <f>C665</f>
        <v>Dispositions règlementaires prises en 2016</v>
      </c>
      <c r="D2035" s="157">
        <f t="shared" si="1597"/>
        <v>11.5</v>
      </c>
      <c r="E2035" s="157">
        <f t="shared" si="1598"/>
        <v>20000</v>
      </c>
      <c r="F2035" s="157">
        <f t="shared" si="1599"/>
        <v>20000</v>
      </c>
      <c r="G2035" s="157">
        <f t="shared" si="1600"/>
        <v>20000</v>
      </c>
      <c r="H2035" s="157">
        <f t="shared" si="1601"/>
        <v>20000</v>
      </c>
      <c r="I2035" s="160">
        <f t="shared" si="1602"/>
        <v>80011.5</v>
      </c>
      <c r="J2035" s="374">
        <f t="shared" si="1603"/>
        <v>0</v>
      </c>
      <c r="K2035" s="348">
        <f t="shared" si="1604"/>
        <v>0</v>
      </c>
      <c r="L2035" s="35">
        <f t="shared" ref="L2035:Q2035" si="1709">SUM(L2036:L2037)</f>
        <v>11500</v>
      </c>
      <c r="M2035" s="34">
        <f t="shared" si="1709"/>
        <v>20000000</v>
      </c>
      <c r="N2035" s="34">
        <f t="shared" si="1709"/>
        <v>20000000</v>
      </c>
      <c r="O2035" s="34">
        <f t="shared" si="1709"/>
        <v>20000000</v>
      </c>
      <c r="P2035" s="34">
        <f t="shared" si="1709"/>
        <v>20000000</v>
      </c>
      <c r="Q2035" s="26">
        <f t="shared" si="1709"/>
        <v>80011500</v>
      </c>
      <c r="R2035" s="518">
        <f t="shared" ref="R2035:S2035" si="1710">SUM(R2036:R2037)</f>
        <v>0</v>
      </c>
      <c r="S2035" s="181">
        <f t="shared" si="1710"/>
        <v>0</v>
      </c>
      <c r="T2035" s="50">
        <f>T665</f>
        <v>0</v>
      </c>
      <c r="W2035" s="608">
        <f t="shared" si="1607"/>
        <v>80011500</v>
      </c>
      <c r="X2035" s="608">
        <f t="shared" si="1608"/>
        <v>0</v>
      </c>
      <c r="Z2035" s="572">
        <f t="shared" si="1636"/>
        <v>0</v>
      </c>
      <c r="AA2035" s="1">
        <f t="shared" si="1637"/>
        <v>0</v>
      </c>
    </row>
    <row r="2036" spans="1:27" x14ac:dyDescent="0.2">
      <c r="A2036" s="20" t="str">
        <f>A666</f>
        <v>5.1.1.1 Évaluation de la réforme en cours et rédaction des dispositions réglementaires</v>
      </c>
      <c r="B2036" s="46"/>
      <c r="C2036" s="386">
        <f>C666</f>
        <v>0</v>
      </c>
      <c r="D2036" s="168">
        <f t="shared" si="1597"/>
        <v>11.5</v>
      </c>
      <c r="E2036" s="168">
        <f t="shared" si="1598"/>
        <v>0</v>
      </c>
      <c r="F2036" s="168">
        <f t="shared" si="1599"/>
        <v>0</v>
      </c>
      <c r="G2036" s="168">
        <f t="shared" si="1600"/>
        <v>0</v>
      </c>
      <c r="H2036" s="168">
        <f t="shared" si="1601"/>
        <v>0</v>
      </c>
      <c r="I2036" s="166">
        <f t="shared" si="1602"/>
        <v>11.5</v>
      </c>
      <c r="J2036" s="371" t="str">
        <f t="shared" si="1603"/>
        <v>EPS-DIPROMAD</v>
      </c>
      <c r="K2036" s="350" t="str">
        <f t="shared" si="1604"/>
        <v>BM</v>
      </c>
      <c r="L2036" s="167">
        <f t="shared" ref="L2036:Q2036" si="1711">L666</f>
        <v>11500</v>
      </c>
      <c r="M2036" s="168">
        <f t="shared" si="1711"/>
        <v>0</v>
      </c>
      <c r="N2036" s="168">
        <f t="shared" si="1711"/>
        <v>0</v>
      </c>
      <c r="O2036" s="168">
        <f t="shared" si="1711"/>
        <v>0</v>
      </c>
      <c r="P2036" s="168">
        <f t="shared" si="1711"/>
        <v>0</v>
      </c>
      <c r="Q2036" s="165">
        <f t="shared" si="1711"/>
        <v>11500</v>
      </c>
      <c r="R2036" s="205" t="str">
        <f t="shared" ref="R2036:S2036" si="1712">R666</f>
        <v>EPS-DIPROMAD</v>
      </c>
      <c r="S2036" s="183" t="str">
        <f t="shared" si="1712"/>
        <v>BM</v>
      </c>
      <c r="T2036" s="51">
        <f>T666</f>
        <v>0</v>
      </c>
      <c r="W2036" s="608">
        <f t="shared" si="1607"/>
        <v>11500</v>
      </c>
      <c r="X2036" s="608">
        <f t="shared" si="1608"/>
        <v>0</v>
      </c>
      <c r="Z2036" s="572">
        <f t="shared" si="1636"/>
        <v>0</v>
      </c>
      <c r="AA2036" s="1">
        <f t="shared" si="1637"/>
        <v>0</v>
      </c>
    </row>
    <row r="2037" spans="1:27" x14ac:dyDescent="0.2">
      <c r="A2037" s="20" t="str">
        <f>A669</f>
        <v>5.1.1.2 Équipement en matériel pour les établissements spécialisés</v>
      </c>
      <c r="B2037" s="46"/>
      <c r="C2037" s="386">
        <f>C669</f>
        <v>0</v>
      </c>
      <c r="D2037" s="168">
        <f t="shared" si="1597"/>
        <v>0</v>
      </c>
      <c r="E2037" s="168">
        <f t="shared" si="1598"/>
        <v>20000</v>
      </c>
      <c r="F2037" s="168">
        <f t="shared" si="1599"/>
        <v>20000</v>
      </c>
      <c r="G2037" s="168">
        <f t="shared" si="1600"/>
        <v>20000</v>
      </c>
      <c r="H2037" s="168">
        <f t="shared" si="1601"/>
        <v>20000</v>
      </c>
      <c r="I2037" s="166">
        <f t="shared" si="1602"/>
        <v>80000</v>
      </c>
      <c r="J2037" s="371" t="str">
        <f t="shared" si="1603"/>
        <v>EPS-DSG</v>
      </c>
      <c r="K2037" s="350" t="str">
        <f t="shared" si="1604"/>
        <v>ND</v>
      </c>
      <c r="L2037" s="167">
        <f t="shared" ref="L2037:T2037" si="1713">L669</f>
        <v>0</v>
      </c>
      <c r="M2037" s="168">
        <f t="shared" si="1713"/>
        <v>20000000</v>
      </c>
      <c r="N2037" s="168">
        <f t="shared" si="1713"/>
        <v>20000000</v>
      </c>
      <c r="O2037" s="168">
        <f t="shared" si="1713"/>
        <v>20000000</v>
      </c>
      <c r="P2037" s="168">
        <f t="shared" si="1713"/>
        <v>20000000</v>
      </c>
      <c r="Q2037" s="165">
        <f t="shared" si="1713"/>
        <v>80000000</v>
      </c>
      <c r="R2037" s="205" t="str">
        <f t="shared" ref="R2037:S2037" si="1714">R669</f>
        <v>EPS-DSG</v>
      </c>
      <c r="S2037" s="183" t="str">
        <f t="shared" si="1714"/>
        <v>ND</v>
      </c>
      <c r="T2037" s="51">
        <f t="shared" si="1713"/>
        <v>0</v>
      </c>
      <c r="W2037" s="608">
        <f t="shared" si="1607"/>
        <v>80000000</v>
      </c>
      <c r="X2037" s="608">
        <f t="shared" si="1608"/>
        <v>0</v>
      </c>
      <c r="Z2037" s="572">
        <f t="shared" si="1636"/>
        <v>0</v>
      </c>
      <c r="AA2037" s="1">
        <f t="shared" si="1637"/>
        <v>0</v>
      </c>
    </row>
    <row r="2038" spans="1:27" x14ac:dyDescent="0.2">
      <c r="A2038" s="211" t="str">
        <f>A671</f>
        <v>5.2 Gestion de l'accès à l'enseignement secondaire : assurer la gestion et l'orientation des élèves à la fin de l'enseignement de base</v>
      </c>
      <c r="B2038" s="212"/>
      <c r="C2038" s="392">
        <f>C671</f>
        <v>0</v>
      </c>
      <c r="D2038" s="217">
        <f t="shared" si="1597"/>
        <v>34</v>
      </c>
      <c r="E2038" s="217">
        <f t="shared" si="1598"/>
        <v>5000</v>
      </c>
      <c r="F2038" s="217">
        <f t="shared" si="1599"/>
        <v>5000</v>
      </c>
      <c r="G2038" s="217">
        <f t="shared" si="1600"/>
        <v>5000</v>
      </c>
      <c r="H2038" s="217">
        <f t="shared" si="1601"/>
        <v>5000</v>
      </c>
      <c r="I2038" s="220">
        <f t="shared" si="1602"/>
        <v>20034</v>
      </c>
      <c r="J2038" s="373">
        <f t="shared" si="1603"/>
        <v>0</v>
      </c>
      <c r="K2038" s="340">
        <f t="shared" si="1604"/>
        <v>0</v>
      </c>
      <c r="L2038" s="246">
        <f t="shared" ref="L2038:S2038" si="1715">L2039</f>
        <v>34000</v>
      </c>
      <c r="M2038" s="217">
        <f t="shared" si="1715"/>
        <v>5000000</v>
      </c>
      <c r="N2038" s="217">
        <f t="shared" si="1715"/>
        <v>5000000</v>
      </c>
      <c r="O2038" s="217">
        <f t="shared" si="1715"/>
        <v>5000000</v>
      </c>
      <c r="P2038" s="217">
        <f t="shared" si="1715"/>
        <v>5000000</v>
      </c>
      <c r="Q2038" s="218">
        <f t="shared" si="1715"/>
        <v>20034000</v>
      </c>
      <c r="R2038" s="522">
        <f t="shared" si="1715"/>
        <v>0</v>
      </c>
      <c r="S2038" s="222">
        <f t="shared" si="1715"/>
        <v>0</v>
      </c>
      <c r="T2038" s="214">
        <f>T671</f>
        <v>1</v>
      </c>
      <c r="W2038" s="608">
        <f t="shared" si="1607"/>
        <v>20034000</v>
      </c>
      <c r="X2038" s="608">
        <f t="shared" si="1608"/>
        <v>0</v>
      </c>
      <c r="Z2038" s="572">
        <f t="shared" si="1636"/>
        <v>0</v>
      </c>
      <c r="AA2038" s="1">
        <f t="shared" si="1637"/>
        <v>0</v>
      </c>
    </row>
    <row r="2039" spans="1:27" x14ac:dyDescent="0.2">
      <c r="A2039" s="122" t="str">
        <f>A672</f>
        <v>5.2.1 Mise en place d'un examen concours en fin de l'enseignement de base (ex fin de la 2ème année du premier cycle secondaire)</v>
      </c>
      <c r="B2039" s="152"/>
      <c r="C2039" s="390" t="str">
        <f>C672</f>
        <v>Dispositions règlementaires prises en 2017</v>
      </c>
      <c r="D2039" s="157">
        <f t="shared" si="1597"/>
        <v>34</v>
      </c>
      <c r="E2039" s="157">
        <f t="shared" si="1598"/>
        <v>5000</v>
      </c>
      <c r="F2039" s="157">
        <f t="shared" si="1599"/>
        <v>5000</v>
      </c>
      <c r="G2039" s="157">
        <f t="shared" si="1600"/>
        <v>5000</v>
      </c>
      <c r="H2039" s="157">
        <f t="shared" si="1601"/>
        <v>5000</v>
      </c>
      <c r="I2039" s="160">
        <f t="shared" si="1602"/>
        <v>20034</v>
      </c>
      <c r="J2039" s="374">
        <f t="shared" si="1603"/>
        <v>0</v>
      </c>
      <c r="K2039" s="341">
        <f t="shared" si="1604"/>
        <v>0</v>
      </c>
      <c r="L2039" s="35">
        <f t="shared" ref="L2039:Q2039" si="1716">SUM(L2040:L2042)</f>
        <v>34000</v>
      </c>
      <c r="M2039" s="34">
        <f t="shared" si="1716"/>
        <v>5000000</v>
      </c>
      <c r="N2039" s="34">
        <f t="shared" si="1716"/>
        <v>5000000</v>
      </c>
      <c r="O2039" s="34">
        <f t="shared" si="1716"/>
        <v>5000000</v>
      </c>
      <c r="P2039" s="34">
        <f t="shared" si="1716"/>
        <v>5000000</v>
      </c>
      <c r="Q2039" s="26">
        <f t="shared" si="1716"/>
        <v>20034000</v>
      </c>
      <c r="R2039" s="520">
        <f t="shared" ref="R2039:S2039" si="1717">SUM(R2040:R2042)</f>
        <v>0</v>
      </c>
      <c r="S2039" s="201">
        <f t="shared" si="1717"/>
        <v>0</v>
      </c>
      <c r="T2039" s="154">
        <f>T672</f>
        <v>0</v>
      </c>
      <c r="W2039" s="608">
        <f t="shared" si="1607"/>
        <v>20034000</v>
      </c>
      <c r="X2039" s="608">
        <f t="shared" si="1608"/>
        <v>0</v>
      </c>
      <c r="Z2039" s="572">
        <f t="shared" si="1636"/>
        <v>0</v>
      </c>
      <c r="AA2039" s="1">
        <f t="shared" si="1637"/>
        <v>0</v>
      </c>
    </row>
    <row r="2040" spans="1:27" x14ac:dyDescent="0.2">
      <c r="A2040" s="123" t="str">
        <f>A673</f>
        <v>5.2.1.1 Étude sur les modalités de l'examen de fin du cycle</v>
      </c>
      <c r="B2040" s="202"/>
      <c r="C2040" s="389">
        <f>C673</f>
        <v>0</v>
      </c>
      <c r="D2040" s="168">
        <f t="shared" si="1597"/>
        <v>34</v>
      </c>
      <c r="E2040" s="168">
        <f t="shared" si="1598"/>
        <v>0</v>
      </c>
      <c r="F2040" s="168">
        <f t="shared" si="1599"/>
        <v>0</v>
      </c>
      <c r="G2040" s="168">
        <f t="shared" si="1600"/>
        <v>0</v>
      </c>
      <c r="H2040" s="168">
        <f t="shared" si="1601"/>
        <v>0</v>
      </c>
      <c r="I2040" s="166">
        <f t="shared" si="1602"/>
        <v>34</v>
      </c>
      <c r="J2040" s="371" t="str">
        <f t="shared" si="1603"/>
        <v>EPS/ETP/MAS</v>
      </c>
      <c r="K2040" s="342" t="str">
        <f t="shared" si="1604"/>
        <v>ND</v>
      </c>
      <c r="L2040" s="167">
        <f t="shared" ref="L2040:Q2040" si="1718">L673</f>
        <v>34000</v>
      </c>
      <c r="M2040" s="168">
        <f t="shared" si="1718"/>
        <v>0</v>
      </c>
      <c r="N2040" s="168">
        <f t="shared" si="1718"/>
        <v>0</v>
      </c>
      <c r="O2040" s="168">
        <f t="shared" si="1718"/>
        <v>0</v>
      </c>
      <c r="P2040" s="168">
        <f t="shared" si="1718"/>
        <v>0</v>
      </c>
      <c r="Q2040" s="165">
        <f t="shared" si="1718"/>
        <v>34000</v>
      </c>
      <c r="R2040" s="519" t="str">
        <f t="shared" ref="R2040:S2040" si="1719">R673</f>
        <v>EPS/ETP/MAS</v>
      </c>
      <c r="S2040" s="224" t="str">
        <f t="shared" si="1719"/>
        <v>ND</v>
      </c>
      <c r="T2040" s="153">
        <f>T673</f>
        <v>0</v>
      </c>
      <c r="W2040" s="608">
        <f t="shared" si="1607"/>
        <v>34000</v>
      </c>
      <c r="X2040" s="608">
        <f t="shared" si="1608"/>
        <v>0</v>
      </c>
      <c r="Z2040" s="572">
        <f t="shared" si="1636"/>
        <v>0</v>
      </c>
      <c r="AA2040" s="1">
        <f t="shared" si="1637"/>
        <v>0</v>
      </c>
    </row>
    <row r="2041" spans="1:27" x14ac:dyDescent="0.2">
      <c r="A2041" s="123" t="str">
        <f>A677</f>
        <v>5.2.1.2 Textes réglementaires adoptés</v>
      </c>
      <c r="B2041" s="202"/>
      <c r="C2041" s="389">
        <f>C677</f>
        <v>0</v>
      </c>
      <c r="D2041" s="168">
        <f t="shared" ref="D2041:D2119" si="1720">L2041/1000</f>
        <v>0</v>
      </c>
      <c r="E2041" s="168">
        <f t="shared" ref="E2041:E2119" si="1721">M2041/1000</f>
        <v>0</v>
      </c>
      <c r="F2041" s="168">
        <f t="shared" ref="F2041:F2119" si="1722">N2041/1000</f>
        <v>0</v>
      </c>
      <c r="G2041" s="168">
        <f t="shared" ref="G2041:G2119" si="1723">O2041/1000</f>
        <v>0</v>
      </c>
      <c r="H2041" s="168">
        <f t="shared" ref="H2041:H2119" si="1724">P2041/1000</f>
        <v>0</v>
      </c>
      <c r="I2041" s="166">
        <f t="shared" ref="I2041:I2119" si="1725">Q2041/1000</f>
        <v>0</v>
      </c>
      <c r="J2041" s="371" t="str">
        <f t="shared" ref="J2041:J2119" si="1726">R2041</f>
        <v>EPS/ETP/MAS</v>
      </c>
      <c r="K2041" s="342" t="str">
        <f t="shared" ref="K2041:K2119" si="1727">S2041</f>
        <v>ND</v>
      </c>
      <c r="L2041" s="167">
        <f t="shared" ref="L2041:T2041" si="1728">L677</f>
        <v>0</v>
      </c>
      <c r="M2041" s="168">
        <f t="shared" si="1728"/>
        <v>0</v>
      </c>
      <c r="N2041" s="168">
        <f t="shared" si="1728"/>
        <v>0</v>
      </c>
      <c r="O2041" s="168">
        <f t="shared" si="1728"/>
        <v>0</v>
      </c>
      <c r="P2041" s="168">
        <f t="shared" si="1728"/>
        <v>0</v>
      </c>
      <c r="Q2041" s="165">
        <f t="shared" si="1728"/>
        <v>0</v>
      </c>
      <c r="R2041" s="519" t="str">
        <f t="shared" ref="R2041:S2041" si="1729">R677</f>
        <v>EPS/ETP/MAS</v>
      </c>
      <c r="S2041" s="224" t="str">
        <f t="shared" si="1729"/>
        <v>ND</v>
      </c>
      <c r="T2041" s="153">
        <f t="shared" si="1728"/>
        <v>0</v>
      </c>
      <c r="W2041" s="608">
        <f t="shared" ref="W2041:W2119" si="1730">SUM(L2041:P2041)</f>
        <v>0</v>
      </c>
      <c r="X2041" s="608">
        <f t="shared" ref="X2041:X2119" si="1731">W2041-Q2041</f>
        <v>0</v>
      </c>
      <c r="Z2041" s="572">
        <f t="shared" si="1636"/>
        <v>0</v>
      </c>
      <c r="AA2041" s="1">
        <f t="shared" si="1637"/>
        <v>0</v>
      </c>
    </row>
    <row r="2042" spans="1:27" x14ac:dyDescent="0.2">
      <c r="A2042" s="123" t="str">
        <f>A679</f>
        <v>5.2.1.3 Assurer la réalisation de l'examen national</v>
      </c>
      <c r="B2042" s="202"/>
      <c r="C2042" s="389">
        <f>C679</f>
        <v>0</v>
      </c>
      <c r="D2042" s="168">
        <f t="shared" si="1720"/>
        <v>0</v>
      </c>
      <c r="E2042" s="168">
        <f t="shared" si="1721"/>
        <v>5000</v>
      </c>
      <c r="F2042" s="168">
        <f t="shared" si="1722"/>
        <v>5000</v>
      </c>
      <c r="G2042" s="168">
        <f t="shared" si="1723"/>
        <v>5000</v>
      </c>
      <c r="H2042" s="168">
        <f t="shared" si="1724"/>
        <v>5000</v>
      </c>
      <c r="I2042" s="166">
        <f t="shared" si="1725"/>
        <v>20000</v>
      </c>
      <c r="J2042" s="371" t="str">
        <f t="shared" si="1726"/>
        <v>EPS-IG</v>
      </c>
      <c r="K2042" s="342">
        <f t="shared" si="1727"/>
        <v>0</v>
      </c>
      <c r="L2042" s="167">
        <f t="shared" ref="L2042:T2042" si="1732">L679</f>
        <v>0</v>
      </c>
      <c r="M2042" s="168">
        <f t="shared" si="1732"/>
        <v>5000000</v>
      </c>
      <c r="N2042" s="168">
        <f t="shared" si="1732"/>
        <v>5000000</v>
      </c>
      <c r="O2042" s="168">
        <f t="shared" si="1732"/>
        <v>5000000</v>
      </c>
      <c r="P2042" s="168">
        <f t="shared" si="1732"/>
        <v>5000000</v>
      </c>
      <c r="Q2042" s="165">
        <f t="shared" si="1732"/>
        <v>20000000</v>
      </c>
      <c r="R2042" s="519" t="str">
        <f t="shared" ref="R2042:S2042" si="1733">R679</f>
        <v>EPS-IG</v>
      </c>
      <c r="S2042" s="224">
        <f t="shared" si="1733"/>
        <v>0</v>
      </c>
      <c r="T2042" s="153">
        <f t="shared" si="1732"/>
        <v>0</v>
      </c>
      <c r="W2042" s="608">
        <f t="shared" si="1730"/>
        <v>20000000</v>
      </c>
      <c r="X2042" s="608">
        <f t="shared" si="1731"/>
        <v>0</v>
      </c>
      <c r="Z2042" s="572">
        <f t="shared" si="1636"/>
        <v>0</v>
      </c>
      <c r="AA2042" s="1">
        <f t="shared" si="1637"/>
        <v>0</v>
      </c>
    </row>
    <row r="2043" spans="1:27" x14ac:dyDescent="0.2">
      <c r="A2043" s="211" t="str">
        <f>A681</f>
        <v>5.3 Moyens des écoles : Apporter des ressources complétées par les frais scolaires payés par les familles</v>
      </c>
      <c r="B2043" s="212"/>
      <c r="C2043" s="392">
        <f>C681</f>
        <v>0</v>
      </c>
      <c r="D2043" s="217">
        <f t="shared" si="1720"/>
        <v>84790.660242336191</v>
      </c>
      <c r="E2043" s="217">
        <f t="shared" si="1721"/>
        <v>89668.289113337596</v>
      </c>
      <c r="F2043" s="217">
        <f t="shared" si="1722"/>
        <v>94595.243504468439</v>
      </c>
      <c r="G2043" s="217">
        <f t="shared" si="1723"/>
        <v>106357.92758609107</v>
      </c>
      <c r="H2043" s="217">
        <f t="shared" si="1724"/>
        <v>118961.45803409511</v>
      </c>
      <c r="I2043" s="220">
        <f t="shared" si="1725"/>
        <v>494373.57848032838</v>
      </c>
      <c r="J2043" s="373">
        <f t="shared" si="1726"/>
        <v>0</v>
      </c>
      <c r="K2043" s="340">
        <f t="shared" si="1727"/>
        <v>0</v>
      </c>
      <c r="L2043" s="246">
        <f t="shared" ref="L2043:Q2043" si="1734">L2044+L2046</f>
        <v>84790660.242336184</v>
      </c>
      <c r="M2043" s="217">
        <f t="shared" si="1734"/>
        <v>89668289.113337591</v>
      </c>
      <c r="N2043" s="217">
        <f t="shared" si="1734"/>
        <v>94595243.504468441</v>
      </c>
      <c r="O2043" s="217">
        <f t="shared" si="1734"/>
        <v>106357927.58609107</v>
      </c>
      <c r="P2043" s="217">
        <f t="shared" si="1734"/>
        <v>118961458.03409511</v>
      </c>
      <c r="Q2043" s="218">
        <f t="shared" si="1734"/>
        <v>494373578.48032838</v>
      </c>
      <c r="R2043" s="522">
        <f t="shared" ref="R2043:S2043" si="1735">R2044+R2046</f>
        <v>0</v>
      </c>
      <c r="S2043" s="222">
        <f t="shared" si="1735"/>
        <v>0</v>
      </c>
      <c r="T2043" s="214">
        <f>T681</f>
        <v>1</v>
      </c>
      <c r="W2043" s="608">
        <f t="shared" si="1730"/>
        <v>494373578.48032838</v>
      </c>
      <c r="X2043" s="608">
        <f t="shared" si="1731"/>
        <v>0</v>
      </c>
      <c r="Z2043" s="572">
        <f t="shared" si="1636"/>
        <v>0</v>
      </c>
      <c r="AA2043" s="1">
        <f t="shared" si="1637"/>
        <v>0</v>
      </c>
    </row>
    <row r="2044" spans="1:27" x14ac:dyDescent="0.2">
      <c r="A2044" s="122" t="str">
        <f>A682</f>
        <v>5.3.1 Prise en charge du personnel</v>
      </c>
      <c r="B2044" s="152"/>
      <c r="C2044" s="390" t="str">
        <f>C682</f>
        <v>101 000 personnels payés par l'État en 2025 (65 000 en 2014)</v>
      </c>
      <c r="D2044" s="157">
        <f t="shared" si="1720"/>
        <v>58790.660242336191</v>
      </c>
      <c r="E2044" s="157">
        <f t="shared" si="1721"/>
        <v>63668.289113337589</v>
      </c>
      <c r="F2044" s="157">
        <f t="shared" si="1722"/>
        <v>68595.243504468439</v>
      </c>
      <c r="G2044" s="157">
        <f t="shared" si="1723"/>
        <v>80357.927586091071</v>
      </c>
      <c r="H2044" s="157">
        <f t="shared" si="1724"/>
        <v>92961.458034095107</v>
      </c>
      <c r="I2044" s="160">
        <f t="shared" si="1725"/>
        <v>364373.57848032838</v>
      </c>
      <c r="J2044" s="374">
        <f t="shared" si="1726"/>
        <v>0</v>
      </c>
      <c r="K2044" s="341">
        <f t="shared" si="1727"/>
        <v>0</v>
      </c>
      <c r="L2044" s="35">
        <f t="shared" ref="L2044:S2044" si="1736">SUM(L2045:L2045)</f>
        <v>58790660.242336191</v>
      </c>
      <c r="M2044" s="34">
        <f t="shared" si="1736"/>
        <v>63668289.113337591</v>
      </c>
      <c r="N2044" s="34">
        <f t="shared" si="1736"/>
        <v>68595243.504468441</v>
      </c>
      <c r="O2044" s="34">
        <f t="shared" si="1736"/>
        <v>80357927.586091071</v>
      </c>
      <c r="P2044" s="34">
        <f t="shared" si="1736"/>
        <v>92961458.034095109</v>
      </c>
      <c r="Q2044" s="26">
        <f t="shared" si="1736"/>
        <v>364373578.48032838</v>
      </c>
      <c r="R2044" s="520">
        <f t="shared" si="1736"/>
        <v>0</v>
      </c>
      <c r="S2044" s="201">
        <f t="shared" si="1736"/>
        <v>0</v>
      </c>
      <c r="T2044" s="154">
        <f>T682</f>
        <v>0</v>
      </c>
      <c r="W2044" s="608">
        <f t="shared" si="1730"/>
        <v>364373578.48032838</v>
      </c>
      <c r="X2044" s="608">
        <f t="shared" si="1731"/>
        <v>0</v>
      </c>
      <c r="Z2044" s="572">
        <f t="shared" si="1636"/>
        <v>0</v>
      </c>
      <c r="AA2044" s="1">
        <f t="shared" si="1637"/>
        <v>0</v>
      </c>
    </row>
    <row r="2045" spans="1:27" x14ac:dyDescent="0.2">
      <c r="A2045" s="20" t="str">
        <f>A683</f>
        <v>4.3.1.2 Paiement des enseignants du secondaire 2</v>
      </c>
      <c r="B2045" s="46"/>
      <c r="C2045" s="386">
        <f>C683</f>
        <v>0</v>
      </c>
      <c r="D2045" s="168">
        <f t="shared" si="1720"/>
        <v>58790.660242336191</v>
      </c>
      <c r="E2045" s="168">
        <f t="shared" si="1721"/>
        <v>63668.289113337589</v>
      </c>
      <c r="F2045" s="168">
        <f t="shared" si="1722"/>
        <v>68595.243504468439</v>
      </c>
      <c r="G2045" s="168">
        <f t="shared" si="1723"/>
        <v>80357.927586091071</v>
      </c>
      <c r="H2045" s="168">
        <f t="shared" si="1724"/>
        <v>92961.458034095107</v>
      </c>
      <c r="I2045" s="166">
        <f t="shared" si="1725"/>
        <v>364373.57848032838</v>
      </c>
      <c r="J2045" s="371" t="str">
        <f t="shared" si="1726"/>
        <v>SECOPE/SG</v>
      </c>
      <c r="K2045" s="350" t="str">
        <f t="shared" si="1727"/>
        <v>GVT</v>
      </c>
      <c r="L2045" s="167">
        <f t="shared" ref="L2045:Q2045" si="1737">L683</f>
        <v>58790660.242336191</v>
      </c>
      <c r="M2045" s="168">
        <f t="shared" si="1737"/>
        <v>63668289.113337591</v>
      </c>
      <c r="N2045" s="168">
        <f t="shared" si="1737"/>
        <v>68595243.504468441</v>
      </c>
      <c r="O2045" s="168">
        <f t="shared" si="1737"/>
        <v>80357927.586091071</v>
      </c>
      <c r="P2045" s="168">
        <f t="shared" si="1737"/>
        <v>92961458.034095109</v>
      </c>
      <c r="Q2045" s="165">
        <f t="shared" si="1737"/>
        <v>364373578.48032838</v>
      </c>
      <c r="R2045" s="205" t="str">
        <f t="shared" ref="R2045:S2045" si="1738">R683</f>
        <v>SECOPE/SG</v>
      </c>
      <c r="S2045" s="183" t="str">
        <f t="shared" si="1738"/>
        <v>GVT</v>
      </c>
      <c r="T2045" s="51">
        <f>T683</f>
        <v>0</v>
      </c>
      <c r="W2045" s="608">
        <f t="shared" si="1730"/>
        <v>364373578.48032838</v>
      </c>
      <c r="X2045" s="608">
        <f t="shared" si="1731"/>
        <v>0</v>
      </c>
      <c r="Z2045" s="572">
        <f t="shared" si="1636"/>
        <v>0</v>
      </c>
      <c r="AA2045" s="1">
        <f t="shared" si="1637"/>
        <v>0</v>
      </c>
    </row>
    <row r="2046" spans="1:27" x14ac:dyDescent="0.2">
      <c r="A2046" s="17" t="str">
        <f>A685</f>
        <v>5.3.2 Construction des salles de classe</v>
      </c>
      <c r="B2046" s="45"/>
      <c r="C2046" s="387" t="str">
        <f>C685</f>
        <v>13 000 salles construites et équipées entre 2016 et 2025</v>
      </c>
      <c r="D2046" s="157">
        <f t="shared" si="1720"/>
        <v>26000</v>
      </c>
      <c r="E2046" s="157">
        <f t="shared" si="1721"/>
        <v>26000</v>
      </c>
      <c r="F2046" s="157">
        <f t="shared" si="1722"/>
        <v>26000</v>
      </c>
      <c r="G2046" s="157">
        <f t="shared" si="1723"/>
        <v>26000</v>
      </c>
      <c r="H2046" s="157">
        <f t="shared" si="1724"/>
        <v>26000</v>
      </c>
      <c r="I2046" s="160">
        <f t="shared" si="1725"/>
        <v>130000</v>
      </c>
      <c r="J2046" s="374">
        <f t="shared" si="1726"/>
        <v>0</v>
      </c>
      <c r="K2046" s="348">
        <f t="shared" si="1727"/>
        <v>0</v>
      </c>
      <c r="L2046" s="35">
        <f t="shared" ref="L2046:S2046" si="1739">SUM(L2047:L2047)</f>
        <v>26000000</v>
      </c>
      <c r="M2046" s="34">
        <f t="shared" si="1739"/>
        <v>26000000</v>
      </c>
      <c r="N2046" s="34">
        <f t="shared" si="1739"/>
        <v>26000000</v>
      </c>
      <c r="O2046" s="34">
        <f t="shared" si="1739"/>
        <v>26000000</v>
      </c>
      <c r="P2046" s="34">
        <f t="shared" si="1739"/>
        <v>26000000</v>
      </c>
      <c r="Q2046" s="26">
        <f t="shared" si="1739"/>
        <v>130000000</v>
      </c>
      <c r="R2046" s="518">
        <f t="shared" si="1739"/>
        <v>0</v>
      </c>
      <c r="S2046" s="181">
        <f t="shared" si="1739"/>
        <v>0</v>
      </c>
      <c r="T2046" s="50">
        <f>T685</f>
        <v>0</v>
      </c>
      <c r="W2046" s="608">
        <f t="shared" si="1730"/>
        <v>130000000</v>
      </c>
      <c r="X2046" s="608">
        <f t="shared" si="1731"/>
        <v>0</v>
      </c>
      <c r="Z2046" s="572">
        <f t="shared" si="1636"/>
        <v>0</v>
      </c>
      <c r="AA2046" s="1">
        <f t="shared" si="1637"/>
        <v>0</v>
      </c>
    </row>
    <row r="2047" spans="1:27" x14ac:dyDescent="0.2">
      <c r="A2047" s="20" t="str">
        <f>A686</f>
        <v>5.3.2.1 Construction et équipement des salles au secondaire</v>
      </c>
      <c r="B2047" s="46"/>
      <c r="C2047" s="386">
        <f>C686</f>
        <v>0</v>
      </c>
      <c r="D2047" s="168">
        <f t="shared" si="1720"/>
        <v>26000</v>
      </c>
      <c r="E2047" s="168">
        <f t="shared" si="1721"/>
        <v>26000</v>
      </c>
      <c r="F2047" s="168">
        <f t="shared" si="1722"/>
        <v>26000</v>
      </c>
      <c r="G2047" s="168">
        <f t="shared" si="1723"/>
        <v>26000</v>
      </c>
      <c r="H2047" s="168">
        <f t="shared" si="1724"/>
        <v>26000</v>
      </c>
      <c r="I2047" s="166">
        <f t="shared" si="1725"/>
        <v>130000</v>
      </c>
      <c r="J2047" s="371" t="str">
        <f t="shared" si="1726"/>
        <v>EPS-DIS</v>
      </c>
      <c r="K2047" s="350" t="str">
        <f t="shared" si="1727"/>
        <v>ND</v>
      </c>
      <c r="L2047" s="167">
        <f t="shared" ref="L2047:Q2047" si="1740">L686</f>
        <v>26000000</v>
      </c>
      <c r="M2047" s="168">
        <f t="shared" si="1740"/>
        <v>26000000</v>
      </c>
      <c r="N2047" s="168">
        <f t="shared" si="1740"/>
        <v>26000000</v>
      </c>
      <c r="O2047" s="168">
        <f t="shared" si="1740"/>
        <v>26000000</v>
      </c>
      <c r="P2047" s="168">
        <f t="shared" si="1740"/>
        <v>26000000</v>
      </c>
      <c r="Q2047" s="165">
        <f t="shared" si="1740"/>
        <v>130000000</v>
      </c>
      <c r="R2047" s="205" t="str">
        <f t="shared" ref="R2047:S2047" si="1741">R686</f>
        <v>EPS-DIS</v>
      </c>
      <c r="S2047" s="183" t="str">
        <f t="shared" si="1741"/>
        <v>ND</v>
      </c>
      <c r="T2047" s="51">
        <f>T686</f>
        <v>0</v>
      </c>
      <c r="W2047" s="608">
        <f t="shared" si="1730"/>
        <v>130000000</v>
      </c>
      <c r="X2047" s="608">
        <f t="shared" si="1731"/>
        <v>0</v>
      </c>
      <c r="Z2047" s="572">
        <f t="shared" si="1636"/>
        <v>0</v>
      </c>
      <c r="AA2047" s="1">
        <f t="shared" si="1637"/>
        <v>0</v>
      </c>
    </row>
    <row r="2048" spans="1:27" x14ac:dyDescent="0.2">
      <c r="A2048" s="14" t="str">
        <f>A688</f>
        <v xml:space="preserve">5.4 Matériels et équipements pédagogiques : rendre accessibles et disponibles les manuels scolaires et le matériel didactique </v>
      </c>
      <c r="B2048" s="44"/>
      <c r="C2048" s="385">
        <f>C688</f>
        <v>0</v>
      </c>
      <c r="D2048" s="217">
        <f t="shared" si="1720"/>
        <v>18592</v>
      </c>
      <c r="E2048" s="217">
        <f t="shared" si="1721"/>
        <v>19354</v>
      </c>
      <c r="F2048" s="217">
        <f t="shared" si="1722"/>
        <v>20180.875</v>
      </c>
      <c r="G2048" s="217">
        <f t="shared" si="1723"/>
        <v>21049.094000000001</v>
      </c>
      <c r="H2048" s="217">
        <f t="shared" si="1724"/>
        <v>21960.723000000002</v>
      </c>
      <c r="I2048" s="220">
        <f t="shared" si="1725"/>
        <v>101136.692</v>
      </c>
      <c r="J2048" s="373">
        <f t="shared" si="1726"/>
        <v>0</v>
      </c>
      <c r="K2048" s="346">
        <f t="shared" si="1727"/>
        <v>0</v>
      </c>
      <c r="L2048" s="33">
        <f t="shared" ref="L2048:Q2048" si="1742">L2049+L2052+L2056</f>
        <v>18592000</v>
      </c>
      <c r="M2048" s="32">
        <f t="shared" si="1742"/>
        <v>19354000</v>
      </c>
      <c r="N2048" s="32">
        <f t="shared" si="1742"/>
        <v>20180875</v>
      </c>
      <c r="O2048" s="32">
        <f t="shared" si="1742"/>
        <v>21049094</v>
      </c>
      <c r="P2048" s="32">
        <f t="shared" si="1742"/>
        <v>21960723</v>
      </c>
      <c r="Q2048" s="25">
        <f t="shared" si="1742"/>
        <v>101136692</v>
      </c>
      <c r="R2048" s="16">
        <f t="shared" ref="R2048:S2048" si="1743">R2049+R2052+R2056</f>
        <v>0</v>
      </c>
      <c r="S2048" s="15">
        <f t="shared" si="1743"/>
        <v>0</v>
      </c>
      <c r="T2048" s="112">
        <f>T688</f>
        <v>2</v>
      </c>
      <c r="W2048" s="608">
        <f t="shared" si="1730"/>
        <v>101136692</v>
      </c>
      <c r="X2048" s="608">
        <f t="shared" si="1731"/>
        <v>0</v>
      </c>
      <c r="Z2048" s="572">
        <f t="shared" si="1636"/>
        <v>0</v>
      </c>
      <c r="AA2048" s="1">
        <f t="shared" si="1637"/>
        <v>0</v>
      </c>
    </row>
    <row r="2049" spans="1:27" x14ac:dyDescent="0.2">
      <c r="A2049" s="17" t="str">
        <f>A689</f>
        <v>5.4.1 Équipement pédagogiques</v>
      </c>
      <c r="B2049" s="45"/>
      <c r="C2049" s="386">
        <f>C689</f>
        <v>0</v>
      </c>
      <c r="D2049" s="157">
        <f t="shared" si="1720"/>
        <v>15754.5</v>
      </c>
      <c r="E2049" s="157">
        <f t="shared" si="1721"/>
        <v>16537.5</v>
      </c>
      <c r="F2049" s="157">
        <f t="shared" si="1722"/>
        <v>17364.375</v>
      </c>
      <c r="G2049" s="157">
        <f t="shared" si="1723"/>
        <v>18232.594000000001</v>
      </c>
      <c r="H2049" s="157">
        <f t="shared" si="1724"/>
        <v>19144.223000000002</v>
      </c>
      <c r="I2049" s="160">
        <f t="shared" si="1725"/>
        <v>87033.191999999995</v>
      </c>
      <c r="J2049" s="374">
        <f t="shared" si="1726"/>
        <v>0</v>
      </c>
      <c r="K2049" s="348">
        <f t="shared" si="1727"/>
        <v>0</v>
      </c>
      <c r="L2049" s="35">
        <f t="shared" ref="L2049:Q2049" si="1744">SUM(L2050:L2051)</f>
        <v>15754500</v>
      </c>
      <c r="M2049" s="34">
        <f t="shared" si="1744"/>
        <v>16537500</v>
      </c>
      <c r="N2049" s="34">
        <f t="shared" si="1744"/>
        <v>17364375</v>
      </c>
      <c r="O2049" s="34">
        <f t="shared" si="1744"/>
        <v>18232594</v>
      </c>
      <c r="P2049" s="34">
        <f t="shared" si="1744"/>
        <v>19144223</v>
      </c>
      <c r="Q2049" s="26">
        <f t="shared" si="1744"/>
        <v>87033192</v>
      </c>
      <c r="R2049" s="19">
        <f t="shared" ref="R2049:S2049" si="1745">SUM(R2050:R2051)</f>
        <v>0</v>
      </c>
      <c r="S2049" s="18">
        <f t="shared" si="1745"/>
        <v>0</v>
      </c>
      <c r="T2049" s="51">
        <f>T689</f>
        <v>0</v>
      </c>
      <c r="W2049" s="608">
        <f t="shared" si="1730"/>
        <v>87033192</v>
      </c>
      <c r="X2049" s="608">
        <f t="shared" si="1731"/>
        <v>0</v>
      </c>
      <c r="Z2049" s="572">
        <f t="shared" si="1636"/>
        <v>0</v>
      </c>
      <c r="AA2049" s="1">
        <f t="shared" si="1637"/>
        <v>0</v>
      </c>
    </row>
    <row r="2050" spans="1:27" x14ac:dyDescent="0.2">
      <c r="A2050" s="20" t="str">
        <f>A690</f>
        <v>5.4.1.1 Définition du kit d'équipement en matériel pédagogique pour le premier cycle du secondaire</v>
      </c>
      <c r="B2050" s="46"/>
      <c r="C2050" s="386" t="str">
        <f>C690</f>
        <v>En 2025, toutes les écoles disposent de matériels pédagogiques</v>
      </c>
      <c r="D2050" s="168">
        <f t="shared" si="1720"/>
        <v>4.5</v>
      </c>
      <c r="E2050" s="168">
        <f t="shared" si="1721"/>
        <v>0</v>
      </c>
      <c r="F2050" s="168">
        <f t="shared" si="1722"/>
        <v>0</v>
      </c>
      <c r="G2050" s="168">
        <f t="shared" si="1723"/>
        <v>0</v>
      </c>
      <c r="H2050" s="168">
        <f t="shared" si="1724"/>
        <v>0</v>
      </c>
      <c r="I2050" s="166">
        <f t="shared" si="1725"/>
        <v>4.5</v>
      </c>
      <c r="J2050" s="371" t="str">
        <f t="shared" si="1726"/>
        <v>EPS-DIPROMAD</v>
      </c>
      <c r="K2050" s="350" t="str">
        <f t="shared" si="1727"/>
        <v>ND</v>
      </c>
      <c r="L2050" s="167">
        <f t="shared" ref="L2050:Q2050" si="1746">L690</f>
        <v>4500</v>
      </c>
      <c r="M2050" s="168">
        <f t="shared" si="1746"/>
        <v>0</v>
      </c>
      <c r="N2050" s="168">
        <f t="shared" si="1746"/>
        <v>0</v>
      </c>
      <c r="O2050" s="168">
        <f t="shared" si="1746"/>
        <v>0</v>
      </c>
      <c r="P2050" s="168">
        <f t="shared" si="1746"/>
        <v>0</v>
      </c>
      <c r="Q2050" s="165">
        <f t="shared" si="1746"/>
        <v>4500</v>
      </c>
      <c r="R2050" s="198" t="str">
        <f t="shared" ref="R2050:S2050" si="1747">R690</f>
        <v>EPS-DIPROMAD</v>
      </c>
      <c r="S2050" s="21" t="str">
        <f t="shared" si="1747"/>
        <v>ND</v>
      </c>
      <c r="T2050" s="51">
        <f>T690</f>
        <v>0</v>
      </c>
      <c r="W2050" s="608">
        <f t="shared" si="1730"/>
        <v>4500</v>
      </c>
      <c r="X2050" s="608">
        <f t="shared" si="1731"/>
        <v>0</v>
      </c>
      <c r="Z2050" s="572">
        <f t="shared" si="1636"/>
        <v>0</v>
      </c>
      <c r="AA2050" s="1">
        <f t="shared" si="1637"/>
        <v>0</v>
      </c>
    </row>
    <row r="2051" spans="1:27" x14ac:dyDescent="0.2">
      <c r="A2051" s="20" t="str">
        <f>A693</f>
        <v>5.4.1.2 Acquisition et distribution de kits pédagogiques</v>
      </c>
      <c r="B2051" s="46"/>
      <c r="C2051" s="386">
        <f>C693</f>
        <v>0</v>
      </c>
      <c r="D2051" s="168">
        <f t="shared" si="1720"/>
        <v>15750</v>
      </c>
      <c r="E2051" s="168">
        <f t="shared" si="1721"/>
        <v>16537.5</v>
      </c>
      <c r="F2051" s="168">
        <f t="shared" si="1722"/>
        <v>17364.375</v>
      </c>
      <c r="G2051" s="168">
        <f t="shared" si="1723"/>
        <v>18232.594000000001</v>
      </c>
      <c r="H2051" s="168">
        <f t="shared" si="1724"/>
        <v>19144.223000000002</v>
      </c>
      <c r="I2051" s="166">
        <f t="shared" si="1725"/>
        <v>87028.691999999995</v>
      </c>
      <c r="J2051" s="371" t="str">
        <f t="shared" si="1726"/>
        <v>EPS-DIPROMAD</v>
      </c>
      <c r="K2051" s="350" t="str">
        <f t="shared" si="1727"/>
        <v>ND</v>
      </c>
      <c r="L2051" s="167">
        <f t="shared" ref="L2051:T2051" si="1748">L693</f>
        <v>15750000</v>
      </c>
      <c r="M2051" s="168">
        <f t="shared" si="1748"/>
        <v>16537500</v>
      </c>
      <c r="N2051" s="168">
        <f t="shared" si="1748"/>
        <v>17364375</v>
      </c>
      <c r="O2051" s="168">
        <f t="shared" si="1748"/>
        <v>18232594</v>
      </c>
      <c r="P2051" s="168">
        <f t="shared" si="1748"/>
        <v>19144223</v>
      </c>
      <c r="Q2051" s="165">
        <f t="shared" si="1748"/>
        <v>87028692</v>
      </c>
      <c r="R2051" s="198" t="str">
        <f t="shared" ref="R2051:S2051" si="1749">R693</f>
        <v>EPS-DIPROMAD</v>
      </c>
      <c r="S2051" s="21" t="str">
        <f t="shared" si="1749"/>
        <v>ND</v>
      </c>
      <c r="T2051" s="51">
        <f t="shared" si="1748"/>
        <v>0</v>
      </c>
      <c r="W2051" s="608">
        <f t="shared" si="1730"/>
        <v>87028692</v>
      </c>
      <c r="X2051" s="608">
        <f t="shared" si="1731"/>
        <v>0</v>
      </c>
      <c r="Z2051" s="572">
        <f t="shared" si="1636"/>
        <v>0</v>
      </c>
      <c r="AA2051" s="1">
        <f t="shared" si="1637"/>
        <v>0</v>
      </c>
    </row>
    <row r="2052" spans="1:27" x14ac:dyDescent="0.2">
      <c r="A2052" s="17" t="str">
        <f>A695</f>
        <v xml:space="preserve">5.4.2 Manuels scolaires </v>
      </c>
      <c r="B2052" s="45"/>
      <c r="C2052" s="386" t="str">
        <f>C695</f>
        <v xml:space="preserve">En 2025, tous les enfants disposent de 3 manuels </v>
      </c>
      <c r="D2052" s="157">
        <f t="shared" si="1720"/>
        <v>2796.3</v>
      </c>
      <c r="E2052" s="157">
        <f t="shared" si="1721"/>
        <v>2775.3</v>
      </c>
      <c r="F2052" s="157">
        <f t="shared" si="1722"/>
        <v>2775.3</v>
      </c>
      <c r="G2052" s="157">
        <f t="shared" si="1723"/>
        <v>2775.3</v>
      </c>
      <c r="H2052" s="157">
        <f t="shared" si="1724"/>
        <v>2775.3</v>
      </c>
      <c r="I2052" s="160">
        <f t="shared" si="1725"/>
        <v>13897.5</v>
      </c>
      <c r="J2052" s="374">
        <f t="shared" si="1726"/>
        <v>0</v>
      </c>
      <c r="K2052" s="348">
        <f t="shared" si="1727"/>
        <v>0</v>
      </c>
      <c r="L2052" s="35">
        <f t="shared" ref="L2052:Q2052" si="1750">SUM(L2053:L2055)</f>
        <v>2796300</v>
      </c>
      <c r="M2052" s="34">
        <f t="shared" si="1750"/>
        <v>2775300</v>
      </c>
      <c r="N2052" s="34">
        <f t="shared" si="1750"/>
        <v>2775300</v>
      </c>
      <c r="O2052" s="34">
        <f t="shared" si="1750"/>
        <v>2775300</v>
      </c>
      <c r="P2052" s="34">
        <f t="shared" si="1750"/>
        <v>2775300</v>
      </c>
      <c r="Q2052" s="26">
        <f t="shared" si="1750"/>
        <v>13897500</v>
      </c>
      <c r="R2052" s="19">
        <f t="shared" ref="R2052:S2052" si="1751">SUM(R2053:R2055)</f>
        <v>0</v>
      </c>
      <c r="S2052" s="18">
        <f t="shared" si="1751"/>
        <v>0</v>
      </c>
      <c r="T2052" s="51">
        <f>T695</f>
        <v>0</v>
      </c>
      <c r="W2052" s="608">
        <f t="shared" si="1730"/>
        <v>13897500</v>
      </c>
      <c r="X2052" s="608">
        <f t="shared" si="1731"/>
        <v>0</v>
      </c>
      <c r="Z2052" s="572">
        <f t="shared" si="1636"/>
        <v>0</v>
      </c>
      <c r="AA2052" s="1">
        <f t="shared" si="1637"/>
        <v>0</v>
      </c>
    </row>
    <row r="2053" spans="1:27" x14ac:dyDescent="0.2">
      <c r="A2053" s="20" t="str">
        <f>A696</f>
        <v>5.4.2.1 Élaboration de manuels scolaires en français, mathématiques et sciences et de leurs guides pédagogiques</v>
      </c>
      <c r="B2053" s="46"/>
      <c r="C2053" s="386">
        <f>C696</f>
        <v>0</v>
      </c>
      <c r="D2053" s="168">
        <f t="shared" si="1720"/>
        <v>7.2</v>
      </c>
      <c r="E2053" s="168">
        <f t="shared" si="1721"/>
        <v>0</v>
      </c>
      <c r="F2053" s="168">
        <f t="shared" si="1722"/>
        <v>0</v>
      </c>
      <c r="G2053" s="168">
        <f t="shared" si="1723"/>
        <v>0</v>
      </c>
      <c r="H2053" s="168">
        <f t="shared" si="1724"/>
        <v>0</v>
      </c>
      <c r="I2053" s="166">
        <f t="shared" si="1725"/>
        <v>7.2</v>
      </c>
      <c r="J2053" s="371" t="str">
        <f t="shared" si="1726"/>
        <v>EPS-DIPROMAD</v>
      </c>
      <c r="K2053" s="350" t="str">
        <f t="shared" si="1727"/>
        <v>BM</v>
      </c>
      <c r="L2053" s="167">
        <f t="shared" ref="L2053:Q2053" si="1752">L696</f>
        <v>7200</v>
      </c>
      <c r="M2053" s="168">
        <f t="shared" si="1752"/>
        <v>0</v>
      </c>
      <c r="N2053" s="168">
        <f t="shared" si="1752"/>
        <v>0</v>
      </c>
      <c r="O2053" s="168">
        <f t="shared" si="1752"/>
        <v>0</v>
      </c>
      <c r="P2053" s="168">
        <f t="shared" si="1752"/>
        <v>0</v>
      </c>
      <c r="Q2053" s="165">
        <f t="shared" si="1752"/>
        <v>7200</v>
      </c>
      <c r="R2053" s="198" t="str">
        <f t="shared" ref="R2053:S2053" si="1753">R696</f>
        <v>EPS-DIPROMAD</v>
      </c>
      <c r="S2053" s="115" t="str">
        <f t="shared" si="1753"/>
        <v>BM</v>
      </c>
      <c r="T2053" s="51">
        <f>T696</f>
        <v>0</v>
      </c>
      <c r="W2053" s="608">
        <f t="shared" si="1730"/>
        <v>7200</v>
      </c>
      <c r="X2053" s="608">
        <f t="shared" si="1731"/>
        <v>0</v>
      </c>
      <c r="Z2053" s="572">
        <f t="shared" si="1636"/>
        <v>0</v>
      </c>
      <c r="AA2053" s="1">
        <f t="shared" si="1637"/>
        <v>0</v>
      </c>
    </row>
    <row r="2054" spans="1:27" x14ac:dyDescent="0.2">
      <c r="A2054" s="20" t="str">
        <f>A699</f>
        <v>5.4.2.3 Élaboration du module de formation à l'utilisation des manuels scolaires en français, mathématiques et sciences</v>
      </c>
      <c r="B2054" s="46"/>
      <c r="C2054" s="386">
        <f>C699</f>
        <v>0</v>
      </c>
      <c r="D2054" s="168">
        <f t="shared" si="1720"/>
        <v>13.8</v>
      </c>
      <c r="E2054" s="168">
        <f t="shared" si="1721"/>
        <v>0</v>
      </c>
      <c r="F2054" s="168">
        <f t="shared" si="1722"/>
        <v>0</v>
      </c>
      <c r="G2054" s="168">
        <f t="shared" si="1723"/>
        <v>0</v>
      </c>
      <c r="H2054" s="168">
        <f t="shared" si="1724"/>
        <v>0</v>
      </c>
      <c r="I2054" s="166">
        <f t="shared" si="1725"/>
        <v>13.8</v>
      </c>
      <c r="J2054" s="371" t="str">
        <f t="shared" si="1726"/>
        <v>EPS-DIPROMAD</v>
      </c>
      <c r="K2054" s="350" t="str">
        <f t="shared" si="1727"/>
        <v>BM</v>
      </c>
      <c r="L2054" s="37">
        <f t="shared" ref="L2054:T2054" si="1754">L699</f>
        <v>13800</v>
      </c>
      <c r="M2054" s="36">
        <f t="shared" si="1754"/>
        <v>0</v>
      </c>
      <c r="N2054" s="36">
        <f t="shared" si="1754"/>
        <v>0</v>
      </c>
      <c r="O2054" s="36">
        <f t="shared" si="1754"/>
        <v>0</v>
      </c>
      <c r="P2054" s="36">
        <f t="shared" si="1754"/>
        <v>0</v>
      </c>
      <c r="Q2054" s="27">
        <f t="shared" si="1754"/>
        <v>13800</v>
      </c>
      <c r="R2054" s="198" t="str">
        <f t="shared" ref="R2054:S2054" si="1755">R699</f>
        <v>EPS-DIPROMAD</v>
      </c>
      <c r="S2054" s="115" t="str">
        <f t="shared" si="1755"/>
        <v>BM</v>
      </c>
      <c r="T2054" s="51">
        <f t="shared" si="1754"/>
        <v>0</v>
      </c>
      <c r="W2054" s="608">
        <f t="shared" si="1730"/>
        <v>13800</v>
      </c>
      <c r="X2054" s="608">
        <f t="shared" si="1731"/>
        <v>0</v>
      </c>
      <c r="Z2054" s="572">
        <f t="shared" si="1636"/>
        <v>0</v>
      </c>
      <c r="AA2054" s="1">
        <f t="shared" si="1637"/>
        <v>0</v>
      </c>
    </row>
    <row r="2055" spans="1:27" x14ac:dyDescent="0.2">
      <c r="A2055" s="20" t="str">
        <f>A703</f>
        <v>5.4.2.4 Acquisition et distribution des manuels scolaires en français, mathématiques et sciences</v>
      </c>
      <c r="B2055" s="46"/>
      <c r="C2055" s="386">
        <f>C703</f>
        <v>0</v>
      </c>
      <c r="D2055" s="168">
        <f t="shared" si="1720"/>
        <v>2775.3</v>
      </c>
      <c r="E2055" s="168">
        <f t="shared" si="1721"/>
        <v>2775.3</v>
      </c>
      <c r="F2055" s="168">
        <f t="shared" si="1722"/>
        <v>2775.3</v>
      </c>
      <c r="G2055" s="168">
        <f t="shared" si="1723"/>
        <v>2775.3</v>
      </c>
      <c r="H2055" s="168">
        <f t="shared" si="1724"/>
        <v>2775.3</v>
      </c>
      <c r="I2055" s="166">
        <f t="shared" si="1725"/>
        <v>13876.5</v>
      </c>
      <c r="J2055" s="371" t="str">
        <f t="shared" si="1726"/>
        <v>EPS-DIPROMAD</v>
      </c>
      <c r="K2055" s="350" t="str">
        <f t="shared" si="1727"/>
        <v>BM</v>
      </c>
      <c r="L2055" s="37">
        <f t="shared" ref="L2055:T2055" si="1756">L703</f>
        <v>2775300</v>
      </c>
      <c r="M2055" s="36">
        <f t="shared" si="1756"/>
        <v>2775300</v>
      </c>
      <c r="N2055" s="36">
        <f t="shared" si="1756"/>
        <v>2775300</v>
      </c>
      <c r="O2055" s="36">
        <f t="shared" si="1756"/>
        <v>2775300</v>
      </c>
      <c r="P2055" s="36">
        <f t="shared" si="1756"/>
        <v>2775300</v>
      </c>
      <c r="Q2055" s="27">
        <f t="shared" si="1756"/>
        <v>13876500</v>
      </c>
      <c r="R2055" s="198" t="str">
        <f t="shared" ref="R2055:S2055" si="1757">R703</f>
        <v>EPS-DIPROMAD</v>
      </c>
      <c r="S2055" s="115" t="str">
        <f t="shared" si="1757"/>
        <v>BM</v>
      </c>
      <c r="T2055" s="51">
        <f t="shared" si="1756"/>
        <v>0</v>
      </c>
      <c r="W2055" s="608">
        <f t="shared" si="1730"/>
        <v>13876500</v>
      </c>
      <c r="X2055" s="608">
        <f t="shared" si="1731"/>
        <v>0</v>
      </c>
      <c r="Z2055" s="572">
        <f t="shared" si="1636"/>
        <v>0</v>
      </c>
      <c r="AA2055" s="1">
        <f t="shared" si="1637"/>
        <v>0</v>
      </c>
    </row>
    <row r="2056" spans="1:27" x14ac:dyDescent="0.2">
      <c r="A2056" s="17" t="str">
        <f>A705</f>
        <v>5.4.3 Guides pédagogiques pour les enseignants</v>
      </c>
      <c r="B2056" s="45"/>
      <c r="C2056" s="386" t="str">
        <f>C705</f>
        <v>En 2025, tous les enseignants disposent d'un guide</v>
      </c>
      <c r="D2056" s="157">
        <f t="shared" si="1720"/>
        <v>41.2</v>
      </c>
      <c r="E2056" s="157">
        <f t="shared" si="1721"/>
        <v>41.2</v>
      </c>
      <c r="F2056" s="157">
        <f t="shared" si="1722"/>
        <v>41.2</v>
      </c>
      <c r="G2056" s="157">
        <f t="shared" si="1723"/>
        <v>41.2</v>
      </c>
      <c r="H2056" s="157">
        <f t="shared" si="1724"/>
        <v>41.2</v>
      </c>
      <c r="I2056" s="160">
        <f t="shared" si="1725"/>
        <v>206</v>
      </c>
      <c r="J2056" s="374">
        <f t="shared" si="1726"/>
        <v>0</v>
      </c>
      <c r="K2056" s="348">
        <f t="shared" si="1727"/>
        <v>0</v>
      </c>
      <c r="L2056" s="35">
        <f t="shared" ref="L2056:S2056" si="1758">SUM(L2057:L2057)</f>
        <v>41200</v>
      </c>
      <c r="M2056" s="34">
        <f t="shared" si="1758"/>
        <v>41200</v>
      </c>
      <c r="N2056" s="34">
        <f t="shared" si="1758"/>
        <v>41200</v>
      </c>
      <c r="O2056" s="34">
        <f t="shared" si="1758"/>
        <v>41200</v>
      </c>
      <c r="P2056" s="34">
        <f t="shared" si="1758"/>
        <v>41200</v>
      </c>
      <c r="Q2056" s="26">
        <f t="shared" si="1758"/>
        <v>206000</v>
      </c>
      <c r="R2056" s="19">
        <f t="shared" si="1758"/>
        <v>0</v>
      </c>
      <c r="S2056" s="18">
        <f t="shared" si="1758"/>
        <v>0</v>
      </c>
      <c r="T2056" s="51">
        <f>T705</f>
        <v>0</v>
      </c>
      <c r="W2056" s="608">
        <f t="shared" si="1730"/>
        <v>206000</v>
      </c>
      <c r="X2056" s="608">
        <f t="shared" si="1731"/>
        <v>0</v>
      </c>
      <c r="Z2056" s="572">
        <f t="shared" si="1636"/>
        <v>0</v>
      </c>
      <c r="AA2056" s="1">
        <f t="shared" si="1637"/>
        <v>0</v>
      </c>
    </row>
    <row r="2057" spans="1:27" x14ac:dyDescent="0.2">
      <c r="A2057" s="20" t="str">
        <f>A706</f>
        <v>5.4.3.1 Acquisition et distribution des guides pédagogiques pour les enseignants</v>
      </c>
      <c r="B2057" s="46"/>
      <c r="C2057" s="386">
        <f>C706</f>
        <v>0</v>
      </c>
      <c r="D2057" s="168">
        <f t="shared" si="1720"/>
        <v>41.2</v>
      </c>
      <c r="E2057" s="168">
        <f t="shared" si="1721"/>
        <v>41.2</v>
      </c>
      <c r="F2057" s="168">
        <f t="shared" si="1722"/>
        <v>41.2</v>
      </c>
      <c r="G2057" s="168">
        <f t="shared" si="1723"/>
        <v>41.2</v>
      </c>
      <c r="H2057" s="168">
        <f t="shared" si="1724"/>
        <v>41.2</v>
      </c>
      <c r="I2057" s="166">
        <f t="shared" si="1725"/>
        <v>206</v>
      </c>
      <c r="J2057" s="371" t="str">
        <f t="shared" si="1726"/>
        <v>EPS-DIPROMAD</v>
      </c>
      <c r="K2057" s="350" t="str">
        <f t="shared" si="1727"/>
        <v>BM</v>
      </c>
      <c r="L2057" s="37">
        <f t="shared" ref="L2057:Q2057" si="1759">L706</f>
        <v>41200</v>
      </c>
      <c r="M2057" s="36">
        <f t="shared" si="1759"/>
        <v>41200</v>
      </c>
      <c r="N2057" s="36">
        <f t="shared" si="1759"/>
        <v>41200</v>
      </c>
      <c r="O2057" s="36">
        <f t="shared" si="1759"/>
        <v>41200</v>
      </c>
      <c r="P2057" s="36">
        <f t="shared" si="1759"/>
        <v>41200</v>
      </c>
      <c r="Q2057" s="27">
        <f t="shared" si="1759"/>
        <v>206000</v>
      </c>
      <c r="R2057" s="198" t="str">
        <f t="shared" ref="R2057:S2057" si="1760">R706</f>
        <v>EPS-DIPROMAD</v>
      </c>
      <c r="S2057" s="115" t="str">
        <f t="shared" si="1760"/>
        <v>BM</v>
      </c>
      <c r="T2057" s="51">
        <f>T706</f>
        <v>0</v>
      </c>
      <c r="W2057" s="608">
        <f t="shared" si="1730"/>
        <v>206000</v>
      </c>
      <c r="X2057" s="608">
        <f t="shared" si="1731"/>
        <v>0</v>
      </c>
      <c r="Z2057" s="572">
        <f t="shared" si="1636"/>
        <v>0</v>
      </c>
      <c r="AA2057" s="1">
        <f t="shared" si="1637"/>
        <v>0</v>
      </c>
    </row>
    <row r="2058" spans="1:27" x14ac:dyDescent="0.2">
      <c r="A2058" s="14" t="str">
        <f>A708</f>
        <v>5.5 Équipement des bibliothèques et laboratoires : acquérir des fonds documentaires et matériels nécessaires aux bibliothèques, laboratoires et salles spécialisées</v>
      </c>
      <c r="B2058" s="44"/>
      <c r="C2058" s="385">
        <f>C708</f>
        <v>0</v>
      </c>
      <c r="D2058" s="217">
        <f t="shared" si="1720"/>
        <v>25518</v>
      </c>
      <c r="E2058" s="217">
        <f t="shared" si="1721"/>
        <v>25428</v>
      </c>
      <c r="F2058" s="217">
        <f t="shared" si="1722"/>
        <v>25428</v>
      </c>
      <c r="G2058" s="217">
        <f t="shared" si="1723"/>
        <v>25428</v>
      </c>
      <c r="H2058" s="217">
        <f t="shared" si="1724"/>
        <v>25428</v>
      </c>
      <c r="I2058" s="220">
        <f t="shared" si="1725"/>
        <v>127230</v>
      </c>
      <c r="J2058" s="373">
        <f t="shared" si="1726"/>
        <v>0</v>
      </c>
      <c r="K2058" s="346">
        <f t="shared" si="1727"/>
        <v>0</v>
      </c>
      <c r="L2058" s="33">
        <f t="shared" ref="L2058:Q2058" si="1761">L2059+L2063</f>
        <v>25518000</v>
      </c>
      <c r="M2058" s="32">
        <f t="shared" si="1761"/>
        <v>25428000</v>
      </c>
      <c r="N2058" s="32">
        <f t="shared" si="1761"/>
        <v>25428000</v>
      </c>
      <c r="O2058" s="32">
        <f t="shared" si="1761"/>
        <v>25428000</v>
      </c>
      <c r="P2058" s="32">
        <f t="shared" si="1761"/>
        <v>25428000</v>
      </c>
      <c r="Q2058" s="25">
        <f t="shared" si="1761"/>
        <v>127230000</v>
      </c>
      <c r="R2058" s="16">
        <f t="shared" ref="R2058:S2058" si="1762">R2059+R2063</f>
        <v>0</v>
      </c>
      <c r="S2058" s="15">
        <f t="shared" si="1762"/>
        <v>0</v>
      </c>
      <c r="T2058" s="112">
        <f>T708</f>
        <v>2</v>
      </c>
      <c r="W2058" s="608">
        <f t="shared" si="1730"/>
        <v>127230000</v>
      </c>
      <c r="X2058" s="608">
        <f t="shared" si="1731"/>
        <v>0</v>
      </c>
      <c r="Z2058" s="572">
        <f t="shared" ref="Z2058:Z2121" si="1763">IF($Y2058="P",$I2058,)</f>
        <v>0</v>
      </c>
      <c r="AA2058" s="1">
        <f t="shared" ref="AA2058:AA2121" si="1764">IF($Y2058="G",$I2058,)</f>
        <v>0</v>
      </c>
    </row>
    <row r="2059" spans="1:27" x14ac:dyDescent="0.2">
      <c r="A2059" s="17" t="str">
        <f>A709</f>
        <v>5.5.1 Équipement des laboratoires</v>
      </c>
      <c r="B2059" s="45"/>
      <c r="C2059" s="386" t="str">
        <f>C709</f>
        <v>En 2025 tous les établissements secondaires disposent des équipements de laboratoires nécessaires</v>
      </c>
      <c r="D2059" s="157">
        <f t="shared" si="1720"/>
        <v>24464</v>
      </c>
      <c r="E2059" s="157">
        <f t="shared" si="1721"/>
        <v>24450</v>
      </c>
      <c r="F2059" s="157">
        <f t="shared" si="1722"/>
        <v>24450</v>
      </c>
      <c r="G2059" s="157">
        <f t="shared" si="1723"/>
        <v>24450</v>
      </c>
      <c r="H2059" s="157">
        <f t="shared" si="1724"/>
        <v>24450</v>
      </c>
      <c r="I2059" s="160">
        <f t="shared" si="1725"/>
        <v>122264</v>
      </c>
      <c r="J2059" s="374">
        <f t="shared" si="1726"/>
        <v>0</v>
      </c>
      <c r="K2059" s="348">
        <f t="shared" si="1727"/>
        <v>0</v>
      </c>
      <c r="L2059" s="35">
        <f t="shared" ref="L2059:Q2059" si="1765">SUM(L2060:L2062)</f>
        <v>24464000</v>
      </c>
      <c r="M2059" s="34">
        <f t="shared" si="1765"/>
        <v>24450000</v>
      </c>
      <c r="N2059" s="34">
        <f t="shared" si="1765"/>
        <v>24450000</v>
      </c>
      <c r="O2059" s="34">
        <f t="shared" si="1765"/>
        <v>24450000</v>
      </c>
      <c r="P2059" s="34">
        <f t="shared" si="1765"/>
        <v>24450000</v>
      </c>
      <c r="Q2059" s="26">
        <f t="shared" si="1765"/>
        <v>122264000</v>
      </c>
      <c r="R2059" s="19">
        <f t="shared" ref="R2059:S2059" si="1766">SUM(R2060:R2062)</f>
        <v>0</v>
      </c>
      <c r="S2059" s="18">
        <f t="shared" si="1766"/>
        <v>0</v>
      </c>
      <c r="T2059" s="51">
        <f>T709</f>
        <v>0</v>
      </c>
      <c r="W2059" s="608">
        <f t="shared" si="1730"/>
        <v>122264000</v>
      </c>
      <c r="X2059" s="608">
        <f t="shared" si="1731"/>
        <v>0</v>
      </c>
      <c r="Z2059" s="572">
        <f t="shared" si="1763"/>
        <v>0</v>
      </c>
      <c r="AA2059" s="1">
        <f t="shared" si="1764"/>
        <v>0</v>
      </c>
    </row>
    <row r="2060" spans="1:27" x14ac:dyDescent="0.2">
      <c r="A2060" s="20" t="str">
        <f>A710</f>
        <v>5.5.1.1 Définition d'un programme d'équipement</v>
      </c>
      <c r="B2060" s="46"/>
      <c r="C2060" s="386">
        <f>C710</f>
        <v>0</v>
      </c>
      <c r="D2060" s="168">
        <f t="shared" si="1720"/>
        <v>14</v>
      </c>
      <c r="E2060" s="168">
        <f t="shared" si="1721"/>
        <v>0</v>
      </c>
      <c r="F2060" s="168">
        <f t="shared" si="1722"/>
        <v>0</v>
      </c>
      <c r="G2060" s="168">
        <f t="shared" si="1723"/>
        <v>0</v>
      </c>
      <c r="H2060" s="168">
        <f t="shared" si="1724"/>
        <v>0</v>
      </c>
      <c r="I2060" s="166">
        <f t="shared" si="1725"/>
        <v>14</v>
      </c>
      <c r="J2060" s="371" t="str">
        <f t="shared" si="1726"/>
        <v>EPS-DIPROMAD</v>
      </c>
      <c r="K2060" s="350" t="str">
        <f t="shared" si="1727"/>
        <v>ND</v>
      </c>
      <c r="L2060" s="167">
        <f t="shared" ref="L2060:Q2060" si="1767">L710</f>
        <v>14000</v>
      </c>
      <c r="M2060" s="168">
        <f t="shared" si="1767"/>
        <v>0</v>
      </c>
      <c r="N2060" s="168">
        <f t="shared" si="1767"/>
        <v>0</v>
      </c>
      <c r="O2060" s="168">
        <f t="shared" si="1767"/>
        <v>0</v>
      </c>
      <c r="P2060" s="168">
        <f t="shared" si="1767"/>
        <v>0</v>
      </c>
      <c r="Q2060" s="165">
        <f t="shared" si="1767"/>
        <v>14000</v>
      </c>
      <c r="R2060" s="198" t="str">
        <f t="shared" ref="R2060:S2060" si="1768">R710</f>
        <v>EPS-DIPROMAD</v>
      </c>
      <c r="S2060" s="115" t="str">
        <f t="shared" si="1768"/>
        <v>ND</v>
      </c>
      <c r="T2060" s="51">
        <f>T710</f>
        <v>0</v>
      </c>
      <c r="W2060" s="608">
        <f t="shared" si="1730"/>
        <v>14000</v>
      </c>
      <c r="X2060" s="608">
        <f t="shared" si="1731"/>
        <v>0</v>
      </c>
      <c r="Z2060" s="572">
        <f t="shared" si="1763"/>
        <v>0</v>
      </c>
      <c r="AA2060" s="1">
        <f t="shared" si="1764"/>
        <v>0</v>
      </c>
    </row>
    <row r="2061" spans="1:27" x14ac:dyDescent="0.2">
      <c r="A2061" s="20" t="str">
        <f>A713</f>
        <v>5.5.1.2 Équipement de laboratoire de physique chimie</v>
      </c>
      <c r="B2061" s="46"/>
      <c r="C2061" s="386">
        <f>C713</f>
        <v>0</v>
      </c>
      <c r="D2061" s="168">
        <f t="shared" si="1720"/>
        <v>16300</v>
      </c>
      <c r="E2061" s="168">
        <f t="shared" si="1721"/>
        <v>16300</v>
      </c>
      <c r="F2061" s="168">
        <f t="shared" si="1722"/>
        <v>16300</v>
      </c>
      <c r="G2061" s="168">
        <f t="shared" si="1723"/>
        <v>16300</v>
      </c>
      <c r="H2061" s="168">
        <f t="shared" si="1724"/>
        <v>16300</v>
      </c>
      <c r="I2061" s="166">
        <f t="shared" si="1725"/>
        <v>81500</v>
      </c>
      <c r="J2061" s="371" t="str">
        <f t="shared" si="1726"/>
        <v>EPS-DIPROMAD</v>
      </c>
      <c r="K2061" s="350" t="str">
        <f t="shared" si="1727"/>
        <v>ND</v>
      </c>
      <c r="L2061" s="37">
        <f t="shared" ref="L2061:T2061" si="1769">L713</f>
        <v>16300000</v>
      </c>
      <c r="M2061" s="36">
        <f t="shared" si="1769"/>
        <v>16300000</v>
      </c>
      <c r="N2061" s="36">
        <f t="shared" si="1769"/>
        <v>16300000</v>
      </c>
      <c r="O2061" s="36">
        <f t="shared" si="1769"/>
        <v>16300000</v>
      </c>
      <c r="P2061" s="36">
        <f t="shared" si="1769"/>
        <v>16300000</v>
      </c>
      <c r="Q2061" s="27">
        <f t="shared" si="1769"/>
        <v>81500000</v>
      </c>
      <c r="R2061" s="198" t="str">
        <f t="shared" ref="R2061:S2061" si="1770">R713</f>
        <v>EPS-DIPROMAD</v>
      </c>
      <c r="S2061" s="115" t="str">
        <f t="shared" si="1770"/>
        <v>ND</v>
      </c>
      <c r="T2061" s="51">
        <f t="shared" si="1769"/>
        <v>0</v>
      </c>
      <c r="W2061" s="608">
        <f t="shared" si="1730"/>
        <v>81500000</v>
      </c>
      <c r="X2061" s="608">
        <f t="shared" si="1731"/>
        <v>0</v>
      </c>
      <c r="Z2061" s="572">
        <f t="shared" si="1763"/>
        <v>0</v>
      </c>
      <c r="AA2061" s="1">
        <f t="shared" si="1764"/>
        <v>0</v>
      </c>
    </row>
    <row r="2062" spans="1:27" x14ac:dyDescent="0.2">
      <c r="A2062" s="20" t="str">
        <f>A715</f>
        <v>5.5.1.3 Équipement de laboratoire de biologie</v>
      </c>
      <c r="B2062" s="46"/>
      <c r="C2062" s="386">
        <f>C715</f>
        <v>0</v>
      </c>
      <c r="D2062" s="168">
        <f t="shared" si="1720"/>
        <v>8150</v>
      </c>
      <c r="E2062" s="168">
        <f t="shared" si="1721"/>
        <v>8150</v>
      </c>
      <c r="F2062" s="168">
        <f t="shared" si="1722"/>
        <v>8150</v>
      </c>
      <c r="G2062" s="168">
        <f t="shared" si="1723"/>
        <v>8150</v>
      </c>
      <c r="H2062" s="168">
        <f t="shared" si="1724"/>
        <v>8150</v>
      </c>
      <c r="I2062" s="166">
        <f t="shared" si="1725"/>
        <v>40750</v>
      </c>
      <c r="J2062" s="371" t="str">
        <f t="shared" si="1726"/>
        <v>EPS-DIPROMAD</v>
      </c>
      <c r="K2062" s="350" t="str">
        <f t="shared" si="1727"/>
        <v>ND</v>
      </c>
      <c r="L2062" s="37">
        <f t="shared" ref="L2062:T2062" si="1771">L715</f>
        <v>8150000</v>
      </c>
      <c r="M2062" s="36">
        <f t="shared" si="1771"/>
        <v>8150000</v>
      </c>
      <c r="N2062" s="36">
        <f t="shared" si="1771"/>
        <v>8150000</v>
      </c>
      <c r="O2062" s="36">
        <f t="shared" si="1771"/>
        <v>8150000</v>
      </c>
      <c r="P2062" s="36">
        <f t="shared" si="1771"/>
        <v>8150000</v>
      </c>
      <c r="Q2062" s="27">
        <f t="shared" si="1771"/>
        <v>40750000</v>
      </c>
      <c r="R2062" s="198" t="str">
        <f t="shared" ref="R2062:S2062" si="1772">R715</f>
        <v>EPS-DIPROMAD</v>
      </c>
      <c r="S2062" s="115" t="str">
        <f t="shared" si="1772"/>
        <v>ND</v>
      </c>
      <c r="T2062" s="51">
        <f t="shared" si="1771"/>
        <v>0</v>
      </c>
      <c r="W2062" s="608">
        <f t="shared" si="1730"/>
        <v>40750000</v>
      </c>
      <c r="X2062" s="608">
        <f t="shared" si="1731"/>
        <v>0</v>
      </c>
      <c r="Z2062" s="572">
        <f t="shared" si="1763"/>
        <v>0</v>
      </c>
      <c r="AA2062" s="1">
        <f t="shared" si="1764"/>
        <v>0</v>
      </c>
    </row>
    <row r="2063" spans="1:27" x14ac:dyDescent="0.2">
      <c r="A2063" s="17" t="str">
        <f>A717</f>
        <v>5.5.2 Équipement des bibliothèques</v>
      </c>
      <c r="B2063" s="45"/>
      <c r="C2063" s="386" t="str">
        <f>C717</f>
        <v>En 2025 tous les établissements secondaires disposent d'une bibliothèque équipée</v>
      </c>
      <c r="D2063" s="157">
        <f t="shared" si="1720"/>
        <v>1054</v>
      </c>
      <c r="E2063" s="157">
        <f t="shared" si="1721"/>
        <v>978</v>
      </c>
      <c r="F2063" s="157">
        <f t="shared" si="1722"/>
        <v>978</v>
      </c>
      <c r="G2063" s="157">
        <f t="shared" si="1723"/>
        <v>978</v>
      </c>
      <c r="H2063" s="157">
        <f t="shared" si="1724"/>
        <v>978</v>
      </c>
      <c r="I2063" s="160">
        <f t="shared" si="1725"/>
        <v>4966</v>
      </c>
      <c r="J2063" s="374">
        <f t="shared" si="1726"/>
        <v>0</v>
      </c>
      <c r="K2063" s="348">
        <f t="shared" si="1727"/>
        <v>0</v>
      </c>
      <c r="L2063" s="35">
        <f t="shared" ref="L2063:Q2063" si="1773">SUM(L2064:L2066)</f>
        <v>1054000</v>
      </c>
      <c r="M2063" s="34">
        <f t="shared" si="1773"/>
        <v>978000</v>
      </c>
      <c r="N2063" s="34">
        <f t="shared" si="1773"/>
        <v>978000</v>
      </c>
      <c r="O2063" s="34">
        <f t="shared" si="1773"/>
        <v>978000</v>
      </c>
      <c r="P2063" s="34">
        <f t="shared" si="1773"/>
        <v>978000</v>
      </c>
      <c r="Q2063" s="26">
        <f t="shared" si="1773"/>
        <v>4966000</v>
      </c>
      <c r="R2063" s="19">
        <f t="shared" ref="R2063:S2063" si="1774">SUM(R2064:R2066)</f>
        <v>0</v>
      </c>
      <c r="S2063" s="18">
        <f t="shared" si="1774"/>
        <v>0</v>
      </c>
      <c r="T2063" s="51">
        <f>T717</f>
        <v>0</v>
      </c>
      <c r="W2063" s="608">
        <f t="shared" si="1730"/>
        <v>4966000</v>
      </c>
      <c r="X2063" s="608">
        <f t="shared" si="1731"/>
        <v>0</v>
      </c>
      <c r="Z2063" s="572">
        <f t="shared" si="1763"/>
        <v>0</v>
      </c>
      <c r="AA2063" s="1">
        <f t="shared" si="1764"/>
        <v>0</v>
      </c>
    </row>
    <row r="2064" spans="1:27" x14ac:dyDescent="0.2">
      <c r="A2064" s="20" t="str">
        <f>A718</f>
        <v>5.5.3.1 Analyse des besoins en bibliothèques (audit de l'existant)</v>
      </c>
      <c r="B2064" s="46"/>
      <c r="C2064" s="386">
        <f>C718</f>
        <v>0</v>
      </c>
      <c r="D2064" s="168">
        <f t="shared" si="1720"/>
        <v>7.5</v>
      </c>
      <c r="E2064" s="168">
        <f t="shared" si="1721"/>
        <v>0</v>
      </c>
      <c r="F2064" s="168">
        <f t="shared" si="1722"/>
        <v>0</v>
      </c>
      <c r="G2064" s="168">
        <f t="shared" si="1723"/>
        <v>0</v>
      </c>
      <c r="H2064" s="168">
        <f t="shared" si="1724"/>
        <v>0</v>
      </c>
      <c r="I2064" s="166">
        <f t="shared" si="1725"/>
        <v>7.5</v>
      </c>
      <c r="J2064" s="371" t="str">
        <f t="shared" si="1726"/>
        <v>EPS-DIPROMAD</v>
      </c>
      <c r="K2064" s="350" t="str">
        <f t="shared" si="1727"/>
        <v>ND</v>
      </c>
      <c r="L2064" s="37">
        <f t="shared" ref="L2064:Q2064" si="1775">L718</f>
        <v>7500</v>
      </c>
      <c r="M2064" s="36">
        <f t="shared" si="1775"/>
        <v>0</v>
      </c>
      <c r="N2064" s="36">
        <f t="shared" si="1775"/>
        <v>0</v>
      </c>
      <c r="O2064" s="36">
        <f t="shared" si="1775"/>
        <v>0</v>
      </c>
      <c r="P2064" s="36">
        <f t="shared" si="1775"/>
        <v>0</v>
      </c>
      <c r="Q2064" s="27">
        <f t="shared" si="1775"/>
        <v>7500</v>
      </c>
      <c r="R2064" s="198" t="str">
        <f t="shared" ref="R2064:S2064" si="1776">R718</f>
        <v>EPS-DIPROMAD</v>
      </c>
      <c r="S2064" s="115" t="str">
        <f t="shared" si="1776"/>
        <v>ND</v>
      </c>
      <c r="T2064" s="51">
        <f>T718</f>
        <v>0</v>
      </c>
      <c r="W2064" s="608">
        <f t="shared" si="1730"/>
        <v>7500</v>
      </c>
      <c r="X2064" s="608">
        <f t="shared" si="1731"/>
        <v>0</v>
      </c>
      <c r="Z2064" s="572">
        <f t="shared" si="1763"/>
        <v>0</v>
      </c>
      <c r="AA2064" s="1">
        <f t="shared" si="1764"/>
        <v>0</v>
      </c>
    </row>
    <row r="2065" spans="1:27" x14ac:dyDescent="0.2">
      <c r="A2065" s="20" t="str">
        <f>A720</f>
        <v>5.5.3.2 Définition d'une bibliothèque standard et élaboration d'un guide de gestion</v>
      </c>
      <c r="B2065" s="46"/>
      <c r="C2065" s="386">
        <f>C720</f>
        <v>0</v>
      </c>
      <c r="D2065" s="168">
        <f t="shared" si="1720"/>
        <v>68.5</v>
      </c>
      <c r="E2065" s="168">
        <f t="shared" si="1721"/>
        <v>0</v>
      </c>
      <c r="F2065" s="168">
        <f t="shared" si="1722"/>
        <v>0</v>
      </c>
      <c r="G2065" s="168">
        <f t="shared" si="1723"/>
        <v>0</v>
      </c>
      <c r="H2065" s="168">
        <f t="shared" si="1724"/>
        <v>0</v>
      </c>
      <c r="I2065" s="166">
        <f t="shared" si="1725"/>
        <v>68.5</v>
      </c>
      <c r="J2065" s="371" t="str">
        <f t="shared" si="1726"/>
        <v>EPS-DIPROMAD</v>
      </c>
      <c r="K2065" s="350" t="str">
        <f t="shared" si="1727"/>
        <v>ND</v>
      </c>
      <c r="L2065" s="37">
        <f t="shared" ref="L2065:T2065" si="1777">L720</f>
        <v>68500</v>
      </c>
      <c r="M2065" s="36">
        <f t="shared" si="1777"/>
        <v>0</v>
      </c>
      <c r="N2065" s="36">
        <f t="shared" si="1777"/>
        <v>0</v>
      </c>
      <c r="O2065" s="36">
        <f t="shared" si="1777"/>
        <v>0</v>
      </c>
      <c r="P2065" s="36">
        <f t="shared" si="1777"/>
        <v>0</v>
      </c>
      <c r="Q2065" s="27">
        <f t="shared" si="1777"/>
        <v>68500</v>
      </c>
      <c r="R2065" s="198" t="str">
        <f t="shared" ref="R2065:S2065" si="1778">R720</f>
        <v>EPS-DIPROMAD</v>
      </c>
      <c r="S2065" s="115" t="str">
        <f t="shared" si="1778"/>
        <v>ND</v>
      </c>
      <c r="T2065" s="51">
        <f t="shared" si="1777"/>
        <v>0</v>
      </c>
      <c r="W2065" s="608">
        <f t="shared" si="1730"/>
        <v>68500</v>
      </c>
      <c r="X2065" s="608">
        <f t="shared" si="1731"/>
        <v>0</v>
      </c>
      <c r="Z2065" s="572">
        <f t="shared" si="1763"/>
        <v>0</v>
      </c>
      <c r="AA2065" s="1">
        <f t="shared" si="1764"/>
        <v>0</v>
      </c>
    </row>
    <row r="2066" spans="1:27" x14ac:dyDescent="0.2">
      <c r="A2066" s="20" t="str">
        <f>A724</f>
        <v>5.5.3.5 Acquisition et distribution de livres et de matériel</v>
      </c>
      <c r="B2066" s="46"/>
      <c r="C2066" s="386">
        <f>C724</f>
        <v>0</v>
      </c>
      <c r="D2066" s="168">
        <f t="shared" si="1720"/>
        <v>978</v>
      </c>
      <c r="E2066" s="168">
        <f t="shared" si="1721"/>
        <v>978</v>
      </c>
      <c r="F2066" s="168">
        <f t="shared" si="1722"/>
        <v>978</v>
      </c>
      <c r="G2066" s="168">
        <f t="shared" si="1723"/>
        <v>978</v>
      </c>
      <c r="H2066" s="168">
        <f t="shared" si="1724"/>
        <v>978</v>
      </c>
      <c r="I2066" s="166">
        <f t="shared" si="1725"/>
        <v>4890</v>
      </c>
      <c r="J2066" s="371" t="str">
        <f t="shared" si="1726"/>
        <v>EPS-DIPROMAD</v>
      </c>
      <c r="K2066" s="350" t="str">
        <f t="shared" si="1727"/>
        <v>ND</v>
      </c>
      <c r="L2066" s="167">
        <f t="shared" ref="L2066:T2066" si="1779">L724</f>
        <v>978000</v>
      </c>
      <c r="M2066" s="168">
        <f t="shared" si="1779"/>
        <v>978000</v>
      </c>
      <c r="N2066" s="168">
        <f t="shared" si="1779"/>
        <v>978000</v>
      </c>
      <c r="O2066" s="168">
        <f t="shared" si="1779"/>
        <v>978000</v>
      </c>
      <c r="P2066" s="168">
        <f t="shared" si="1779"/>
        <v>978000</v>
      </c>
      <c r="Q2066" s="165">
        <f t="shared" si="1779"/>
        <v>4890000</v>
      </c>
      <c r="R2066" s="198" t="str">
        <f t="shared" ref="R2066:S2066" si="1780">R724</f>
        <v>EPS-DIPROMAD</v>
      </c>
      <c r="S2066" s="115" t="str">
        <f t="shared" si="1780"/>
        <v>ND</v>
      </c>
      <c r="T2066" s="51">
        <f t="shared" si="1779"/>
        <v>0</v>
      </c>
      <c r="W2066" s="608">
        <f t="shared" si="1730"/>
        <v>4890000</v>
      </c>
      <c r="X2066" s="608">
        <f t="shared" si="1731"/>
        <v>0</v>
      </c>
      <c r="Z2066" s="572">
        <f t="shared" si="1763"/>
        <v>0</v>
      </c>
      <c r="AA2066" s="1">
        <f t="shared" si="1764"/>
        <v>0</v>
      </c>
    </row>
    <row r="2067" spans="1:27" x14ac:dyDescent="0.2">
      <c r="A2067" s="14" t="str">
        <f>A727</f>
        <v xml:space="preserve">5.6 Environnement éducatif : apporter les équipements mobiliers </v>
      </c>
      <c r="B2067" s="44"/>
      <c r="C2067" s="385">
        <f>C727</f>
        <v>0</v>
      </c>
      <c r="D2067" s="217">
        <f t="shared" si="1720"/>
        <v>8163</v>
      </c>
      <c r="E2067" s="217">
        <f t="shared" si="1721"/>
        <v>8163</v>
      </c>
      <c r="F2067" s="217">
        <f t="shared" si="1722"/>
        <v>8163</v>
      </c>
      <c r="G2067" s="217">
        <f t="shared" si="1723"/>
        <v>8163</v>
      </c>
      <c r="H2067" s="217">
        <f t="shared" si="1724"/>
        <v>8163</v>
      </c>
      <c r="I2067" s="220">
        <f t="shared" si="1725"/>
        <v>40815</v>
      </c>
      <c r="J2067" s="373">
        <f t="shared" si="1726"/>
        <v>0</v>
      </c>
      <c r="K2067" s="346">
        <f t="shared" si="1727"/>
        <v>0</v>
      </c>
      <c r="L2067" s="33">
        <f t="shared" ref="L2067:Q2067" si="1781">L2068+L2070</f>
        <v>8163000</v>
      </c>
      <c r="M2067" s="32">
        <f t="shared" si="1781"/>
        <v>8163000</v>
      </c>
      <c r="N2067" s="32">
        <f t="shared" si="1781"/>
        <v>8163000</v>
      </c>
      <c r="O2067" s="32">
        <f t="shared" si="1781"/>
        <v>8163000</v>
      </c>
      <c r="P2067" s="32">
        <f t="shared" si="1781"/>
        <v>8163000</v>
      </c>
      <c r="Q2067" s="25">
        <f t="shared" si="1781"/>
        <v>40815000</v>
      </c>
      <c r="R2067" s="16">
        <f t="shared" ref="R2067:S2067" si="1782">R2068+R2070</f>
        <v>0</v>
      </c>
      <c r="S2067" s="15">
        <f t="shared" si="1782"/>
        <v>0</v>
      </c>
      <c r="T2067" s="112">
        <f>T727</f>
        <v>2</v>
      </c>
      <c r="W2067" s="608">
        <f t="shared" si="1730"/>
        <v>40815000</v>
      </c>
      <c r="X2067" s="608">
        <f t="shared" si="1731"/>
        <v>0</v>
      </c>
      <c r="Z2067" s="572">
        <f t="shared" si="1763"/>
        <v>0</v>
      </c>
      <c r="AA2067" s="1">
        <f t="shared" si="1764"/>
        <v>0</v>
      </c>
    </row>
    <row r="2068" spans="1:27" x14ac:dyDescent="0.2">
      <c r="A2068" s="17" t="str">
        <f>A728</f>
        <v>5.6.1 Équipement mobiliers</v>
      </c>
      <c r="B2068" s="45"/>
      <c r="C2068" s="386" t="str">
        <f>C728</f>
        <v xml:space="preserve">80 000 table-bancs 2 places sont achetés chaque année </v>
      </c>
      <c r="D2068" s="157">
        <f t="shared" si="1720"/>
        <v>8000</v>
      </c>
      <c r="E2068" s="157">
        <f t="shared" si="1721"/>
        <v>8000</v>
      </c>
      <c r="F2068" s="157">
        <f t="shared" si="1722"/>
        <v>8000</v>
      </c>
      <c r="G2068" s="157">
        <f t="shared" si="1723"/>
        <v>8000</v>
      </c>
      <c r="H2068" s="157">
        <f t="shared" si="1724"/>
        <v>8000</v>
      </c>
      <c r="I2068" s="160">
        <f t="shared" si="1725"/>
        <v>40000</v>
      </c>
      <c r="J2068" s="374">
        <f t="shared" si="1726"/>
        <v>0</v>
      </c>
      <c r="K2068" s="348">
        <f t="shared" si="1727"/>
        <v>0</v>
      </c>
      <c r="L2068" s="35">
        <f t="shared" ref="L2068:S2068" si="1783">SUM(L2069:L2069)</f>
        <v>8000000</v>
      </c>
      <c r="M2068" s="34">
        <f t="shared" si="1783"/>
        <v>8000000</v>
      </c>
      <c r="N2068" s="34">
        <f t="shared" si="1783"/>
        <v>8000000</v>
      </c>
      <c r="O2068" s="34">
        <f t="shared" si="1783"/>
        <v>8000000</v>
      </c>
      <c r="P2068" s="34">
        <f t="shared" si="1783"/>
        <v>8000000</v>
      </c>
      <c r="Q2068" s="26">
        <f t="shared" si="1783"/>
        <v>40000000</v>
      </c>
      <c r="R2068" s="19">
        <f t="shared" si="1783"/>
        <v>0</v>
      </c>
      <c r="S2068" s="18">
        <f t="shared" si="1783"/>
        <v>0</v>
      </c>
      <c r="T2068" s="51">
        <f>T728</f>
        <v>0</v>
      </c>
      <c r="W2068" s="608">
        <f t="shared" si="1730"/>
        <v>40000000</v>
      </c>
      <c r="X2068" s="608">
        <f t="shared" si="1731"/>
        <v>0</v>
      </c>
      <c r="Z2068" s="572">
        <f t="shared" si="1763"/>
        <v>0</v>
      </c>
      <c r="AA2068" s="1">
        <f t="shared" si="1764"/>
        <v>0</v>
      </c>
    </row>
    <row r="2069" spans="1:27" x14ac:dyDescent="0.2">
      <c r="A2069" s="20" t="str">
        <f>A729</f>
        <v>5.6.1.1 Acquisition et distribution de table banc</v>
      </c>
      <c r="B2069" s="46"/>
      <c r="C2069" s="386">
        <f>C729</f>
        <v>0</v>
      </c>
      <c r="D2069" s="168">
        <f t="shared" si="1720"/>
        <v>8000</v>
      </c>
      <c r="E2069" s="168">
        <f t="shared" si="1721"/>
        <v>8000</v>
      </c>
      <c r="F2069" s="168">
        <f t="shared" si="1722"/>
        <v>8000</v>
      </c>
      <c r="G2069" s="168">
        <f t="shared" si="1723"/>
        <v>8000</v>
      </c>
      <c r="H2069" s="168">
        <f t="shared" si="1724"/>
        <v>8000</v>
      </c>
      <c r="I2069" s="166">
        <f t="shared" si="1725"/>
        <v>40000</v>
      </c>
      <c r="J2069" s="371" t="str">
        <f t="shared" si="1726"/>
        <v>EPS-DIS</v>
      </c>
      <c r="K2069" s="350" t="str">
        <f t="shared" si="1727"/>
        <v>BM</v>
      </c>
      <c r="L2069" s="37">
        <f t="shared" ref="L2069:Q2069" si="1784">L729</f>
        <v>8000000</v>
      </c>
      <c r="M2069" s="36">
        <f t="shared" si="1784"/>
        <v>8000000</v>
      </c>
      <c r="N2069" s="36">
        <f t="shared" si="1784"/>
        <v>8000000</v>
      </c>
      <c r="O2069" s="36">
        <f t="shared" si="1784"/>
        <v>8000000</v>
      </c>
      <c r="P2069" s="36">
        <f t="shared" si="1784"/>
        <v>8000000</v>
      </c>
      <c r="Q2069" s="27">
        <f t="shared" si="1784"/>
        <v>40000000</v>
      </c>
      <c r="R2069" s="198" t="str">
        <f t="shared" ref="R2069:S2069" si="1785">R729</f>
        <v>EPS-DIS</v>
      </c>
      <c r="S2069" s="115" t="str">
        <f t="shared" si="1785"/>
        <v>BM</v>
      </c>
      <c r="T2069" s="51">
        <f>T729</f>
        <v>0</v>
      </c>
      <c r="W2069" s="608">
        <f t="shared" si="1730"/>
        <v>40000000</v>
      </c>
      <c r="X2069" s="608">
        <f t="shared" si="1731"/>
        <v>0</v>
      </c>
      <c r="Z2069" s="572">
        <f t="shared" si="1763"/>
        <v>0</v>
      </c>
      <c r="AA2069" s="1">
        <f t="shared" si="1764"/>
        <v>0</v>
      </c>
    </row>
    <row r="2070" spans="1:27" x14ac:dyDescent="0.2">
      <c r="A2070" s="17" t="str">
        <f>A731</f>
        <v>5.6.2 Équipement pour activités physiques et sportives</v>
      </c>
      <c r="B2070" s="45"/>
      <c r="C2070" s="386" t="str">
        <f>C731</f>
        <v>En 2025, tous les établissements auront reçu un lot de matériel</v>
      </c>
      <c r="D2070" s="157">
        <f t="shared" si="1720"/>
        <v>163</v>
      </c>
      <c r="E2070" s="157">
        <f t="shared" si="1721"/>
        <v>163</v>
      </c>
      <c r="F2070" s="157">
        <f t="shared" si="1722"/>
        <v>163</v>
      </c>
      <c r="G2070" s="157">
        <f t="shared" si="1723"/>
        <v>163</v>
      </c>
      <c r="H2070" s="157">
        <f t="shared" si="1724"/>
        <v>163</v>
      </c>
      <c r="I2070" s="160">
        <f t="shared" si="1725"/>
        <v>815</v>
      </c>
      <c r="J2070" s="374">
        <f t="shared" si="1726"/>
        <v>0</v>
      </c>
      <c r="K2070" s="348">
        <f t="shared" si="1727"/>
        <v>0</v>
      </c>
      <c r="L2070" s="35">
        <f t="shared" ref="L2070:S2070" si="1786">SUM(L2071:L2071)</f>
        <v>163000</v>
      </c>
      <c r="M2070" s="34">
        <f t="shared" si="1786"/>
        <v>163000</v>
      </c>
      <c r="N2070" s="34">
        <f t="shared" si="1786"/>
        <v>163000</v>
      </c>
      <c r="O2070" s="34">
        <f t="shared" si="1786"/>
        <v>163000</v>
      </c>
      <c r="P2070" s="34">
        <f t="shared" si="1786"/>
        <v>163000</v>
      </c>
      <c r="Q2070" s="26">
        <f t="shared" si="1786"/>
        <v>815000</v>
      </c>
      <c r="R2070" s="19">
        <f t="shared" si="1786"/>
        <v>0</v>
      </c>
      <c r="S2070" s="18">
        <f t="shared" si="1786"/>
        <v>0</v>
      </c>
      <c r="T2070" s="51">
        <f>T731</f>
        <v>0</v>
      </c>
      <c r="W2070" s="608">
        <f t="shared" si="1730"/>
        <v>815000</v>
      </c>
      <c r="X2070" s="608">
        <f t="shared" si="1731"/>
        <v>0</v>
      </c>
      <c r="Z2070" s="572">
        <f t="shared" si="1763"/>
        <v>0</v>
      </c>
      <c r="AA2070" s="1">
        <f t="shared" si="1764"/>
        <v>0</v>
      </c>
    </row>
    <row r="2071" spans="1:27" x14ac:dyDescent="0.2">
      <c r="A2071" s="20" t="str">
        <f>A732</f>
        <v>5.6.2.1 Acquisition et distribution d'équipement pour activités physiques et sportives</v>
      </c>
      <c r="B2071" s="46"/>
      <c r="C2071" s="386">
        <f>C732</f>
        <v>0</v>
      </c>
      <c r="D2071" s="168">
        <f t="shared" si="1720"/>
        <v>163</v>
      </c>
      <c r="E2071" s="168">
        <f t="shared" si="1721"/>
        <v>163</v>
      </c>
      <c r="F2071" s="168">
        <f t="shared" si="1722"/>
        <v>163</v>
      </c>
      <c r="G2071" s="168">
        <f t="shared" si="1723"/>
        <v>163</v>
      </c>
      <c r="H2071" s="168">
        <f t="shared" si="1724"/>
        <v>163</v>
      </c>
      <c r="I2071" s="166">
        <f t="shared" si="1725"/>
        <v>815</v>
      </c>
      <c r="J2071" s="371" t="str">
        <f t="shared" si="1726"/>
        <v>EPS/Dir. Sport et loisirs</v>
      </c>
      <c r="K2071" s="350" t="str">
        <f t="shared" si="1727"/>
        <v>ND</v>
      </c>
      <c r="L2071" s="167">
        <f t="shared" ref="L2071:Q2071" si="1787">L732</f>
        <v>163000</v>
      </c>
      <c r="M2071" s="168">
        <f t="shared" si="1787"/>
        <v>163000</v>
      </c>
      <c r="N2071" s="168">
        <f t="shared" si="1787"/>
        <v>163000</v>
      </c>
      <c r="O2071" s="168">
        <f t="shared" si="1787"/>
        <v>163000</v>
      </c>
      <c r="P2071" s="168">
        <f t="shared" si="1787"/>
        <v>163000</v>
      </c>
      <c r="Q2071" s="165">
        <f t="shared" si="1787"/>
        <v>815000</v>
      </c>
      <c r="R2071" s="198" t="str">
        <f t="shared" ref="R2071:S2071" si="1788">R732</f>
        <v>EPS/Dir. Sport et loisirs</v>
      </c>
      <c r="S2071" s="115" t="str">
        <f t="shared" si="1788"/>
        <v>ND</v>
      </c>
      <c r="T2071" s="51">
        <f>T732</f>
        <v>0</v>
      </c>
      <c r="W2071" s="608">
        <f t="shared" si="1730"/>
        <v>815000</v>
      </c>
      <c r="X2071" s="608">
        <f t="shared" si="1731"/>
        <v>0</v>
      </c>
      <c r="Z2071" s="572">
        <f t="shared" si="1763"/>
        <v>0</v>
      </c>
      <c r="AA2071" s="1">
        <f t="shared" si="1764"/>
        <v>0</v>
      </c>
    </row>
    <row r="2072" spans="1:27" x14ac:dyDescent="0.2">
      <c r="A2072" s="14" t="str">
        <f>A734</f>
        <v>5.7 Formation continue des enseignants : former les enseignants</v>
      </c>
      <c r="B2072" s="44"/>
      <c r="C2072" s="385">
        <f>C734</f>
        <v>0</v>
      </c>
      <c r="D2072" s="217">
        <f t="shared" si="1720"/>
        <v>5031.5</v>
      </c>
      <c r="E2072" s="217">
        <f t="shared" si="1721"/>
        <v>5009</v>
      </c>
      <c r="F2072" s="217">
        <f t="shared" si="1722"/>
        <v>5002.5</v>
      </c>
      <c r="G2072" s="217">
        <f t="shared" si="1723"/>
        <v>4980</v>
      </c>
      <c r="H2072" s="217">
        <f t="shared" si="1724"/>
        <v>5002.5</v>
      </c>
      <c r="I2072" s="220">
        <f t="shared" si="1725"/>
        <v>25025.5</v>
      </c>
      <c r="J2072" s="373">
        <f t="shared" si="1726"/>
        <v>0</v>
      </c>
      <c r="K2072" s="346">
        <f t="shared" si="1727"/>
        <v>0</v>
      </c>
      <c r="L2072" s="33">
        <f t="shared" ref="L2072:S2072" si="1789">L2073</f>
        <v>5031500</v>
      </c>
      <c r="M2072" s="32">
        <f t="shared" si="1789"/>
        <v>5009000</v>
      </c>
      <c r="N2072" s="32">
        <f t="shared" si="1789"/>
        <v>5002500</v>
      </c>
      <c r="O2072" s="32">
        <f t="shared" si="1789"/>
        <v>4980000</v>
      </c>
      <c r="P2072" s="32">
        <f t="shared" si="1789"/>
        <v>5002500</v>
      </c>
      <c r="Q2072" s="25">
        <f t="shared" si="1789"/>
        <v>25025500</v>
      </c>
      <c r="R2072" s="16">
        <f t="shared" si="1789"/>
        <v>0</v>
      </c>
      <c r="S2072" s="15">
        <f t="shared" si="1789"/>
        <v>0</v>
      </c>
      <c r="T2072" s="112">
        <f>T734</f>
        <v>2</v>
      </c>
      <c r="W2072" s="608">
        <f t="shared" si="1730"/>
        <v>25025500</v>
      </c>
      <c r="X2072" s="608">
        <f t="shared" si="1731"/>
        <v>0</v>
      </c>
      <c r="Y2072" s="572" t="s">
        <v>1512</v>
      </c>
      <c r="Z2072" s="572">
        <f t="shared" si="1763"/>
        <v>25025.5</v>
      </c>
      <c r="AA2072" s="1">
        <f t="shared" si="1764"/>
        <v>0</v>
      </c>
    </row>
    <row r="2073" spans="1:27" x14ac:dyDescent="0.2">
      <c r="A2073" s="17" t="str">
        <f>A735</f>
        <v>5.7.1 Développer et assurer la formation continue des enseignants</v>
      </c>
      <c r="B2073" s="45"/>
      <c r="C2073" s="386" t="str">
        <f>C735</f>
        <v>Tous les enseignants reçoivent une semaine de formation tous les deux ans</v>
      </c>
      <c r="D2073" s="157">
        <f t="shared" si="1720"/>
        <v>5031.5</v>
      </c>
      <c r="E2073" s="157">
        <f t="shared" si="1721"/>
        <v>5009</v>
      </c>
      <c r="F2073" s="157">
        <f t="shared" si="1722"/>
        <v>5002.5</v>
      </c>
      <c r="G2073" s="157">
        <f t="shared" si="1723"/>
        <v>4980</v>
      </c>
      <c r="H2073" s="157">
        <f t="shared" si="1724"/>
        <v>5002.5</v>
      </c>
      <c r="I2073" s="160">
        <f t="shared" si="1725"/>
        <v>25025.5</v>
      </c>
      <c r="J2073" s="374">
        <f t="shared" si="1726"/>
        <v>0</v>
      </c>
      <c r="K2073" s="348">
        <f t="shared" si="1727"/>
        <v>0</v>
      </c>
      <c r="L2073" s="35">
        <f t="shared" ref="L2073:Q2073" si="1790">SUM(L2074:L2075)</f>
        <v>5031500</v>
      </c>
      <c r="M2073" s="34">
        <f t="shared" si="1790"/>
        <v>5009000</v>
      </c>
      <c r="N2073" s="34">
        <f t="shared" si="1790"/>
        <v>5002500</v>
      </c>
      <c r="O2073" s="34">
        <f t="shared" si="1790"/>
        <v>4980000</v>
      </c>
      <c r="P2073" s="34">
        <f t="shared" si="1790"/>
        <v>5002500</v>
      </c>
      <c r="Q2073" s="26">
        <f t="shared" si="1790"/>
        <v>25025500</v>
      </c>
      <c r="R2073" s="19">
        <f t="shared" ref="R2073:S2073" si="1791">SUM(R2074:R2075)</f>
        <v>0</v>
      </c>
      <c r="S2073" s="18">
        <f t="shared" si="1791"/>
        <v>0</v>
      </c>
      <c r="T2073" s="51">
        <f>T735</f>
        <v>0</v>
      </c>
      <c r="W2073" s="608">
        <f t="shared" si="1730"/>
        <v>25025500</v>
      </c>
      <c r="X2073" s="608">
        <f t="shared" si="1731"/>
        <v>0</v>
      </c>
      <c r="Y2073" s="572" t="s">
        <v>1512</v>
      </c>
      <c r="Z2073" s="572">
        <f t="shared" si="1763"/>
        <v>25025.5</v>
      </c>
      <c r="AA2073" s="1">
        <f t="shared" si="1764"/>
        <v>0</v>
      </c>
    </row>
    <row r="2074" spans="1:27" x14ac:dyDescent="0.2">
      <c r="A2074" s="20" t="str">
        <f>A736</f>
        <v>5.7.1.1 Développer et actualiser les modules de formation</v>
      </c>
      <c r="B2074" s="46"/>
      <c r="C2074" s="386">
        <f>C736</f>
        <v>0</v>
      </c>
      <c r="D2074" s="168">
        <f t="shared" si="1720"/>
        <v>29</v>
      </c>
      <c r="E2074" s="168">
        <f t="shared" si="1721"/>
        <v>29</v>
      </c>
      <c r="F2074" s="168">
        <f t="shared" si="1722"/>
        <v>0</v>
      </c>
      <c r="G2074" s="168">
        <f t="shared" si="1723"/>
        <v>0</v>
      </c>
      <c r="H2074" s="168">
        <f t="shared" si="1724"/>
        <v>0</v>
      </c>
      <c r="I2074" s="166">
        <f t="shared" si="1725"/>
        <v>58</v>
      </c>
      <c r="J2074" s="371" t="str">
        <f t="shared" si="1726"/>
        <v>EPS-DIPROMAD</v>
      </c>
      <c r="K2074" s="350" t="str">
        <f t="shared" si="1727"/>
        <v>BM</v>
      </c>
      <c r="L2074" s="167">
        <f t="shared" ref="L2074:Q2074" si="1792">L736</f>
        <v>29000</v>
      </c>
      <c r="M2074" s="168">
        <f t="shared" si="1792"/>
        <v>29000</v>
      </c>
      <c r="N2074" s="168">
        <f t="shared" si="1792"/>
        <v>0</v>
      </c>
      <c r="O2074" s="168">
        <f t="shared" si="1792"/>
        <v>0</v>
      </c>
      <c r="P2074" s="168">
        <f t="shared" si="1792"/>
        <v>0</v>
      </c>
      <c r="Q2074" s="165">
        <f t="shared" si="1792"/>
        <v>58000</v>
      </c>
      <c r="R2074" s="198" t="str">
        <f t="shared" ref="R2074:S2074" si="1793">R736</f>
        <v>EPS-DIPROMAD</v>
      </c>
      <c r="S2074" s="115" t="str">
        <f t="shared" si="1793"/>
        <v>BM</v>
      </c>
      <c r="T2074" s="51">
        <f>T736</f>
        <v>0</v>
      </c>
      <c r="W2074" s="608">
        <f t="shared" si="1730"/>
        <v>58000</v>
      </c>
      <c r="X2074" s="608">
        <f t="shared" si="1731"/>
        <v>0</v>
      </c>
      <c r="Y2074" s="572" t="s">
        <v>1512</v>
      </c>
      <c r="Z2074" s="572">
        <f t="shared" si="1763"/>
        <v>58</v>
      </c>
      <c r="AA2074" s="1">
        <f t="shared" si="1764"/>
        <v>0</v>
      </c>
    </row>
    <row r="2075" spans="1:27" x14ac:dyDescent="0.2">
      <c r="A2075" s="20" t="str">
        <f>A739</f>
        <v>5.7.1.2 Mettre en place le plan de formation</v>
      </c>
      <c r="B2075" s="46"/>
      <c r="C2075" s="386">
        <f>C739</f>
        <v>0</v>
      </c>
      <c r="D2075" s="168">
        <f t="shared" si="1720"/>
        <v>5002.5</v>
      </c>
      <c r="E2075" s="168">
        <f t="shared" si="1721"/>
        <v>4980</v>
      </c>
      <c r="F2075" s="168">
        <f t="shared" si="1722"/>
        <v>5002.5</v>
      </c>
      <c r="G2075" s="168">
        <f t="shared" si="1723"/>
        <v>4980</v>
      </c>
      <c r="H2075" s="168">
        <f t="shared" si="1724"/>
        <v>5002.5</v>
      </c>
      <c r="I2075" s="166">
        <f t="shared" si="1725"/>
        <v>24967.5</v>
      </c>
      <c r="J2075" s="371" t="str">
        <f t="shared" si="1726"/>
        <v>EPS-DIPROMAD</v>
      </c>
      <c r="K2075" s="350" t="str">
        <f t="shared" si="1727"/>
        <v>BM</v>
      </c>
      <c r="L2075" s="167">
        <f t="shared" ref="L2075:T2075" si="1794">L739</f>
        <v>5002500</v>
      </c>
      <c r="M2075" s="168">
        <f t="shared" si="1794"/>
        <v>4980000</v>
      </c>
      <c r="N2075" s="168">
        <f t="shared" si="1794"/>
        <v>5002500</v>
      </c>
      <c r="O2075" s="168">
        <f t="shared" si="1794"/>
        <v>4980000</v>
      </c>
      <c r="P2075" s="168">
        <f t="shared" si="1794"/>
        <v>5002500</v>
      </c>
      <c r="Q2075" s="165">
        <f t="shared" si="1794"/>
        <v>24967500</v>
      </c>
      <c r="R2075" s="198" t="str">
        <f t="shared" ref="R2075:S2075" si="1795">R739</f>
        <v>EPS-DIPROMAD</v>
      </c>
      <c r="S2075" s="115" t="str">
        <f t="shared" si="1795"/>
        <v>BM</v>
      </c>
      <c r="T2075" s="51">
        <f t="shared" si="1794"/>
        <v>0</v>
      </c>
      <c r="W2075" s="608">
        <f t="shared" si="1730"/>
        <v>24967500</v>
      </c>
      <c r="X2075" s="608">
        <f t="shared" si="1731"/>
        <v>0</v>
      </c>
      <c r="Y2075" s="572" t="s">
        <v>1512</v>
      </c>
      <c r="Z2075" s="572">
        <f t="shared" si="1763"/>
        <v>24967.5</v>
      </c>
      <c r="AA2075" s="1">
        <f t="shared" si="1764"/>
        <v>0</v>
      </c>
    </row>
    <row r="2076" spans="1:27" x14ac:dyDescent="0.2">
      <c r="A2076" s="14" t="str">
        <f>+A742</f>
        <v>5.8 Formation initiale des enseignants du secondaire : Professionnaliser les filières de formation</v>
      </c>
      <c r="B2076" s="44"/>
      <c r="C2076" s="385">
        <f>C738</f>
        <v>0</v>
      </c>
      <c r="D2076" s="217">
        <f t="shared" si="1720"/>
        <v>1989</v>
      </c>
      <c r="E2076" s="217">
        <f t="shared" si="1721"/>
        <v>2814.5</v>
      </c>
      <c r="F2076" s="217">
        <f t="shared" si="1722"/>
        <v>2810</v>
      </c>
      <c r="G2076" s="217">
        <f t="shared" si="1723"/>
        <v>2810</v>
      </c>
      <c r="H2076" s="217">
        <f t="shared" si="1724"/>
        <v>2810</v>
      </c>
      <c r="I2076" s="220">
        <f t="shared" si="1725"/>
        <v>13233.5</v>
      </c>
      <c r="J2076" s="373">
        <f t="shared" ref="J2076" si="1796">R2076</f>
        <v>0</v>
      </c>
      <c r="K2076" s="346">
        <f t="shared" ref="K2076" si="1797">S2076</f>
        <v>0</v>
      </c>
      <c r="L2076" s="33">
        <f>+L2077+L2079+L2081+L2085+L2088</f>
        <v>1989000</v>
      </c>
      <c r="M2076" s="32">
        <f t="shared" ref="M2076:Q2076" si="1798">+M2077+M2079+M2081+M2085+M2088</f>
        <v>2814500</v>
      </c>
      <c r="N2076" s="32">
        <f t="shared" si="1798"/>
        <v>2810000</v>
      </c>
      <c r="O2076" s="32">
        <f t="shared" si="1798"/>
        <v>2810000</v>
      </c>
      <c r="P2076" s="32">
        <f t="shared" si="1798"/>
        <v>2810000</v>
      </c>
      <c r="Q2076" s="25">
        <f t="shared" si="1798"/>
        <v>13233500</v>
      </c>
      <c r="R2076" s="16">
        <f t="shared" ref="R2076:S2076" si="1799">+R2077+R2079+R2081+R2085+R2088</f>
        <v>0</v>
      </c>
      <c r="S2076" s="15">
        <f t="shared" si="1799"/>
        <v>0</v>
      </c>
      <c r="T2076" s="112">
        <f>T738</f>
        <v>0</v>
      </c>
      <c r="W2076" s="608">
        <f t="shared" ref="W2076:W2083" si="1800">SUM(L2076:P2076)</f>
        <v>13233500</v>
      </c>
      <c r="X2076" s="608">
        <f t="shared" ref="X2076:X2083" si="1801">W2076-Q2076</f>
        <v>0</v>
      </c>
      <c r="Y2076" s="572" t="s">
        <v>1512</v>
      </c>
      <c r="Z2076" s="572">
        <f t="shared" si="1763"/>
        <v>13233.5</v>
      </c>
      <c r="AA2076" s="1">
        <f t="shared" si="1764"/>
        <v>0</v>
      </c>
    </row>
    <row r="2077" spans="1:27" x14ac:dyDescent="0.2">
      <c r="A2077" s="17" t="str">
        <f>+A743</f>
        <v>5.8.1 Spécialisation des institutions</v>
      </c>
      <c r="B2077" s="45"/>
      <c r="C2077" s="386" t="str">
        <f>+C743</f>
        <v>Étude en 2016 et mise en place à partir de 2018</v>
      </c>
      <c r="D2077" s="157">
        <f t="shared" si="1720"/>
        <v>42</v>
      </c>
      <c r="E2077" s="157">
        <f t="shared" si="1721"/>
        <v>0</v>
      </c>
      <c r="F2077" s="157">
        <f t="shared" si="1722"/>
        <v>0</v>
      </c>
      <c r="G2077" s="157">
        <f t="shared" si="1723"/>
        <v>0</v>
      </c>
      <c r="H2077" s="157">
        <f t="shared" si="1724"/>
        <v>0</v>
      </c>
      <c r="I2077" s="160">
        <f t="shared" si="1725"/>
        <v>42</v>
      </c>
      <c r="J2077" s="374">
        <f>+J743</f>
        <v>0</v>
      </c>
      <c r="K2077" s="348">
        <f>+K743</f>
        <v>0</v>
      </c>
      <c r="L2077" s="35">
        <f>SUM(L2078)</f>
        <v>42000</v>
      </c>
      <c r="M2077" s="34">
        <f t="shared" ref="M2077:S2077" si="1802">SUM(M2078)</f>
        <v>0</v>
      </c>
      <c r="N2077" s="34">
        <f t="shared" si="1802"/>
        <v>0</v>
      </c>
      <c r="O2077" s="34">
        <f t="shared" si="1802"/>
        <v>0</v>
      </c>
      <c r="P2077" s="34">
        <f t="shared" si="1802"/>
        <v>0</v>
      </c>
      <c r="Q2077" s="26">
        <f t="shared" si="1802"/>
        <v>42000</v>
      </c>
      <c r="R2077" s="19">
        <f t="shared" si="1802"/>
        <v>0</v>
      </c>
      <c r="S2077" s="18">
        <f t="shared" si="1802"/>
        <v>0</v>
      </c>
      <c r="T2077" s="51">
        <f>+T743</f>
        <v>0</v>
      </c>
      <c r="W2077" s="608">
        <f t="shared" si="1800"/>
        <v>42000</v>
      </c>
      <c r="X2077" s="608">
        <f t="shared" si="1801"/>
        <v>0</v>
      </c>
      <c r="Y2077" s="572" t="s">
        <v>1512</v>
      </c>
      <c r="Z2077" s="572">
        <f t="shared" si="1763"/>
        <v>42</v>
      </c>
      <c r="AA2077" s="1">
        <f t="shared" si="1764"/>
        <v>0</v>
      </c>
    </row>
    <row r="2078" spans="1:27" x14ac:dyDescent="0.2">
      <c r="A2078" s="20" t="str">
        <f>+A744</f>
        <v>5.8.1.1 Étude sur la spécialisation des institutions</v>
      </c>
      <c r="B2078" s="46"/>
      <c r="C2078" s="386">
        <f>+C744</f>
        <v>0</v>
      </c>
      <c r="D2078" s="168">
        <f t="shared" si="1720"/>
        <v>42</v>
      </c>
      <c r="E2078" s="168">
        <f t="shared" si="1721"/>
        <v>0</v>
      </c>
      <c r="F2078" s="168">
        <f t="shared" si="1722"/>
        <v>0</v>
      </c>
      <c r="G2078" s="168">
        <f t="shared" si="1723"/>
        <v>0</v>
      </c>
      <c r="H2078" s="168">
        <f t="shared" si="1724"/>
        <v>0</v>
      </c>
      <c r="I2078" s="166">
        <f t="shared" si="1725"/>
        <v>42</v>
      </c>
      <c r="J2078" s="371">
        <f>+J744</f>
        <v>0</v>
      </c>
      <c r="K2078" s="350">
        <f>+K744</f>
        <v>0</v>
      </c>
      <c r="L2078" s="167">
        <f t="shared" ref="L2078:Q2078" si="1803">+L744</f>
        <v>42000</v>
      </c>
      <c r="M2078" s="168">
        <f t="shared" si="1803"/>
        <v>0</v>
      </c>
      <c r="N2078" s="168">
        <f t="shared" si="1803"/>
        <v>0</v>
      </c>
      <c r="O2078" s="168">
        <f t="shared" si="1803"/>
        <v>0</v>
      </c>
      <c r="P2078" s="168">
        <f t="shared" si="1803"/>
        <v>0</v>
      </c>
      <c r="Q2078" s="165">
        <f t="shared" si="1803"/>
        <v>42000</v>
      </c>
      <c r="R2078" s="198" t="str">
        <f t="shared" ref="R2078:S2078" si="1804">+R744</f>
        <v>SPACE-EPS-MESU</v>
      </c>
      <c r="S2078" s="115">
        <f t="shared" si="1804"/>
        <v>0</v>
      </c>
      <c r="T2078" s="51">
        <f>+T744</f>
        <v>0</v>
      </c>
      <c r="W2078" s="608">
        <f t="shared" si="1800"/>
        <v>42000</v>
      </c>
      <c r="X2078" s="608">
        <f t="shared" si="1801"/>
        <v>0</v>
      </c>
      <c r="Y2078" s="572" t="s">
        <v>1512</v>
      </c>
      <c r="Z2078" s="572">
        <f t="shared" si="1763"/>
        <v>42</v>
      </c>
      <c r="AA2078" s="1">
        <f t="shared" si="1764"/>
        <v>0</v>
      </c>
    </row>
    <row r="2079" spans="1:27" x14ac:dyDescent="0.2">
      <c r="A2079" s="17" t="str">
        <f>+A748</f>
        <v>5.8.2 Réforme des ISP/ISPT/UPN</v>
      </c>
      <c r="B2079" s="45"/>
      <c r="C2079" s="386">
        <f>+C748</f>
        <v>0</v>
      </c>
      <c r="D2079" s="157">
        <f t="shared" si="1720"/>
        <v>42</v>
      </c>
      <c r="E2079" s="157">
        <f t="shared" si="1721"/>
        <v>0</v>
      </c>
      <c r="F2079" s="157">
        <f t="shared" si="1722"/>
        <v>0</v>
      </c>
      <c r="G2079" s="157">
        <f t="shared" si="1723"/>
        <v>0</v>
      </c>
      <c r="H2079" s="157">
        <f t="shared" si="1724"/>
        <v>0</v>
      </c>
      <c r="I2079" s="160">
        <f t="shared" si="1725"/>
        <v>42</v>
      </c>
      <c r="J2079" s="374">
        <f>+J748</f>
        <v>0</v>
      </c>
      <c r="K2079" s="348">
        <f>+K748</f>
        <v>0</v>
      </c>
      <c r="L2079" s="35">
        <f>SUM(L2080)</f>
        <v>42000</v>
      </c>
      <c r="M2079" s="34">
        <f t="shared" ref="M2079" si="1805">SUM(M2080)</f>
        <v>0</v>
      </c>
      <c r="N2079" s="34">
        <f t="shared" ref="N2079" si="1806">SUM(N2080)</f>
        <v>0</v>
      </c>
      <c r="O2079" s="34">
        <f t="shared" ref="O2079" si="1807">SUM(O2080)</f>
        <v>0</v>
      </c>
      <c r="P2079" s="34">
        <f t="shared" ref="P2079" si="1808">SUM(P2080)</f>
        <v>0</v>
      </c>
      <c r="Q2079" s="26">
        <f t="shared" ref="Q2079:S2079" si="1809">SUM(Q2080)</f>
        <v>42000</v>
      </c>
      <c r="R2079" s="19">
        <f t="shared" si="1809"/>
        <v>0</v>
      </c>
      <c r="S2079" s="18">
        <f t="shared" si="1809"/>
        <v>0</v>
      </c>
      <c r="T2079" s="51">
        <f>+T748</f>
        <v>0</v>
      </c>
      <c r="W2079" s="608">
        <f t="shared" ref="W2079:W2080" si="1810">SUM(L2079:P2079)</f>
        <v>42000</v>
      </c>
      <c r="X2079" s="608">
        <f t="shared" ref="X2079:X2080" si="1811">W2079-Q2079</f>
        <v>0</v>
      </c>
      <c r="Y2079" s="572" t="s">
        <v>1512</v>
      </c>
      <c r="Z2079" s="572">
        <f t="shared" si="1763"/>
        <v>42</v>
      </c>
      <c r="AA2079" s="1">
        <f t="shared" si="1764"/>
        <v>0</v>
      </c>
    </row>
    <row r="2080" spans="1:27" x14ac:dyDescent="0.2">
      <c r="A2080" s="20" t="str">
        <f>+A749</f>
        <v>5.8.2.1 Étude sur la réforme structurelle des ISP/ISPT/UPN</v>
      </c>
      <c r="B2080" s="46"/>
      <c r="C2080" s="386">
        <f>+C749</f>
        <v>0</v>
      </c>
      <c r="D2080" s="168">
        <f t="shared" si="1720"/>
        <v>42</v>
      </c>
      <c r="E2080" s="168">
        <f t="shared" si="1721"/>
        <v>0</v>
      </c>
      <c r="F2080" s="168">
        <f t="shared" si="1722"/>
        <v>0</v>
      </c>
      <c r="G2080" s="168">
        <f t="shared" si="1723"/>
        <v>0</v>
      </c>
      <c r="H2080" s="168">
        <f t="shared" si="1724"/>
        <v>0</v>
      </c>
      <c r="I2080" s="166">
        <f t="shared" si="1725"/>
        <v>42</v>
      </c>
      <c r="J2080" s="371">
        <f>+J749</f>
        <v>0</v>
      </c>
      <c r="K2080" s="350">
        <f>+K749</f>
        <v>0</v>
      </c>
      <c r="L2080" s="167">
        <f t="shared" ref="L2080:Q2080" si="1812">+L749</f>
        <v>42000</v>
      </c>
      <c r="M2080" s="168">
        <f t="shared" si="1812"/>
        <v>0</v>
      </c>
      <c r="N2080" s="168">
        <f t="shared" si="1812"/>
        <v>0</v>
      </c>
      <c r="O2080" s="168">
        <f t="shared" si="1812"/>
        <v>0</v>
      </c>
      <c r="P2080" s="168">
        <f t="shared" si="1812"/>
        <v>0</v>
      </c>
      <c r="Q2080" s="165">
        <f t="shared" si="1812"/>
        <v>42000</v>
      </c>
      <c r="R2080" s="198" t="str">
        <f t="shared" ref="R2080:S2080" si="1813">+R749</f>
        <v>SPACE-EPS-MESU</v>
      </c>
      <c r="S2080" s="115">
        <f t="shared" si="1813"/>
        <v>0</v>
      </c>
      <c r="T2080" s="51">
        <f>+T749</f>
        <v>0</v>
      </c>
      <c r="W2080" s="608">
        <f t="shared" si="1810"/>
        <v>42000</v>
      </c>
      <c r="X2080" s="608">
        <f t="shared" si="1811"/>
        <v>0</v>
      </c>
      <c r="Y2080" s="572" t="s">
        <v>1512</v>
      </c>
      <c r="Z2080" s="572">
        <f t="shared" si="1763"/>
        <v>42</v>
      </c>
      <c r="AA2080" s="1">
        <f t="shared" si="1764"/>
        <v>0</v>
      </c>
    </row>
    <row r="2081" spans="1:27" x14ac:dyDescent="0.2">
      <c r="A2081" s="17" t="str">
        <f>+A753</f>
        <v>5.8.3 Révision des curricula de formation</v>
      </c>
      <c r="B2081" s="45"/>
      <c r="C2081" s="386">
        <f>+C753</f>
        <v>0</v>
      </c>
      <c r="D2081" s="157">
        <f t="shared" si="1720"/>
        <v>1885.5</v>
      </c>
      <c r="E2081" s="157">
        <f t="shared" si="1721"/>
        <v>2800</v>
      </c>
      <c r="F2081" s="157">
        <f t="shared" si="1722"/>
        <v>2800</v>
      </c>
      <c r="G2081" s="157">
        <f t="shared" si="1723"/>
        <v>2800</v>
      </c>
      <c r="H2081" s="157">
        <f t="shared" si="1724"/>
        <v>2800</v>
      </c>
      <c r="I2081" s="160">
        <f t="shared" si="1725"/>
        <v>13085.5</v>
      </c>
      <c r="J2081" s="374">
        <f>+J753</f>
        <v>0</v>
      </c>
      <c r="K2081" s="348">
        <f>+K753</f>
        <v>0</v>
      </c>
      <c r="L2081" s="35">
        <f>SUM(L2082:L2084)</f>
        <v>1885500</v>
      </c>
      <c r="M2081" s="34">
        <f t="shared" ref="M2081:Q2081" si="1814">SUM(M2082:M2084)</f>
        <v>2800000</v>
      </c>
      <c r="N2081" s="34">
        <f t="shared" si="1814"/>
        <v>2800000</v>
      </c>
      <c r="O2081" s="34">
        <f t="shared" si="1814"/>
        <v>2800000</v>
      </c>
      <c r="P2081" s="34">
        <f t="shared" si="1814"/>
        <v>2800000</v>
      </c>
      <c r="Q2081" s="26">
        <f t="shared" si="1814"/>
        <v>13085500</v>
      </c>
      <c r="R2081" s="19">
        <f t="shared" ref="R2081:S2081" si="1815">SUM(R2082:R2084)</f>
        <v>0</v>
      </c>
      <c r="S2081" s="18">
        <f t="shared" si="1815"/>
        <v>0</v>
      </c>
      <c r="T2081" s="51">
        <f>+T753</f>
        <v>0</v>
      </c>
      <c r="W2081" s="608">
        <f t="shared" si="1800"/>
        <v>13085500</v>
      </c>
      <c r="X2081" s="608">
        <f t="shared" si="1801"/>
        <v>0</v>
      </c>
      <c r="Y2081" s="572" t="s">
        <v>1512</v>
      </c>
      <c r="Z2081" s="572">
        <f t="shared" si="1763"/>
        <v>13085.5</v>
      </c>
      <c r="AA2081" s="1">
        <f t="shared" si="1764"/>
        <v>0</v>
      </c>
    </row>
    <row r="2082" spans="1:27" x14ac:dyDescent="0.2">
      <c r="A2082" s="20" t="str">
        <f>+A754</f>
        <v>5.8.3.1 Actualisation du référentiel de compétences des enseignants réalisé en 2013</v>
      </c>
      <c r="B2082" s="46"/>
      <c r="C2082" s="386">
        <f>+C754</f>
        <v>0</v>
      </c>
      <c r="D2082" s="168">
        <f t="shared" si="1720"/>
        <v>9.5</v>
      </c>
      <c r="E2082" s="168">
        <f t="shared" si="1721"/>
        <v>0</v>
      </c>
      <c r="F2082" s="168">
        <f t="shared" si="1722"/>
        <v>0</v>
      </c>
      <c r="G2082" s="168">
        <f t="shared" si="1723"/>
        <v>0</v>
      </c>
      <c r="H2082" s="168">
        <f t="shared" si="1724"/>
        <v>0</v>
      </c>
      <c r="I2082" s="166">
        <f t="shared" si="1725"/>
        <v>9.5</v>
      </c>
      <c r="J2082" s="371">
        <f>+J754</f>
        <v>0</v>
      </c>
      <c r="K2082" s="350">
        <f>+K754</f>
        <v>0</v>
      </c>
      <c r="L2082" s="167">
        <f t="shared" ref="L2082:Q2082" si="1816">+L754</f>
        <v>9500</v>
      </c>
      <c r="M2082" s="168">
        <f t="shared" si="1816"/>
        <v>0</v>
      </c>
      <c r="N2082" s="168">
        <f t="shared" si="1816"/>
        <v>0</v>
      </c>
      <c r="O2082" s="168">
        <f t="shared" si="1816"/>
        <v>0</v>
      </c>
      <c r="P2082" s="168">
        <f t="shared" si="1816"/>
        <v>0</v>
      </c>
      <c r="Q2082" s="165">
        <f t="shared" si="1816"/>
        <v>9500</v>
      </c>
      <c r="R2082" s="198" t="str">
        <f t="shared" ref="R2082:S2082" si="1817">+R754</f>
        <v>MESU-CPE-DEP</v>
      </c>
      <c r="S2082" s="115" t="str">
        <f t="shared" si="1817"/>
        <v>BM</v>
      </c>
      <c r="T2082" s="51">
        <f>+T754</f>
        <v>0</v>
      </c>
      <c r="W2082" s="608">
        <f t="shared" si="1800"/>
        <v>9500</v>
      </c>
      <c r="X2082" s="608">
        <f t="shared" si="1801"/>
        <v>0</v>
      </c>
      <c r="Y2082" s="572" t="s">
        <v>1512</v>
      </c>
      <c r="Z2082" s="572">
        <f t="shared" si="1763"/>
        <v>9.5</v>
      </c>
      <c r="AA2082" s="1">
        <f t="shared" si="1764"/>
        <v>0</v>
      </c>
    </row>
    <row r="2083" spans="1:27" x14ac:dyDescent="0.2">
      <c r="A2083" s="20" t="str">
        <f>+A757</f>
        <v>5.8.3.2 Révision du curriculum de formation des enseignants</v>
      </c>
      <c r="B2083" s="46"/>
      <c r="C2083" s="386">
        <f>+C757</f>
        <v>0</v>
      </c>
      <c r="D2083" s="168">
        <f t="shared" si="1720"/>
        <v>76</v>
      </c>
      <c r="E2083" s="168">
        <f t="shared" si="1721"/>
        <v>0</v>
      </c>
      <c r="F2083" s="168">
        <f t="shared" si="1722"/>
        <v>0</v>
      </c>
      <c r="G2083" s="168">
        <f t="shared" si="1723"/>
        <v>0</v>
      </c>
      <c r="H2083" s="168">
        <f t="shared" si="1724"/>
        <v>0</v>
      </c>
      <c r="I2083" s="166">
        <f t="shared" si="1725"/>
        <v>76</v>
      </c>
      <c r="J2083" s="371">
        <f t="shared" ref="J2083:T2083" si="1818">+J757</f>
        <v>0</v>
      </c>
      <c r="K2083" s="350">
        <f t="shared" si="1818"/>
        <v>0</v>
      </c>
      <c r="L2083" s="167">
        <f t="shared" si="1818"/>
        <v>76000</v>
      </c>
      <c r="M2083" s="168">
        <f t="shared" si="1818"/>
        <v>0</v>
      </c>
      <c r="N2083" s="168">
        <f t="shared" si="1818"/>
        <v>0</v>
      </c>
      <c r="O2083" s="168">
        <f t="shared" si="1818"/>
        <v>0</v>
      </c>
      <c r="P2083" s="168">
        <f t="shared" si="1818"/>
        <v>0</v>
      </c>
      <c r="Q2083" s="165">
        <f t="shared" si="1818"/>
        <v>76000</v>
      </c>
      <c r="R2083" s="198" t="str">
        <f t="shared" ref="R2083:S2083" si="1819">+R757</f>
        <v>MESU-CPE-DEP</v>
      </c>
      <c r="S2083" s="115" t="str">
        <f t="shared" si="1819"/>
        <v>BM</v>
      </c>
      <c r="T2083" s="51">
        <f t="shared" si="1818"/>
        <v>0</v>
      </c>
      <c r="W2083" s="608">
        <f t="shared" si="1800"/>
        <v>76000</v>
      </c>
      <c r="X2083" s="608">
        <f t="shared" si="1801"/>
        <v>0</v>
      </c>
      <c r="Y2083" s="572" t="s">
        <v>1512</v>
      </c>
      <c r="Z2083" s="572">
        <f t="shared" si="1763"/>
        <v>76</v>
      </c>
      <c r="AA2083" s="1">
        <f t="shared" si="1764"/>
        <v>0</v>
      </c>
    </row>
    <row r="2084" spans="1:27" x14ac:dyDescent="0.2">
      <c r="A2084" s="20" t="str">
        <f>+A761</f>
        <v>5.8.3.3 Équipement en matériel de laboratoire, ateliers et matériels didactiques des ISP/ISPT/UPN</v>
      </c>
      <c r="B2084" s="46"/>
      <c r="C2084" s="386">
        <f>+C761</f>
        <v>0</v>
      </c>
      <c r="D2084" s="168">
        <f t="shared" si="1720"/>
        <v>1800</v>
      </c>
      <c r="E2084" s="168">
        <f t="shared" si="1721"/>
        <v>2800</v>
      </c>
      <c r="F2084" s="168">
        <f t="shared" si="1722"/>
        <v>2800</v>
      </c>
      <c r="G2084" s="168">
        <f t="shared" si="1723"/>
        <v>2800</v>
      </c>
      <c r="H2084" s="168">
        <f t="shared" si="1724"/>
        <v>2800</v>
      </c>
      <c r="I2084" s="166">
        <f t="shared" si="1725"/>
        <v>13000</v>
      </c>
      <c r="J2084" s="371">
        <f t="shared" ref="J2084:T2084" si="1820">+J761</f>
        <v>0</v>
      </c>
      <c r="K2084" s="350">
        <f t="shared" si="1820"/>
        <v>0</v>
      </c>
      <c r="L2084" s="167">
        <f t="shared" si="1820"/>
        <v>1800000</v>
      </c>
      <c r="M2084" s="168">
        <f t="shared" si="1820"/>
        <v>2800000</v>
      </c>
      <c r="N2084" s="168">
        <f t="shared" si="1820"/>
        <v>2800000</v>
      </c>
      <c r="O2084" s="168">
        <f t="shared" si="1820"/>
        <v>2800000</v>
      </c>
      <c r="P2084" s="168">
        <f t="shared" si="1820"/>
        <v>2800000</v>
      </c>
      <c r="Q2084" s="165">
        <f t="shared" si="1820"/>
        <v>13000000</v>
      </c>
      <c r="R2084" s="198" t="str">
        <f t="shared" ref="R2084:S2084" si="1821">+R761</f>
        <v>MESU-DEP</v>
      </c>
      <c r="S2084" s="115" t="str">
        <f t="shared" si="1821"/>
        <v>GVT et BM</v>
      </c>
      <c r="T2084" s="51">
        <f t="shared" si="1820"/>
        <v>0</v>
      </c>
      <c r="W2084" s="608">
        <f t="shared" ref="W2084:W2087" si="1822">SUM(L2084:P2084)</f>
        <v>13000000</v>
      </c>
      <c r="X2084" s="608">
        <f t="shared" ref="X2084:X2087" si="1823">W2084-Q2084</f>
        <v>0</v>
      </c>
      <c r="Y2084" s="572" t="s">
        <v>1512</v>
      </c>
      <c r="Z2084" s="572">
        <f t="shared" si="1763"/>
        <v>13000</v>
      </c>
      <c r="AA2084" s="1">
        <f t="shared" si="1764"/>
        <v>0</v>
      </c>
    </row>
    <row r="2085" spans="1:27" x14ac:dyDescent="0.2">
      <c r="A2085" s="17" t="str">
        <f>+A764</f>
        <v>5.8.4 Organisation de périodes de stage</v>
      </c>
      <c r="B2085" s="45"/>
      <c r="C2085" s="386" t="str">
        <f>+C764</f>
        <v>A partir de 2018, tous les enseignants en formation effectuent des périodes de stage dans les écoles</v>
      </c>
      <c r="D2085" s="157">
        <f t="shared" si="1720"/>
        <v>0</v>
      </c>
      <c r="E2085" s="157">
        <f t="shared" si="1721"/>
        <v>4.5</v>
      </c>
      <c r="F2085" s="157">
        <f t="shared" si="1722"/>
        <v>0</v>
      </c>
      <c r="G2085" s="157">
        <f t="shared" si="1723"/>
        <v>0</v>
      </c>
      <c r="H2085" s="157">
        <f t="shared" si="1724"/>
        <v>0</v>
      </c>
      <c r="I2085" s="160">
        <f t="shared" si="1725"/>
        <v>4.5</v>
      </c>
      <c r="J2085" s="374">
        <f t="shared" ref="J2085:K2087" si="1824">+J764</f>
        <v>0</v>
      </c>
      <c r="K2085" s="348">
        <f t="shared" si="1824"/>
        <v>0</v>
      </c>
      <c r="L2085" s="35">
        <f>SUM(L2086:L2087)</f>
        <v>0</v>
      </c>
      <c r="M2085" s="34">
        <f t="shared" ref="M2085:Q2085" si="1825">SUM(M2086:M2087)</f>
        <v>4500</v>
      </c>
      <c r="N2085" s="34">
        <f t="shared" si="1825"/>
        <v>0</v>
      </c>
      <c r="O2085" s="34">
        <f t="shared" si="1825"/>
        <v>0</v>
      </c>
      <c r="P2085" s="34">
        <f t="shared" si="1825"/>
        <v>0</v>
      </c>
      <c r="Q2085" s="26">
        <f t="shared" si="1825"/>
        <v>4500</v>
      </c>
      <c r="R2085" s="19">
        <f t="shared" ref="R2085:S2085" si="1826">SUM(R2086:R2087)</f>
        <v>0</v>
      </c>
      <c r="S2085" s="18">
        <f t="shared" si="1826"/>
        <v>0</v>
      </c>
      <c r="T2085" s="51">
        <f>+T764</f>
        <v>0</v>
      </c>
      <c r="W2085" s="608">
        <f t="shared" si="1822"/>
        <v>4500</v>
      </c>
      <c r="X2085" s="608">
        <f t="shared" si="1823"/>
        <v>0</v>
      </c>
      <c r="Y2085" s="572" t="s">
        <v>1512</v>
      </c>
      <c r="Z2085" s="572">
        <f t="shared" si="1763"/>
        <v>4.5</v>
      </c>
      <c r="AA2085" s="1">
        <f t="shared" si="1764"/>
        <v>0</v>
      </c>
    </row>
    <row r="2086" spans="1:27" x14ac:dyDescent="0.2">
      <c r="A2086" s="20" t="str">
        <f>+A765</f>
        <v>5.8.4.1 Validation du guide de stage élaboré en 2015</v>
      </c>
      <c r="B2086" s="46"/>
      <c r="C2086" s="386">
        <f>+C765</f>
        <v>0</v>
      </c>
      <c r="D2086" s="168">
        <f t="shared" si="1720"/>
        <v>0</v>
      </c>
      <c r="E2086" s="168">
        <f t="shared" si="1721"/>
        <v>0</v>
      </c>
      <c r="F2086" s="168">
        <f t="shared" si="1722"/>
        <v>0</v>
      </c>
      <c r="G2086" s="168">
        <f t="shared" si="1723"/>
        <v>0</v>
      </c>
      <c r="H2086" s="168">
        <f t="shared" si="1724"/>
        <v>0</v>
      </c>
      <c r="I2086" s="166">
        <f t="shared" si="1725"/>
        <v>0</v>
      </c>
      <c r="J2086" s="371">
        <f t="shared" si="1824"/>
        <v>0</v>
      </c>
      <c r="K2086" s="350">
        <f t="shared" si="1824"/>
        <v>0</v>
      </c>
      <c r="L2086" s="167">
        <f t="shared" ref="L2086:Q2087" si="1827">+L765</f>
        <v>0</v>
      </c>
      <c r="M2086" s="168">
        <f t="shared" si="1827"/>
        <v>0</v>
      </c>
      <c r="N2086" s="168">
        <f t="shared" si="1827"/>
        <v>0</v>
      </c>
      <c r="O2086" s="168">
        <f t="shared" si="1827"/>
        <v>0</v>
      </c>
      <c r="P2086" s="168">
        <f t="shared" si="1827"/>
        <v>0</v>
      </c>
      <c r="Q2086" s="165">
        <f t="shared" si="1827"/>
        <v>0</v>
      </c>
      <c r="R2086" s="198" t="str">
        <f t="shared" ref="R2086:S2086" si="1828">+R765</f>
        <v>EPS/ESU/ETP</v>
      </c>
      <c r="S2086" s="115">
        <f t="shared" si="1828"/>
        <v>0</v>
      </c>
      <c r="T2086" s="51">
        <f>+T765</f>
        <v>0</v>
      </c>
      <c r="W2086" s="608">
        <f t="shared" si="1822"/>
        <v>0</v>
      </c>
      <c r="X2086" s="608">
        <f t="shared" si="1823"/>
        <v>0</v>
      </c>
      <c r="Y2086" s="572" t="s">
        <v>1512</v>
      </c>
      <c r="Z2086" s="572">
        <f t="shared" si="1763"/>
        <v>0</v>
      </c>
      <c r="AA2086" s="1">
        <f t="shared" si="1764"/>
        <v>0</v>
      </c>
    </row>
    <row r="2087" spans="1:27" x14ac:dyDescent="0.2">
      <c r="A2087" s="20" t="str">
        <f>+A766</f>
        <v>5.8.4.2 Élaboration d'un cadre de suivi des stages des enseignants en formation</v>
      </c>
      <c r="B2087" s="46"/>
      <c r="C2087" s="386">
        <f>+C766</f>
        <v>0</v>
      </c>
      <c r="D2087" s="168">
        <f t="shared" si="1720"/>
        <v>0</v>
      </c>
      <c r="E2087" s="168">
        <f t="shared" si="1721"/>
        <v>4.5</v>
      </c>
      <c r="F2087" s="168">
        <f t="shared" si="1722"/>
        <v>0</v>
      </c>
      <c r="G2087" s="168">
        <f t="shared" si="1723"/>
        <v>0</v>
      </c>
      <c r="H2087" s="168">
        <f t="shared" si="1724"/>
        <v>0</v>
      </c>
      <c r="I2087" s="166">
        <f t="shared" si="1725"/>
        <v>4.5</v>
      </c>
      <c r="J2087" s="371">
        <f t="shared" si="1824"/>
        <v>0</v>
      </c>
      <c r="K2087" s="350">
        <f t="shared" si="1824"/>
        <v>0</v>
      </c>
      <c r="L2087" s="167">
        <f t="shared" si="1827"/>
        <v>0</v>
      </c>
      <c r="M2087" s="168">
        <f t="shared" si="1827"/>
        <v>4500</v>
      </c>
      <c r="N2087" s="168">
        <f t="shared" si="1827"/>
        <v>0</v>
      </c>
      <c r="O2087" s="168">
        <f t="shared" si="1827"/>
        <v>0</v>
      </c>
      <c r="P2087" s="168">
        <f t="shared" si="1827"/>
        <v>0</v>
      </c>
      <c r="Q2087" s="165">
        <f t="shared" si="1827"/>
        <v>4500</v>
      </c>
      <c r="R2087" s="198" t="str">
        <f t="shared" ref="R2087:S2087" si="1829">+R766</f>
        <v>EPS/ESU/ETP</v>
      </c>
      <c r="S2087" s="115" t="str">
        <f t="shared" si="1829"/>
        <v>ND</v>
      </c>
      <c r="T2087" s="51">
        <f>+T766</f>
        <v>0</v>
      </c>
      <c r="W2087" s="608">
        <f t="shared" si="1822"/>
        <v>4500</v>
      </c>
      <c r="X2087" s="608">
        <f t="shared" si="1823"/>
        <v>0</v>
      </c>
      <c r="Y2087" s="572" t="s">
        <v>1512</v>
      </c>
      <c r="Z2087" s="572">
        <f t="shared" si="1763"/>
        <v>4.5</v>
      </c>
      <c r="AA2087" s="1">
        <f t="shared" si="1764"/>
        <v>0</v>
      </c>
    </row>
    <row r="2088" spans="1:27" x14ac:dyDescent="0.2">
      <c r="A2088" s="17" t="str">
        <f>+A769</f>
        <v>5.8.5 Coordination entre le MEPSINC, MESU, METP et MAS</v>
      </c>
      <c r="B2088" s="45"/>
      <c r="C2088" s="386">
        <f>+C769</f>
        <v>0</v>
      </c>
      <c r="D2088" s="157">
        <f t="shared" si="1720"/>
        <v>19.5</v>
      </c>
      <c r="E2088" s="157">
        <f t="shared" si="1721"/>
        <v>10</v>
      </c>
      <c r="F2088" s="157">
        <f t="shared" si="1722"/>
        <v>10</v>
      </c>
      <c r="G2088" s="157">
        <f t="shared" si="1723"/>
        <v>10</v>
      </c>
      <c r="H2088" s="157">
        <f t="shared" si="1724"/>
        <v>10</v>
      </c>
      <c r="I2088" s="160">
        <f t="shared" si="1725"/>
        <v>59.5</v>
      </c>
      <c r="J2088" s="374">
        <f>+J769</f>
        <v>0</v>
      </c>
      <c r="K2088" s="348">
        <f>+K769</f>
        <v>0</v>
      </c>
      <c r="L2088" s="35">
        <f>SUM(L2089:L2090)</f>
        <v>19500</v>
      </c>
      <c r="M2088" s="34">
        <f t="shared" ref="M2088" si="1830">SUM(M2089:M2090)</f>
        <v>10000</v>
      </c>
      <c r="N2088" s="34">
        <f t="shared" ref="N2088" si="1831">SUM(N2089:N2090)</f>
        <v>10000</v>
      </c>
      <c r="O2088" s="34">
        <f t="shared" ref="O2088" si="1832">SUM(O2089:O2090)</f>
        <v>10000</v>
      </c>
      <c r="P2088" s="34">
        <f t="shared" ref="P2088" si="1833">SUM(P2089:P2090)</f>
        <v>10000</v>
      </c>
      <c r="Q2088" s="26">
        <f t="shared" ref="Q2088:S2088" si="1834">SUM(Q2089:Q2090)</f>
        <v>59500</v>
      </c>
      <c r="R2088" s="19">
        <f t="shared" si="1834"/>
        <v>0</v>
      </c>
      <c r="S2088" s="18">
        <f t="shared" si="1834"/>
        <v>0</v>
      </c>
      <c r="T2088" s="51">
        <f>+T769</f>
        <v>0</v>
      </c>
      <c r="W2088" s="608">
        <f t="shared" ref="W2088:W2090" si="1835">SUM(L2088:P2088)</f>
        <v>59500</v>
      </c>
      <c r="X2088" s="608">
        <f t="shared" ref="X2088:X2090" si="1836">W2088-Q2088</f>
        <v>0</v>
      </c>
      <c r="Y2088" s="572" t="s">
        <v>1512</v>
      </c>
      <c r="Z2088" s="572">
        <f t="shared" si="1763"/>
        <v>59.5</v>
      </c>
      <c r="AA2088" s="1">
        <f t="shared" si="1764"/>
        <v>0</v>
      </c>
    </row>
    <row r="2089" spans="1:27" x14ac:dyDescent="0.2">
      <c r="A2089" s="20" t="str">
        <f>+A770</f>
        <v xml:space="preserve">5.8.5.1 Définition d'un cadre de coordination des 4 ministères </v>
      </c>
      <c r="B2089" s="46"/>
      <c r="C2089" s="386">
        <f>+C770</f>
        <v>0</v>
      </c>
      <c r="D2089" s="168">
        <f t="shared" si="1720"/>
        <v>9.5</v>
      </c>
      <c r="E2089" s="168">
        <f t="shared" si="1721"/>
        <v>0</v>
      </c>
      <c r="F2089" s="168">
        <f t="shared" si="1722"/>
        <v>0</v>
      </c>
      <c r="G2089" s="168">
        <f t="shared" si="1723"/>
        <v>0</v>
      </c>
      <c r="H2089" s="168">
        <f t="shared" si="1724"/>
        <v>0</v>
      </c>
      <c r="I2089" s="166">
        <f t="shared" si="1725"/>
        <v>9.5</v>
      </c>
      <c r="J2089" s="371">
        <f>+J770</f>
        <v>0</v>
      </c>
      <c r="K2089" s="350">
        <f>+K770</f>
        <v>0</v>
      </c>
      <c r="L2089" s="167">
        <f t="shared" ref="L2089:Q2089" si="1837">+L770</f>
        <v>9500</v>
      </c>
      <c r="M2089" s="168">
        <f t="shared" si="1837"/>
        <v>0</v>
      </c>
      <c r="N2089" s="168">
        <f t="shared" si="1837"/>
        <v>0</v>
      </c>
      <c r="O2089" s="168">
        <f t="shared" si="1837"/>
        <v>0</v>
      </c>
      <c r="P2089" s="168">
        <f t="shared" si="1837"/>
        <v>0</v>
      </c>
      <c r="Q2089" s="165">
        <f t="shared" si="1837"/>
        <v>9500</v>
      </c>
      <c r="R2089" s="198" t="str">
        <f t="shared" ref="R2089:S2089" si="1838">+R770</f>
        <v>SPACE</v>
      </c>
      <c r="S2089" s="115" t="str">
        <f t="shared" si="1838"/>
        <v>ND</v>
      </c>
      <c r="T2089" s="51">
        <f>+T770</f>
        <v>0</v>
      </c>
      <c r="W2089" s="608">
        <f t="shared" si="1835"/>
        <v>9500</v>
      </c>
      <c r="X2089" s="608">
        <f t="shared" si="1836"/>
        <v>0</v>
      </c>
      <c r="Y2089" s="572" t="s">
        <v>1512</v>
      </c>
      <c r="Z2089" s="572">
        <f t="shared" si="1763"/>
        <v>9.5</v>
      </c>
      <c r="AA2089" s="1">
        <f t="shared" si="1764"/>
        <v>0</v>
      </c>
    </row>
    <row r="2090" spans="1:27" x14ac:dyDescent="0.2">
      <c r="A2090" s="20" t="str">
        <f>+A773</f>
        <v>5.8.5.2 Mise en place et fonctionnement du cadre de coordination</v>
      </c>
      <c r="B2090" s="46"/>
      <c r="C2090" s="386">
        <f>+C773</f>
        <v>0</v>
      </c>
      <c r="D2090" s="168">
        <f t="shared" si="1720"/>
        <v>10</v>
      </c>
      <c r="E2090" s="168">
        <f t="shared" si="1721"/>
        <v>10</v>
      </c>
      <c r="F2090" s="168">
        <f t="shared" si="1722"/>
        <v>10</v>
      </c>
      <c r="G2090" s="168">
        <f t="shared" si="1723"/>
        <v>10</v>
      </c>
      <c r="H2090" s="168">
        <f t="shared" si="1724"/>
        <v>10</v>
      </c>
      <c r="I2090" s="166">
        <f t="shared" si="1725"/>
        <v>50</v>
      </c>
      <c r="J2090" s="371">
        <f t="shared" ref="J2090:T2090" si="1839">+J773</f>
        <v>0</v>
      </c>
      <c r="K2090" s="350">
        <f t="shared" si="1839"/>
        <v>0</v>
      </c>
      <c r="L2090" s="167">
        <f t="shared" si="1839"/>
        <v>10000</v>
      </c>
      <c r="M2090" s="168">
        <f t="shared" si="1839"/>
        <v>10000</v>
      </c>
      <c r="N2090" s="168">
        <f t="shared" si="1839"/>
        <v>10000</v>
      </c>
      <c r="O2090" s="168">
        <f t="shared" si="1839"/>
        <v>10000</v>
      </c>
      <c r="P2090" s="168">
        <f t="shared" si="1839"/>
        <v>10000</v>
      </c>
      <c r="Q2090" s="165">
        <f t="shared" si="1839"/>
        <v>50000</v>
      </c>
      <c r="R2090" s="198" t="str">
        <f t="shared" ref="R2090:S2090" si="1840">+R773</f>
        <v>SPACE</v>
      </c>
      <c r="S2090" s="115" t="str">
        <f t="shared" si="1840"/>
        <v>ND</v>
      </c>
      <c r="T2090" s="51">
        <f t="shared" si="1839"/>
        <v>0</v>
      </c>
      <c r="W2090" s="608">
        <f t="shared" si="1835"/>
        <v>50000</v>
      </c>
      <c r="X2090" s="608">
        <f t="shared" si="1836"/>
        <v>0</v>
      </c>
      <c r="Y2090" s="572" t="s">
        <v>1512</v>
      </c>
      <c r="Z2090" s="572">
        <f t="shared" si="1763"/>
        <v>50</v>
      </c>
      <c r="AA2090" s="1">
        <f t="shared" si="1764"/>
        <v>0</v>
      </c>
    </row>
    <row r="2091" spans="1:27" x14ac:dyDescent="0.2">
      <c r="A2091" s="14" t="str">
        <f>A775</f>
        <v>5.9 Supervision des structures et des enseignants : assurer l'encadrement pédagogique et administratif des écoles</v>
      </c>
      <c r="B2091" s="44"/>
      <c r="C2091" s="385">
        <f>C775</f>
        <v>0</v>
      </c>
      <c r="D2091" s="217">
        <f t="shared" si="1720"/>
        <v>0</v>
      </c>
      <c r="E2091" s="217">
        <f t="shared" si="1721"/>
        <v>4010</v>
      </c>
      <c r="F2091" s="217">
        <f t="shared" si="1722"/>
        <v>5600</v>
      </c>
      <c r="G2091" s="217">
        <f t="shared" si="1723"/>
        <v>2100</v>
      </c>
      <c r="H2091" s="217">
        <f t="shared" si="1724"/>
        <v>2100</v>
      </c>
      <c r="I2091" s="220">
        <f t="shared" si="1725"/>
        <v>13810</v>
      </c>
      <c r="J2091" s="373">
        <f t="shared" si="1726"/>
        <v>0</v>
      </c>
      <c r="K2091" s="346">
        <f t="shared" si="1727"/>
        <v>0</v>
      </c>
      <c r="L2091" s="33">
        <f t="shared" ref="L2091:Q2091" si="1841">L2092+L2094+L2096</f>
        <v>0</v>
      </c>
      <c r="M2091" s="32">
        <f t="shared" si="1841"/>
        <v>4010000</v>
      </c>
      <c r="N2091" s="32">
        <f t="shared" si="1841"/>
        <v>5600000</v>
      </c>
      <c r="O2091" s="32">
        <f t="shared" si="1841"/>
        <v>2100000</v>
      </c>
      <c r="P2091" s="32">
        <f t="shared" si="1841"/>
        <v>2100000</v>
      </c>
      <c r="Q2091" s="25">
        <f t="shared" si="1841"/>
        <v>13810000</v>
      </c>
      <c r="R2091" s="515"/>
      <c r="S2091" s="145"/>
      <c r="T2091" s="49">
        <f>T775</f>
        <v>3</v>
      </c>
      <c r="W2091" s="608">
        <f t="shared" si="1730"/>
        <v>13810000</v>
      </c>
      <c r="X2091" s="608">
        <f t="shared" si="1731"/>
        <v>0</v>
      </c>
      <c r="Y2091" s="572" t="s">
        <v>1512</v>
      </c>
      <c r="Z2091" s="572">
        <f t="shared" si="1763"/>
        <v>13810</v>
      </c>
      <c r="AA2091" s="1">
        <f t="shared" si="1764"/>
        <v>0</v>
      </c>
    </row>
    <row r="2092" spans="1:27" x14ac:dyDescent="0.2">
      <c r="A2092" s="17" t="str">
        <f>A776</f>
        <v>5.9.1 Moyens de déplacement des inspecteurs</v>
      </c>
      <c r="B2092" s="45"/>
      <c r="C2092" s="386">
        <f>C776</f>
        <v>0</v>
      </c>
      <c r="D2092" s="157">
        <f t="shared" si="1720"/>
        <v>0</v>
      </c>
      <c r="E2092" s="157">
        <f t="shared" si="1721"/>
        <v>3135</v>
      </c>
      <c r="F2092" s="157">
        <f t="shared" si="1722"/>
        <v>2625</v>
      </c>
      <c r="G2092" s="157">
        <f t="shared" si="1723"/>
        <v>0</v>
      </c>
      <c r="H2092" s="157">
        <f t="shared" si="1724"/>
        <v>0</v>
      </c>
      <c r="I2092" s="160">
        <f t="shared" si="1725"/>
        <v>5760</v>
      </c>
      <c r="J2092" s="374">
        <f t="shared" si="1726"/>
        <v>0</v>
      </c>
      <c r="K2092" s="348">
        <f t="shared" si="1727"/>
        <v>0</v>
      </c>
      <c r="L2092" s="35">
        <f t="shared" ref="L2092:Q2092" si="1842">L2093</f>
        <v>0</v>
      </c>
      <c r="M2092" s="34">
        <f t="shared" si="1842"/>
        <v>3135000</v>
      </c>
      <c r="N2092" s="34">
        <f t="shared" si="1842"/>
        <v>2625000</v>
      </c>
      <c r="O2092" s="34">
        <f t="shared" si="1842"/>
        <v>0</v>
      </c>
      <c r="P2092" s="34">
        <f t="shared" si="1842"/>
        <v>0</v>
      </c>
      <c r="Q2092" s="26">
        <f t="shared" si="1842"/>
        <v>5760000</v>
      </c>
      <c r="R2092" s="209"/>
      <c r="S2092" s="116"/>
      <c r="T2092" s="50">
        <f>T776</f>
        <v>0</v>
      </c>
      <c r="W2092" s="608">
        <f t="shared" si="1730"/>
        <v>5760000</v>
      </c>
      <c r="X2092" s="608">
        <f t="shared" si="1731"/>
        <v>0</v>
      </c>
      <c r="Y2092" s="572" t="s">
        <v>1512</v>
      </c>
      <c r="Z2092" s="572">
        <f t="shared" si="1763"/>
        <v>5760</v>
      </c>
      <c r="AA2092" s="1">
        <f t="shared" si="1764"/>
        <v>0</v>
      </c>
    </row>
    <row r="2093" spans="1:27" x14ac:dyDescent="0.2">
      <c r="A2093" s="20" t="str">
        <f>A777</f>
        <v>5.9.1.1 Renforcement des moyen des déplacements</v>
      </c>
      <c r="B2093" s="46"/>
      <c r="C2093" s="386">
        <f>C777</f>
        <v>0</v>
      </c>
      <c r="D2093" s="168">
        <f t="shared" si="1720"/>
        <v>0</v>
      </c>
      <c r="E2093" s="168">
        <f t="shared" si="1721"/>
        <v>3135</v>
      </c>
      <c r="F2093" s="168">
        <f t="shared" si="1722"/>
        <v>2625</v>
      </c>
      <c r="G2093" s="168">
        <f t="shared" si="1723"/>
        <v>0</v>
      </c>
      <c r="H2093" s="168">
        <f t="shared" si="1724"/>
        <v>0</v>
      </c>
      <c r="I2093" s="166">
        <f t="shared" si="1725"/>
        <v>5760</v>
      </c>
      <c r="J2093" s="371" t="str">
        <f t="shared" si="1726"/>
        <v>EPS-IG</v>
      </c>
      <c r="K2093" s="350" t="str">
        <f t="shared" si="1727"/>
        <v>ND</v>
      </c>
      <c r="L2093" s="37">
        <f t="shared" ref="L2093:Q2093" si="1843">L777</f>
        <v>0</v>
      </c>
      <c r="M2093" s="36">
        <f t="shared" si="1843"/>
        <v>3135000</v>
      </c>
      <c r="N2093" s="36">
        <f t="shared" si="1843"/>
        <v>2625000</v>
      </c>
      <c r="O2093" s="36">
        <f t="shared" si="1843"/>
        <v>0</v>
      </c>
      <c r="P2093" s="36">
        <f t="shared" si="1843"/>
        <v>0</v>
      </c>
      <c r="Q2093" s="27">
        <f t="shared" si="1843"/>
        <v>5760000</v>
      </c>
      <c r="R2093" s="198" t="str">
        <f t="shared" ref="R2093:S2093" si="1844">R777</f>
        <v>EPS-IG</v>
      </c>
      <c r="S2093" s="115" t="str">
        <f t="shared" si="1844"/>
        <v>ND</v>
      </c>
      <c r="T2093" s="51">
        <f>T777</f>
        <v>0</v>
      </c>
      <c r="W2093" s="608">
        <f t="shared" si="1730"/>
        <v>5760000</v>
      </c>
      <c r="X2093" s="608">
        <f t="shared" si="1731"/>
        <v>0</v>
      </c>
      <c r="Y2093" s="572" t="s">
        <v>1512</v>
      </c>
      <c r="Z2093" s="572">
        <f t="shared" si="1763"/>
        <v>5760</v>
      </c>
      <c r="AA2093" s="1">
        <f t="shared" si="1764"/>
        <v>0</v>
      </c>
    </row>
    <row r="2094" spans="1:27" x14ac:dyDescent="0.2">
      <c r="A2094" s="17" t="str">
        <f>A781</f>
        <v>5.9.2 Primes d'itinérance</v>
      </c>
      <c r="B2094" s="45"/>
      <c r="C2094" s="386">
        <f>C781</f>
        <v>0</v>
      </c>
      <c r="D2094" s="157">
        <f t="shared" si="1720"/>
        <v>0</v>
      </c>
      <c r="E2094" s="157">
        <f t="shared" si="1721"/>
        <v>0</v>
      </c>
      <c r="F2094" s="157">
        <f t="shared" si="1722"/>
        <v>2100</v>
      </c>
      <c r="G2094" s="157">
        <f t="shared" si="1723"/>
        <v>2100</v>
      </c>
      <c r="H2094" s="157">
        <f t="shared" si="1724"/>
        <v>2100</v>
      </c>
      <c r="I2094" s="160">
        <f t="shared" si="1725"/>
        <v>6300</v>
      </c>
      <c r="J2094" s="374">
        <f t="shared" si="1726"/>
        <v>0</v>
      </c>
      <c r="K2094" s="348">
        <f t="shared" si="1727"/>
        <v>0</v>
      </c>
      <c r="L2094" s="35">
        <f t="shared" ref="L2094:Q2094" si="1845">L2095</f>
        <v>0</v>
      </c>
      <c r="M2094" s="34">
        <f t="shared" si="1845"/>
        <v>0</v>
      </c>
      <c r="N2094" s="34">
        <f t="shared" si="1845"/>
        <v>2100000</v>
      </c>
      <c r="O2094" s="34">
        <f t="shared" si="1845"/>
        <v>2100000</v>
      </c>
      <c r="P2094" s="34">
        <f t="shared" si="1845"/>
        <v>2100000</v>
      </c>
      <c r="Q2094" s="26">
        <f t="shared" si="1845"/>
        <v>6300000</v>
      </c>
      <c r="R2094" s="209"/>
      <c r="S2094" s="116"/>
      <c r="T2094" s="50">
        <f>T781</f>
        <v>0</v>
      </c>
      <c r="W2094" s="608">
        <f t="shared" si="1730"/>
        <v>6300000</v>
      </c>
      <c r="X2094" s="608">
        <f t="shared" si="1731"/>
        <v>0</v>
      </c>
      <c r="Y2094" s="572" t="s">
        <v>1512</v>
      </c>
      <c r="Z2094" s="572">
        <f t="shared" si="1763"/>
        <v>6300</v>
      </c>
      <c r="AA2094" s="1">
        <f t="shared" si="1764"/>
        <v>0</v>
      </c>
    </row>
    <row r="2095" spans="1:27" x14ac:dyDescent="0.2">
      <c r="A2095" s="20" t="str">
        <f>A782</f>
        <v>5.9.2.1 Assurer l'encadrement pédagogique et administratifs des écoles</v>
      </c>
      <c r="B2095" s="46"/>
      <c r="C2095" s="386" t="str">
        <f>C782</f>
        <v>A partir de 2018, tous les inspecteurs perçoivent la prime d'itinérance</v>
      </c>
      <c r="D2095" s="168">
        <f t="shared" si="1720"/>
        <v>0</v>
      </c>
      <c r="E2095" s="168">
        <f t="shared" si="1721"/>
        <v>0</v>
      </c>
      <c r="F2095" s="168">
        <f t="shared" si="1722"/>
        <v>2100</v>
      </c>
      <c r="G2095" s="168">
        <f t="shared" si="1723"/>
        <v>2100</v>
      </c>
      <c r="H2095" s="168">
        <f t="shared" si="1724"/>
        <v>2100</v>
      </c>
      <c r="I2095" s="166">
        <f t="shared" si="1725"/>
        <v>6300</v>
      </c>
      <c r="J2095" s="371" t="str">
        <f t="shared" si="1726"/>
        <v>EPS-IG</v>
      </c>
      <c r="K2095" s="350" t="str">
        <f t="shared" si="1727"/>
        <v>GVT</v>
      </c>
      <c r="L2095" s="37">
        <f t="shared" ref="L2095:Q2095" si="1846">L782</f>
        <v>0</v>
      </c>
      <c r="M2095" s="36">
        <f t="shared" si="1846"/>
        <v>0</v>
      </c>
      <c r="N2095" s="36">
        <f t="shared" si="1846"/>
        <v>2100000</v>
      </c>
      <c r="O2095" s="36">
        <f t="shared" si="1846"/>
        <v>2100000</v>
      </c>
      <c r="P2095" s="36">
        <f t="shared" si="1846"/>
        <v>2100000</v>
      </c>
      <c r="Q2095" s="27">
        <f t="shared" si="1846"/>
        <v>6300000</v>
      </c>
      <c r="R2095" s="198" t="str">
        <f t="shared" ref="R2095:S2095" si="1847">R782</f>
        <v>EPS-IG</v>
      </c>
      <c r="S2095" s="115" t="str">
        <f t="shared" si="1847"/>
        <v>GVT</v>
      </c>
      <c r="T2095" s="51">
        <f>T782</f>
        <v>0</v>
      </c>
      <c r="W2095" s="608">
        <f t="shared" si="1730"/>
        <v>6300000</v>
      </c>
      <c r="X2095" s="608">
        <f t="shared" si="1731"/>
        <v>0</v>
      </c>
      <c r="Y2095" s="572" t="s">
        <v>1512</v>
      </c>
      <c r="Z2095" s="572">
        <f t="shared" si="1763"/>
        <v>6300</v>
      </c>
      <c r="AA2095" s="1">
        <f t="shared" si="1764"/>
        <v>0</v>
      </c>
    </row>
    <row r="2096" spans="1:27" x14ac:dyDescent="0.2">
      <c r="A2096" s="17" t="str">
        <f>A784</f>
        <v>5.9.3 Moyens informatiques</v>
      </c>
      <c r="B2096" s="45"/>
      <c r="C2096" s="386">
        <f>C784</f>
        <v>0</v>
      </c>
      <c r="D2096" s="157">
        <f t="shared" si="1720"/>
        <v>0</v>
      </c>
      <c r="E2096" s="157">
        <f t="shared" si="1721"/>
        <v>875</v>
      </c>
      <c r="F2096" s="157">
        <f t="shared" si="1722"/>
        <v>875</v>
      </c>
      <c r="G2096" s="157">
        <f t="shared" si="1723"/>
        <v>0</v>
      </c>
      <c r="H2096" s="157">
        <f t="shared" si="1724"/>
        <v>0</v>
      </c>
      <c r="I2096" s="160">
        <f t="shared" si="1725"/>
        <v>1750</v>
      </c>
      <c r="J2096" s="374">
        <f t="shared" si="1726"/>
        <v>0</v>
      </c>
      <c r="K2096" s="348">
        <f t="shared" si="1727"/>
        <v>0</v>
      </c>
      <c r="L2096" s="35">
        <f t="shared" ref="L2096:Q2096" si="1848">L2097</f>
        <v>0</v>
      </c>
      <c r="M2096" s="34">
        <f t="shared" si="1848"/>
        <v>875000</v>
      </c>
      <c r="N2096" s="34">
        <f t="shared" si="1848"/>
        <v>875000</v>
      </c>
      <c r="O2096" s="34">
        <f t="shared" si="1848"/>
        <v>0</v>
      </c>
      <c r="P2096" s="34">
        <f t="shared" si="1848"/>
        <v>0</v>
      </c>
      <c r="Q2096" s="26">
        <f t="shared" si="1848"/>
        <v>1750000</v>
      </c>
      <c r="R2096" s="209"/>
      <c r="S2096" s="116"/>
      <c r="T2096" s="50">
        <f>T784</f>
        <v>0</v>
      </c>
      <c r="W2096" s="608">
        <f t="shared" si="1730"/>
        <v>1750000</v>
      </c>
      <c r="X2096" s="608">
        <f t="shared" si="1731"/>
        <v>0</v>
      </c>
      <c r="Y2096" s="572" t="s">
        <v>1512</v>
      </c>
      <c r="Z2096" s="572">
        <f t="shared" si="1763"/>
        <v>1750</v>
      </c>
      <c r="AA2096" s="1">
        <f t="shared" si="1764"/>
        <v>0</v>
      </c>
    </row>
    <row r="2097" spans="1:27" x14ac:dyDescent="0.2">
      <c r="A2097" s="20" t="str">
        <f>A785</f>
        <v>5.9.3.1 Équipement des inspecteurs en ordinateurs portables</v>
      </c>
      <c r="B2097" s="46"/>
      <c r="C2097" s="386" t="str">
        <f>C785</f>
        <v>à partir de 2018, tous les inspecteurs sont équipés avec un ordinateur portable</v>
      </c>
      <c r="D2097" s="168">
        <f t="shared" si="1720"/>
        <v>0</v>
      </c>
      <c r="E2097" s="168">
        <f t="shared" si="1721"/>
        <v>875</v>
      </c>
      <c r="F2097" s="168">
        <f t="shared" si="1722"/>
        <v>875</v>
      </c>
      <c r="G2097" s="168">
        <f t="shared" si="1723"/>
        <v>0</v>
      </c>
      <c r="H2097" s="168">
        <f t="shared" si="1724"/>
        <v>0</v>
      </c>
      <c r="I2097" s="166">
        <f t="shared" si="1725"/>
        <v>1750</v>
      </c>
      <c r="J2097" s="371" t="str">
        <f t="shared" si="1726"/>
        <v>EPS-IG</v>
      </c>
      <c r="K2097" s="350" t="str">
        <f t="shared" si="1727"/>
        <v>ND</v>
      </c>
      <c r="L2097" s="37">
        <f t="shared" ref="L2097:Q2097" si="1849">L785</f>
        <v>0</v>
      </c>
      <c r="M2097" s="36">
        <f t="shared" si="1849"/>
        <v>875000</v>
      </c>
      <c r="N2097" s="36">
        <f t="shared" si="1849"/>
        <v>875000</v>
      </c>
      <c r="O2097" s="36">
        <f t="shared" si="1849"/>
        <v>0</v>
      </c>
      <c r="P2097" s="36">
        <f t="shared" si="1849"/>
        <v>0</v>
      </c>
      <c r="Q2097" s="27">
        <f t="shared" si="1849"/>
        <v>1750000</v>
      </c>
      <c r="R2097" s="198" t="str">
        <f t="shared" ref="R2097:S2097" si="1850">R785</f>
        <v>EPS-IG</v>
      </c>
      <c r="S2097" s="115" t="str">
        <f t="shared" si="1850"/>
        <v>ND</v>
      </c>
      <c r="T2097" s="51">
        <f>T785</f>
        <v>0</v>
      </c>
      <c r="W2097" s="608">
        <f t="shared" si="1730"/>
        <v>1750000</v>
      </c>
      <c r="X2097" s="608">
        <f t="shared" si="1731"/>
        <v>0</v>
      </c>
      <c r="Y2097" s="572" t="s">
        <v>1512</v>
      </c>
      <c r="Z2097" s="572">
        <f t="shared" si="1763"/>
        <v>1750</v>
      </c>
      <c r="AA2097" s="1">
        <f t="shared" si="1764"/>
        <v>0</v>
      </c>
    </row>
    <row r="2098" spans="1:27" x14ac:dyDescent="0.2">
      <c r="A2098" s="14" t="str">
        <f>A787</f>
        <v>5.10 Technologies de l'information : apporter les équipements informatiques et de communication</v>
      </c>
      <c r="B2098" s="44"/>
      <c r="C2098" s="385">
        <f>C787</f>
        <v>0</v>
      </c>
      <c r="D2098" s="217">
        <f t="shared" si="1720"/>
        <v>0</v>
      </c>
      <c r="E2098" s="217">
        <f t="shared" si="1721"/>
        <v>0</v>
      </c>
      <c r="F2098" s="217">
        <f t="shared" si="1722"/>
        <v>5383</v>
      </c>
      <c r="G2098" s="217">
        <f t="shared" si="1723"/>
        <v>4727</v>
      </c>
      <c r="H2098" s="217">
        <f t="shared" si="1724"/>
        <v>4727</v>
      </c>
      <c r="I2098" s="220">
        <f t="shared" si="1725"/>
        <v>14837</v>
      </c>
      <c r="J2098" s="373">
        <f t="shared" si="1726"/>
        <v>0</v>
      </c>
      <c r="K2098" s="346">
        <f t="shared" si="1727"/>
        <v>0</v>
      </c>
      <c r="L2098" s="33">
        <f t="shared" ref="L2098:Q2098" si="1851">L2099+L2101</f>
        <v>0</v>
      </c>
      <c r="M2098" s="32">
        <f t="shared" si="1851"/>
        <v>0</v>
      </c>
      <c r="N2098" s="32">
        <f t="shared" si="1851"/>
        <v>5383000</v>
      </c>
      <c r="O2098" s="32">
        <f t="shared" si="1851"/>
        <v>4727000</v>
      </c>
      <c r="P2098" s="32">
        <f t="shared" si="1851"/>
        <v>4727000</v>
      </c>
      <c r="Q2098" s="25">
        <f t="shared" si="1851"/>
        <v>14837000</v>
      </c>
      <c r="R2098" s="515">
        <f t="shared" ref="R2098:S2098" si="1852">R2099+R2101</f>
        <v>0</v>
      </c>
      <c r="S2098" s="145">
        <f t="shared" si="1852"/>
        <v>0</v>
      </c>
      <c r="T2098" s="49">
        <f>T787</f>
        <v>3</v>
      </c>
      <c r="W2098" s="608">
        <f t="shared" si="1730"/>
        <v>14837000</v>
      </c>
      <c r="X2098" s="608">
        <f t="shared" si="1731"/>
        <v>0</v>
      </c>
      <c r="Z2098" s="572">
        <f t="shared" si="1763"/>
        <v>0</v>
      </c>
      <c r="AA2098" s="1">
        <f t="shared" si="1764"/>
        <v>0</v>
      </c>
    </row>
    <row r="2099" spans="1:27" x14ac:dyDescent="0.2">
      <c r="A2099" s="17" t="str">
        <f>A788</f>
        <v>5.10.1 Matériel informatique</v>
      </c>
      <c r="B2099" s="45"/>
      <c r="C2099" s="386">
        <f>C788</f>
        <v>0</v>
      </c>
      <c r="D2099" s="157">
        <f t="shared" si="1720"/>
        <v>0</v>
      </c>
      <c r="E2099" s="157">
        <f t="shared" si="1721"/>
        <v>0</v>
      </c>
      <c r="F2099" s="157">
        <f t="shared" si="1722"/>
        <v>2445</v>
      </c>
      <c r="G2099" s="157">
        <f t="shared" si="1723"/>
        <v>2445</v>
      </c>
      <c r="H2099" s="157">
        <f t="shared" si="1724"/>
        <v>2445</v>
      </c>
      <c r="I2099" s="160">
        <f t="shared" si="1725"/>
        <v>7335</v>
      </c>
      <c r="J2099" s="374">
        <f t="shared" si="1726"/>
        <v>0</v>
      </c>
      <c r="K2099" s="348">
        <f t="shared" si="1727"/>
        <v>0</v>
      </c>
      <c r="L2099" s="35">
        <f t="shared" ref="L2099:S2099" si="1853">SUM(L2100:L2100)</f>
        <v>0</v>
      </c>
      <c r="M2099" s="34">
        <f t="shared" si="1853"/>
        <v>0</v>
      </c>
      <c r="N2099" s="34">
        <f t="shared" si="1853"/>
        <v>2445000</v>
      </c>
      <c r="O2099" s="34">
        <f t="shared" si="1853"/>
        <v>2445000</v>
      </c>
      <c r="P2099" s="34">
        <f t="shared" si="1853"/>
        <v>2445000</v>
      </c>
      <c r="Q2099" s="26">
        <f t="shared" si="1853"/>
        <v>7335000</v>
      </c>
      <c r="R2099" s="209">
        <f t="shared" si="1853"/>
        <v>0</v>
      </c>
      <c r="S2099" s="116">
        <f t="shared" si="1853"/>
        <v>0</v>
      </c>
      <c r="T2099" s="50">
        <f>T788</f>
        <v>0</v>
      </c>
      <c r="W2099" s="608">
        <f t="shared" si="1730"/>
        <v>7335000</v>
      </c>
      <c r="X2099" s="608">
        <f t="shared" si="1731"/>
        <v>0</v>
      </c>
      <c r="Z2099" s="572">
        <f t="shared" si="1763"/>
        <v>0</v>
      </c>
      <c r="AA2099" s="1">
        <f t="shared" si="1764"/>
        <v>0</v>
      </c>
    </row>
    <row r="2100" spans="1:27" x14ac:dyDescent="0.2">
      <c r="A2100" s="20" t="str">
        <f>A789</f>
        <v>5.10.1.1 Équipement des lycées en kit informatique</v>
      </c>
      <c r="B2100" s="46"/>
      <c r="C2100" s="386" t="str">
        <f>C789</f>
        <v>En 2025, tous les établissements sont équipés en ordinateur</v>
      </c>
      <c r="D2100" s="168">
        <f t="shared" si="1720"/>
        <v>0</v>
      </c>
      <c r="E2100" s="168">
        <f t="shared" si="1721"/>
        <v>0</v>
      </c>
      <c r="F2100" s="168">
        <f t="shared" si="1722"/>
        <v>2445</v>
      </c>
      <c r="G2100" s="168">
        <f t="shared" si="1723"/>
        <v>2445</v>
      </c>
      <c r="H2100" s="168">
        <f t="shared" si="1724"/>
        <v>2445</v>
      </c>
      <c r="I2100" s="166">
        <f t="shared" si="1725"/>
        <v>7335</v>
      </c>
      <c r="J2100" s="371" t="str">
        <f t="shared" si="1726"/>
        <v>EPS</v>
      </c>
      <c r="K2100" s="350">
        <f t="shared" si="1727"/>
        <v>0</v>
      </c>
      <c r="L2100" s="37">
        <f t="shared" ref="L2100:Q2100" si="1854">L789</f>
        <v>0</v>
      </c>
      <c r="M2100" s="36">
        <f t="shared" si="1854"/>
        <v>0</v>
      </c>
      <c r="N2100" s="36">
        <f t="shared" si="1854"/>
        <v>2445000</v>
      </c>
      <c r="O2100" s="36">
        <f t="shared" si="1854"/>
        <v>2445000</v>
      </c>
      <c r="P2100" s="36">
        <f t="shared" si="1854"/>
        <v>2445000</v>
      </c>
      <c r="Q2100" s="27">
        <f t="shared" si="1854"/>
        <v>7335000</v>
      </c>
      <c r="R2100" s="198" t="str">
        <f t="shared" ref="R2100:S2100" si="1855">R789</f>
        <v>EPS</v>
      </c>
      <c r="S2100" s="115">
        <f t="shared" si="1855"/>
        <v>0</v>
      </c>
      <c r="T2100" s="51">
        <f>T789</f>
        <v>0</v>
      </c>
      <c r="W2100" s="608">
        <f t="shared" si="1730"/>
        <v>7335000</v>
      </c>
      <c r="X2100" s="608">
        <f t="shared" si="1731"/>
        <v>0</v>
      </c>
      <c r="Z2100" s="572">
        <f t="shared" si="1763"/>
        <v>0</v>
      </c>
      <c r="AA2100" s="1">
        <f t="shared" si="1764"/>
        <v>0</v>
      </c>
    </row>
    <row r="2101" spans="1:27" x14ac:dyDescent="0.2">
      <c r="A2101" s="17" t="str">
        <f>A791</f>
        <v>5.10.2 Connexions internet</v>
      </c>
      <c r="B2101" s="45"/>
      <c r="C2101" s="386">
        <f>C791</f>
        <v>0</v>
      </c>
      <c r="D2101" s="157">
        <f t="shared" si="1720"/>
        <v>0</v>
      </c>
      <c r="E2101" s="157">
        <f t="shared" si="1721"/>
        <v>0</v>
      </c>
      <c r="F2101" s="157">
        <f t="shared" si="1722"/>
        <v>2938</v>
      </c>
      <c r="G2101" s="157">
        <f t="shared" si="1723"/>
        <v>2282</v>
      </c>
      <c r="H2101" s="157">
        <f t="shared" si="1724"/>
        <v>2282</v>
      </c>
      <c r="I2101" s="160">
        <f t="shared" si="1725"/>
        <v>7502</v>
      </c>
      <c r="J2101" s="374">
        <f t="shared" si="1726"/>
        <v>0</v>
      </c>
      <c r="K2101" s="348">
        <f t="shared" si="1727"/>
        <v>0</v>
      </c>
      <c r="L2101" s="35">
        <f t="shared" ref="L2101:S2101" si="1856">SUM(L2102:L2102)</f>
        <v>0</v>
      </c>
      <c r="M2101" s="34">
        <f t="shared" si="1856"/>
        <v>0</v>
      </c>
      <c r="N2101" s="34">
        <f t="shared" si="1856"/>
        <v>2938000</v>
      </c>
      <c r="O2101" s="34">
        <f t="shared" si="1856"/>
        <v>2282000</v>
      </c>
      <c r="P2101" s="34">
        <f t="shared" si="1856"/>
        <v>2282000</v>
      </c>
      <c r="Q2101" s="26">
        <f t="shared" si="1856"/>
        <v>7502000</v>
      </c>
      <c r="R2101" s="209">
        <f t="shared" si="1856"/>
        <v>0</v>
      </c>
      <c r="S2101" s="116">
        <f t="shared" si="1856"/>
        <v>0</v>
      </c>
      <c r="T2101" s="50">
        <f>T791</f>
        <v>0</v>
      </c>
      <c r="W2101" s="608">
        <f t="shared" si="1730"/>
        <v>7502000</v>
      </c>
      <c r="X2101" s="608">
        <f t="shared" si="1731"/>
        <v>0</v>
      </c>
      <c r="Z2101" s="572">
        <f t="shared" si="1763"/>
        <v>0</v>
      </c>
      <c r="AA2101" s="1">
        <f t="shared" si="1764"/>
        <v>0</v>
      </c>
    </row>
    <row r="2102" spans="1:27" x14ac:dyDescent="0.2">
      <c r="A2102" s="20" t="str">
        <f>A792</f>
        <v>5.10.2.1 Assurer la connexion à internet</v>
      </c>
      <c r="B2102" s="149"/>
      <c r="C2102" s="386" t="str">
        <f>C792</f>
        <v>En 2025, tous les établissements ont accès à internet</v>
      </c>
      <c r="D2102" s="168">
        <f t="shared" si="1720"/>
        <v>0</v>
      </c>
      <c r="E2102" s="168">
        <f t="shared" si="1721"/>
        <v>0</v>
      </c>
      <c r="F2102" s="168">
        <f t="shared" si="1722"/>
        <v>2938</v>
      </c>
      <c r="G2102" s="168">
        <f t="shared" si="1723"/>
        <v>2282</v>
      </c>
      <c r="H2102" s="168">
        <f t="shared" si="1724"/>
        <v>2282</v>
      </c>
      <c r="I2102" s="166">
        <f t="shared" si="1725"/>
        <v>7502</v>
      </c>
      <c r="J2102" s="371" t="str">
        <f t="shared" si="1726"/>
        <v>EPS-DEP</v>
      </c>
      <c r="K2102" s="350" t="str">
        <f t="shared" si="1727"/>
        <v>BM/UNESCO</v>
      </c>
      <c r="L2102" s="167">
        <f t="shared" ref="L2102:Q2102" si="1857">L792</f>
        <v>0</v>
      </c>
      <c r="M2102" s="168">
        <f t="shared" si="1857"/>
        <v>0</v>
      </c>
      <c r="N2102" s="168">
        <f t="shared" si="1857"/>
        <v>2938000</v>
      </c>
      <c r="O2102" s="168">
        <f t="shared" si="1857"/>
        <v>2282000</v>
      </c>
      <c r="P2102" s="168">
        <f t="shared" si="1857"/>
        <v>2282000</v>
      </c>
      <c r="Q2102" s="165">
        <f t="shared" si="1857"/>
        <v>7502000</v>
      </c>
      <c r="R2102" s="198" t="str">
        <f t="shared" ref="R2102:S2102" si="1858">R792</f>
        <v>EPS-DEP</v>
      </c>
      <c r="S2102" s="115" t="str">
        <f t="shared" si="1858"/>
        <v>BM/UNESCO</v>
      </c>
      <c r="T2102" s="51">
        <f>T792</f>
        <v>0</v>
      </c>
      <c r="W2102" s="608">
        <f t="shared" si="1730"/>
        <v>7502000</v>
      </c>
      <c r="X2102" s="608">
        <f t="shared" si="1731"/>
        <v>0</v>
      </c>
      <c r="Z2102" s="572">
        <f t="shared" si="1763"/>
        <v>0</v>
      </c>
      <c r="AA2102" s="1">
        <f t="shared" si="1764"/>
        <v>0</v>
      </c>
    </row>
    <row r="2103" spans="1:27" x14ac:dyDescent="0.2">
      <c r="A2103" s="11" t="str">
        <f>A795</f>
        <v>6. Enseignement technique et formation professionnelle : apporter les qualifications nécessaires à l'économie nationale</v>
      </c>
      <c r="B2103" s="13"/>
      <c r="C2103" s="391">
        <f>C795</f>
        <v>0</v>
      </c>
      <c r="D2103" s="339">
        <f t="shared" si="1720"/>
        <v>87653.27</v>
      </c>
      <c r="E2103" s="339">
        <f t="shared" si="1721"/>
        <v>80497.460000000006</v>
      </c>
      <c r="F2103" s="339">
        <f t="shared" si="1722"/>
        <v>96670.97</v>
      </c>
      <c r="G2103" s="339">
        <f t="shared" si="1723"/>
        <v>83354.429999999993</v>
      </c>
      <c r="H2103" s="339">
        <f t="shared" si="1724"/>
        <v>102857.3</v>
      </c>
      <c r="I2103" s="375">
        <f t="shared" si="1725"/>
        <v>451033.43</v>
      </c>
      <c r="J2103" s="372">
        <f t="shared" si="1726"/>
        <v>0</v>
      </c>
      <c r="K2103" s="344">
        <f t="shared" si="1727"/>
        <v>0</v>
      </c>
      <c r="L2103" s="30">
        <f t="shared" ref="L2103:Q2103" si="1859">L2104+L2120+L2127+L2133+L2145+L2156+L2165</f>
        <v>87653270</v>
      </c>
      <c r="M2103" s="29">
        <f t="shared" si="1859"/>
        <v>80497460</v>
      </c>
      <c r="N2103" s="29">
        <f t="shared" si="1859"/>
        <v>96670970</v>
      </c>
      <c r="O2103" s="29">
        <f t="shared" si="1859"/>
        <v>83354430</v>
      </c>
      <c r="P2103" s="29">
        <f t="shared" si="1859"/>
        <v>102857300</v>
      </c>
      <c r="Q2103" s="24">
        <f t="shared" si="1859"/>
        <v>451033430</v>
      </c>
      <c r="R2103" s="516"/>
      <c r="S2103" s="177"/>
      <c r="T2103" s="48">
        <f>T795</f>
        <v>0</v>
      </c>
      <c r="U2103" s="653">
        <f>+Q2103+U$2033</f>
        <v>5692342122.3515062</v>
      </c>
      <c r="W2103" s="608">
        <f t="shared" si="1730"/>
        <v>451033430</v>
      </c>
      <c r="X2103" s="608">
        <f t="shared" si="1731"/>
        <v>0</v>
      </c>
      <c r="Z2103" s="572">
        <f t="shared" si="1763"/>
        <v>0</v>
      </c>
      <c r="AA2103" s="1">
        <f t="shared" si="1764"/>
        <v>0</v>
      </c>
    </row>
    <row r="2104" spans="1:27" x14ac:dyDescent="0.2">
      <c r="A2104" s="14" t="str">
        <f>A796</f>
        <v>6.1 Réorganisation de l'offre de l'ETFP : améliorer et rendre plus équitable et pertinente l'offre d'ETFP</v>
      </c>
      <c r="B2104" s="44"/>
      <c r="C2104" s="385">
        <f>C813</f>
        <v>0</v>
      </c>
      <c r="D2104" s="217">
        <f t="shared" si="1720"/>
        <v>12470.5</v>
      </c>
      <c r="E2104" s="217">
        <f t="shared" si="1721"/>
        <v>12458.5</v>
      </c>
      <c r="F2104" s="217">
        <f t="shared" si="1722"/>
        <v>12419.5</v>
      </c>
      <c r="G2104" s="217">
        <f t="shared" si="1723"/>
        <v>5458.5</v>
      </c>
      <c r="H2104" s="217">
        <f t="shared" si="1724"/>
        <v>5419.5</v>
      </c>
      <c r="I2104" s="220">
        <f t="shared" si="1725"/>
        <v>48226.5</v>
      </c>
      <c r="J2104" s="373">
        <f t="shared" si="1726"/>
        <v>0</v>
      </c>
      <c r="K2104" s="346">
        <f t="shared" si="1727"/>
        <v>0</v>
      </c>
      <c r="L2104" s="33">
        <f t="shared" ref="L2104:Q2104" si="1860">L2105+L2107+L2109+L2111+L2113+L2115+L2117</f>
        <v>12470500</v>
      </c>
      <c r="M2104" s="32">
        <f t="shared" si="1860"/>
        <v>12458500</v>
      </c>
      <c r="N2104" s="32">
        <f t="shared" si="1860"/>
        <v>12419500</v>
      </c>
      <c r="O2104" s="32">
        <f t="shared" si="1860"/>
        <v>5458500</v>
      </c>
      <c r="P2104" s="32">
        <f t="shared" si="1860"/>
        <v>5419500</v>
      </c>
      <c r="Q2104" s="25">
        <f t="shared" si="1860"/>
        <v>48226500</v>
      </c>
      <c r="R2104" s="517">
        <f t="shared" ref="R2104:S2104" si="1861">R2105+R2107+R2109+R2111+R2113+R2115+R2117</f>
        <v>0</v>
      </c>
      <c r="S2104" s="179">
        <f t="shared" si="1861"/>
        <v>0</v>
      </c>
      <c r="T2104" s="49">
        <f>T796</f>
        <v>1</v>
      </c>
      <c r="W2104" s="608">
        <f t="shared" si="1730"/>
        <v>48226500</v>
      </c>
      <c r="X2104" s="608">
        <f t="shared" si="1731"/>
        <v>0</v>
      </c>
      <c r="Z2104" s="572">
        <f t="shared" si="1763"/>
        <v>0</v>
      </c>
      <c r="AA2104" s="1">
        <f t="shared" si="1764"/>
        <v>0</v>
      </c>
    </row>
    <row r="2105" spans="1:27" x14ac:dyDescent="0.2">
      <c r="A2105" s="17" t="str">
        <f>A797</f>
        <v>6.1.1 Identification des besoins de qualification</v>
      </c>
      <c r="B2105" s="45"/>
      <c r="C2105" s="387" t="str">
        <f>C797</f>
        <v>Les filières obsolètes et les filières à créer sont identifiées</v>
      </c>
      <c r="D2105" s="157">
        <f t="shared" si="1720"/>
        <v>37</v>
      </c>
      <c r="E2105" s="157">
        <f t="shared" si="1721"/>
        <v>0</v>
      </c>
      <c r="F2105" s="157">
        <f t="shared" si="1722"/>
        <v>0</v>
      </c>
      <c r="G2105" s="157">
        <f t="shared" si="1723"/>
        <v>0</v>
      </c>
      <c r="H2105" s="157">
        <f t="shared" si="1724"/>
        <v>0</v>
      </c>
      <c r="I2105" s="160">
        <f t="shared" si="1725"/>
        <v>37</v>
      </c>
      <c r="J2105" s="374">
        <f t="shared" si="1726"/>
        <v>0</v>
      </c>
      <c r="K2105" s="348">
        <f t="shared" si="1727"/>
        <v>0</v>
      </c>
      <c r="L2105" s="35">
        <f t="shared" ref="L2105:S2105" si="1862">SUM(L2106:L2106)</f>
        <v>37000</v>
      </c>
      <c r="M2105" s="34">
        <f t="shared" si="1862"/>
        <v>0</v>
      </c>
      <c r="N2105" s="34">
        <f t="shared" si="1862"/>
        <v>0</v>
      </c>
      <c r="O2105" s="34">
        <f t="shared" si="1862"/>
        <v>0</v>
      </c>
      <c r="P2105" s="34">
        <f t="shared" si="1862"/>
        <v>0</v>
      </c>
      <c r="Q2105" s="26">
        <f t="shared" si="1862"/>
        <v>37000</v>
      </c>
      <c r="R2105" s="518">
        <f t="shared" si="1862"/>
        <v>0</v>
      </c>
      <c r="S2105" s="181">
        <f t="shared" si="1862"/>
        <v>0</v>
      </c>
      <c r="T2105" s="50">
        <f>T797</f>
        <v>0</v>
      </c>
      <c r="W2105" s="608">
        <f t="shared" si="1730"/>
        <v>37000</v>
      </c>
      <c r="X2105" s="608">
        <f t="shared" si="1731"/>
        <v>0</v>
      </c>
      <c r="Z2105" s="572">
        <f t="shared" si="1763"/>
        <v>0</v>
      </c>
      <c r="AA2105" s="1">
        <f t="shared" si="1764"/>
        <v>0</v>
      </c>
    </row>
    <row r="2106" spans="1:27" x14ac:dyDescent="0.2">
      <c r="A2106" s="20" t="str">
        <f>A798</f>
        <v>6.1.1.1 Étude sur les filières obsolètes et porteuses d'emploi</v>
      </c>
      <c r="B2106" s="46"/>
      <c r="C2106" s="386">
        <f>C798</f>
        <v>0</v>
      </c>
      <c r="D2106" s="168">
        <f t="shared" si="1720"/>
        <v>37</v>
      </c>
      <c r="E2106" s="168">
        <f t="shared" si="1721"/>
        <v>0</v>
      </c>
      <c r="F2106" s="168">
        <f t="shared" si="1722"/>
        <v>0</v>
      </c>
      <c r="G2106" s="168">
        <f t="shared" si="1723"/>
        <v>0</v>
      </c>
      <c r="H2106" s="168">
        <f t="shared" si="1724"/>
        <v>0</v>
      </c>
      <c r="I2106" s="166">
        <f t="shared" si="1725"/>
        <v>37</v>
      </c>
      <c r="J2106" s="371" t="str">
        <f t="shared" si="1726"/>
        <v>ETP-DEP-IG</v>
      </c>
      <c r="K2106" s="350" t="str">
        <f t="shared" si="1727"/>
        <v>ND</v>
      </c>
      <c r="L2106" s="167">
        <f t="shared" ref="L2106:Q2106" si="1863">L798</f>
        <v>37000</v>
      </c>
      <c r="M2106" s="168">
        <f t="shared" si="1863"/>
        <v>0</v>
      </c>
      <c r="N2106" s="168">
        <f t="shared" si="1863"/>
        <v>0</v>
      </c>
      <c r="O2106" s="168">
        <f t="shared" si="1863"/>
        <v>0</v>
      </c>
      <c r="P2106" s="168">
        <f t="shared" si="1863"/>
        <v>0</v>
      </c>
      <c r="Q2106" s="165">
        <f t="shared" si="1863"/>
        <v>37000</v>
      </c>
      <c r="R2106" s="205" t="str">
        <f t="shared" ref="R2106:S2106" si="1864">R798</f>
        <v>ETP-DEP-IG</v>
      </c>
      <c r="S2106" s="183" t="str">
        <f t="shared" si="1864"/>
        <v>ND</v>
      </c>
      <c r="T2106" s="51">
        <f>T798</f>
        <v>0</v>
      </c>
      <c r="W2106" s="608">
        <f t="shared" si="1730"/>
        <v>37000</v>
      </c>
      <c r="X2106" s="608">
        <f t="shared" si="1731"/>
        <v>0</v>
      </c>
      <c r="Z2106" s="572">
        <f t="shared" si="1763"/>
        <v>0</v>
      </c>
      <c r="AA2106" s="1">
        <f t="shared" si="1764"/>
        <v>0</v>
      </c>
    </row>
    <row r="2107" spans="1:27" x14ac:dyDescent="0.2">
      <c r="A2107" s="17" t="str">
        <f>A802</f>
        <v>6.1.2 Étude de redimensionnement des écoles et de faisabilité des nouvelles filières</v>
      </c>
      <c r="B2107" s="45"/>
      <c r="C2107" s="387" t="str">
        <f>C802</f>
        <v>études progressivement menées jusqu'en 2020,  pour déterminer les modalités de création</v>
      </c>
      <c r="D2107" s="157">
        <f t="shared" si="1720"/>
        <v>0</v>
      </c>
      <c r="E2107" s="157">
        <f t="shared" si="1721"/>
        <v>19.5</v>
      </c>
      <c r="F2107" s="157">
        <f t="shared" si="1722"/>
        <v>0</v>
      </c>
      <c r="G2107" s="157">
        <f t="shared" si="1723"/>
        <v>19.5</v>
      </c>
      <c r="H2107" s="157">
        <f t="shared" si="1724"/>
        <v>0</v>
      </c>
      <c r="I2107" s="160">
        <f t="shared" si="1725"/>
        <v>39</v>
      </c>
      <c r="J2107" s="374">
        <f t="shared" si="1726"/>
        <v>0</v>
      </c>
      <c r="K2107" s="348">
        <f t="shared" si="1727"/>
        <v>0</v>
      </c>
      <c r="L2107" s="35">
        <f t="shared" ref="L2107:S2107" si="1865">SUM(L2108:L2108)</f>
        <v>0</v>
      </c>
      <c r="M2107" s="34">
        <f t="shared" si="1865"/>
        <v>19500</v>
      </c>
      <c r="N2107" s="34">
        <f t="shared" si="1865"/>
        <v>0</v>
      </c>
      <c r="O2107" s="34">
        <f t="shared" si="1865"/>
        <v>19500</v>
      </c>
      <c r="P2107" s="34">
        <f t="shared" si="1865"/>
        <v>0</v>
      </c>
      <c r="Q2107" s="26">
        <f t="shared" si="1865"/>
        <v>39000</v>
      </c>
      <c r="R2107" s="518">
        <f t="shared" si="1865"/>
        <v>0</v>
      </c>
      <c r="S2107" s="181">
        <f t="shared" si="1865"/>
        <v>0</v>
      </c>
      <c r="T2107" s="50">
        <f>T802</f>
        <v>0</v>
      </c>
      <c r="W2107" s="608">
        <f t="shared" si="1730"/>
        <v>39000</v>
      </c>
      <c r="X2107" s="608">
        <f t="shared" si="1731"/>
        <v>0</v>
      </c>
      <c r="Z2107" s="572">
        <f t="shared" si="1763"/>
        <v>0</v>
      </c>
      <c r="AA2107" s="1">
        <f t="shared" si="1764"/>
        <v>0</v>
      </c>
    </row>
    <row r="2108" spans="1:27" x14ac:dyDescent="0.2">
      <c r="A2108" s="20" t="str">
        <f>A803</f>
        <v>6.1.2.1 Étude préalable à la mise en place des nouvelles filières</v>
      </c>
      <c r="B2108" s="46"/>
      <c r="C2108" s="386">
        <f>C803</f>
        <v>0</v>
      </c>
      <c r="D2108" s="168">
        <f t="shared" si="1720"/>
        <v>0</v>
      </c>
      <c r="E2108" s="168">
        <f t="shared" si="1721"/>
        <v>19.5</v>
      </c>
      <c r="F2108" s="168">
        <f t="shared" si="1722"/>
        <v>0</v>
      </c>
      <c r="G2108" s="168">
        <f t="shared" si="1723"/>
        <v>19.5</v>
      </c>
      <c r="H2108" s="168">
        <f t="shared" si="1724"/>
        <v>0</v>
      </c>
      <c r="I2108" s="166">
        <f t="shared" si="1725"/>
        <v>39</v>
      </c>
      <c r="J2108" s="371" t="str">
        <f t="shared" si="1726"/>
        <v>ETP-DEP</v>
      </c>
      <c r="K2108" s="350" t="str">
        <f t="shared" si="1727"/>
        <v>ND</v>
      </c>
      <c r="L2108" s="167">
        <f t="shared" ref="L2108:Q2108" si="1866">L803</f>
        <v>0</v>
      </c>
      <c r="M2108" s="168">
        <f t="shared" si="1866"/>
        <v>19500</v>
      </c>
      <c r="N2108" s="168">
        <f t="shared" si="1866"/>
        <v>0</v>
      </c>
      <c r="O2108" s="168">
        <f t="shared" si="1866"/>
        <v>19500</v>
      </c>
      <c r="P2108" s="168">
        <f t="shared" si="1866"/>
        <v>0</v>
      </c>
      <c r="Q2108" s="165">
        <f t="shared" si="1866"/>
        <v>39000</v>
      </c>
      <c r="R2108" s="205" t="str">
        <f t="shared" ref="R2108:S2108" si="1867">R803</f>
        <v>ETP-DEP</v>
      </c>
      <c r="S2108" s="183" t="str">
        <f t="shared" si="1867"/>
        <v>ND</v>
      </c>
      <c r="T2108" s="51">
        <f>T803</f>
        <v>0</v>
      </c>
      <c r="W2108" s="608">
        <f t="shared" si="1730"/>
        <v>39000</v>
      </c>
      <c r="X2108" s="608">
        <f t="shared" si="1731"/>
        <v>0</v>
      </c>
      <c r="Z2108" s="572">
        <f t="shared" si="1763"/>
        <v>0</v>
      </c>
      <c r="AA2108" s="1">
        <f t="shared" si="1764"/>
        <v>0</v>
      </c>
    </row>
    <row r="2109" spans="1:27" x14ac:dyDescent="0.2">
      <c r="A2109" s="17" t="str">
        <f>A807</f>
        <v>6.1.3 Définir les critères d'ouverture des nouvelles filières et leur répartition territoriale</v>
      </c>
      <c r="B2109" s="45"/>
      <c r="C2109" s="387" t="str">
        <f>C807</f>
        <v>Critères définis et dispositions règlementaires prises  pour 2017</v>
      </c>
      <c r="D2109" s="157">
        <f t="shared" si="1720"/>
        <v>0</v>
      </c>
      <c r="E2109" s="157">
        <f t="shared" si="1721"/>
        <v>19.5</v>
      </c>
      <c r="F2109" s="157">
        <f t="shared" si="1722"/>
        <v>0</v>
      </c>
      <c r="G2109" s="157">
        <f t="shared" si="1723"/>
        <v>19.5</v>
      </c>
      <c r="H2109" s="157">
        <f t="shared" si="1724"/>
        <v>0</v>
      </c>
      <c r="I2109" s="160">
        <f t="shared" si="1725"/>
        <v>39</v>
      </c>
      <c r="J2109" s="374">
        <f t="shared" si="1726"/>
        <v>0</v>
      </c>
      <c r="K2109" s="348">
        <f t="shared" si="1727"/>
        <v>0</v>
      </c>
      <c r="L2109" s="35">
        <f t="shared" ref="L2109:S2109" si="1868">SUM(L2110:L2110)</f>
        <v>0</v>
      </c>
      <c r="M2109" s="34">
        <f t="shared" si="1868"/>
        <v>19500</v>
      </c>
      <c r="N2109" s="34">
        <f t="shared" si="1868"/>
        <v>0</v>
      </c>
      <c r="O2109" s="34">
        <f t="shared" si="1868"/>
        <v>19500</v>
      </c>
      <c r="P2109" s="34">
        <f t="shared" si="1868"/>
        <v>0</v>
      </c>
      <c r="Q2109" s="26">
        <f t="shared" si="1868"/>
        <v>39000</v>
      </c>
      <c r="R2109" s="518">
        <f t="shared" si="1868"/>
        <v>0</v>
      </c>
      <c r="S2109" s="181">
        <f t="shared" si="1868"/>
        <v>0</v>
      </c>
      <c r="T2109" s="50">
        <f>T807</f>
        <v>0</v>
      </c>
      <c r="W2109" s="608">
        <f t="shared" si="1730"/>
        <v>39000</v>
      </c>
      <c r="X2109" s="608">
        <f t="shared" si="1731"/>
        <v>0</v>
      </c>
      <c r="Z2109" s="572">
        <f t="shared" si="1763"/>
        <v>0</v>
      </c>
      <c r="AA2109" s="1">
        <f t="shared" si="1764"/>
        <v>0</v>
      </c>
    </row>
    <row r="2110" spans="1:27" x14ac:dyDescent="0.2">
      <c r="A2110" s="123" t="str">
        <f>A808</f>
        <v>6.1.3.1 Étude pour la définition des nouvelles critères d'ouverture des filières sur le territoire national</v>
      </c>
      <c r="B2110" s="46"/>
      <c r="C2110" s="386">
        <f>C808</f>
        <v>0</v>
      </c>
      <c r="D2110" s="168">
        <f t="shared" si="1720"/>
        <v>0</v>
      </c>
      <c r="E2110" s="168">
        <f t="shared" si="1721"/>
        <v>19.5</v>
      </c>
      <c r="F2110" s="168">
        <f t="shared" si="1722"/>
        <v>0</v>
      </c>
      <c r="G2110" s="168">
        <f t="shared" si="1723"/>
        <v>19.5</v>
      </c>
      <c r="H2110" s="168">
        <f t="shared" si="1724"/>
        <v>0</v>
      </c>
      <c r="I2110" s="166">
        <f t="shared" si="1725"/>
        <v>39</v>
      </c>
      <c r="J2110" s="371" t="str">
        <f t="shared" si="1726"/>
        <v>ETP-DEP-IG</v>
      </c>
      <c r="K2110" s="350" t="str">
        <f t="shared" si="1727"/>
        <v>ND</v>
      </c>
      <c r="L2110" s="167">
        <f t="shared" ref="L2110:Q2110" si="1869">L808</f>
        <v>0</v>
      </c>
      <c r="M2110" s="168">
        <f t="shared" si="1869"/>
        <v>19500</v>
      </c>
      <c r="N2110" s="168">
        <f t="shared" si="1869"/>
        <v>0</v>
      </c>
      <c r="O2110" s="168">
        <f t="shared" si="1869"/>
        <v>19500</v>
      </c>
      <c r="P2110" s="168">
        <f t="shared" si="1869"/>
        <v>0</v>
      </c>
      <c r="Q2110" s="165">
        <f t="shared" si="1869"/>
        <v>39000</v>
      </c>
      <c r="R2110" s="205" t="str">
        <f t="shared" ref="R2110:S2110" si="1870">R808</f>
        <v>ETP-DEP-IG</v>
      </c>
      <c r="S2110" s="183" t="str">
        <f t="shared" si="1870"/>
        <v>ND</v>
      </c>
      <c r="T2110" s="51">
        <f>T808</f>
        <v>0</v>
      </c>
      <c r="W2110" s="608">
        <f t="shared" si="1730"/>
        <v>39000</v>
      </c>
      <c r="X2110" s="608">
        <f t="shared" si="1731"/>
        <v>0</v>
      </c>
      <c r="Z2110" s="572">
        <f t="shared" si="1763"/>
        <v>0</v>
      </c>
      <c r="AA2110" s="1">
        <f t="shared" si="1764"/>
        <v>0</v>
      </c>
    </row>
    <row r="2111" spans="1:27" x14ac:dyDescent="0.2">
      <c r="A2111" s="122" t="str">
        <f>A812</f>
        <v>6.1.4 Refondation, revitalisation ou actualisation des programmes selon l'approche par compétence, avec la contribution du secteur productif</v>
      </c>
      <c r="B2111" s="152"/>
      <c r="C2111" s="390" t="str">
        <f>C812</f>
        <v>Tous les programmes d'enseignement sont actualisés entre 2016 et 2020</v>
      </c>
      <c r="D2111" s="157">
        <f t="shared" si="1720"/>
        <v>19.5</v>
      </c>
      <c r="E2111" s="157">
        <f t="shared" si="1721"/>
        <v>19.5</v>
      </c>
      <c r="F2111" s="157">
        <f t="shared" si="1722"/>
        <v>19.5</v>
      </c>
      <c r="G2111" s="157">
        <f t="shared" si="1723"/>
        <v>19.5</v>
      </c>
      <c r="H2111" s="157">
        <f t="shared" si="1724"/>
        <v>19.5</v>
      </c>
      <c r="I2111" s="160">
        <f t="shared" si="1725"/>
        <v>97.5</v>
      </c>
      <c r="J2111" s="374">
        <f t="shared" si="1726"/>
        <v>0</v>
      </c>
      <c r="K2111" s="341">
        <f t="shared" si="1727"/>
        <v>0</v>
      </c>
      <c r="L2111" s="35">
        <f t="shared" ref="L2111:S2111" si="1871">SUM(L2112:L2112)</f>
        <v>19500</v>
      </c>
      <c r="M2111" s="34">
        <f t="shared" si="1871"/>
        <v>19500</v>
      </c>
      <c r="N2111" s="34">
        <f t="shared" si="1871"/>
        <v>19500</v>
      </c>
      <c r="O2111" s="34">
        <f t="shared" si="1871"/>
        <v>19500</v>
      </c>
      <c r="P2111" s="34">
        <f t="shared" si="1871"/>
        <v>19500</v>
      </c>
      <c r="Q2111" s="26">
        <f t="shared" si="1871"/>
        <v>97500</v>
      </c>
      <c r="R2111" s="520">
        <f t="shared" si="1871"/>
        <v>0</v>
      </c>
      <c r="S2111" s="201">
        <f t="shared" si="1871"/>
        <v>0</v>
      </c>
      <c r="T2111" s="154">
        <f>T812</f>
        <v>0</v>
      </c>
      <c r="W2111" s="608">
        <f t="shared" si="1730"/>
        <v>97500</v>
      </c>
      <c r="X2111" s="608">
        <f t="shared" si="1731"/>
        <v>0</v>
      </c>
      <c r="Z2111" s="572">
        <f t="shared" si="1763"/>
        <v>0</v>
      </c>
      <c r="AA2111" s="1">
        <f t="shared" si="1764"/>
        <v>0</v>
      </c>
    </row>
    <row r="2112" spans="1:27" x14ac:dyDescent="0.2">
      <c r="A2112" s="20" t="str">
        <f>A813</f>
        <v>6.1.4.1 Étude sur l'actualisation des programmes</v>
      </c>
      <c r="B2112" s="46"/>
      <c r="C2112" s="386">
        <f>C813</f>
        <v>0</v>
      </c>
      <c r="D2112" s="168">
        <f t="shared" si="1720"/>
        <v>19.5</v>
      </c>
      <c r="E2112" s="168">
        <f t="shared" si="1721"/>
        <v>19.5</v>
      </c>
      <c r="F2112" s="168">
        <f t="shared" si="1722"/>
        <v>19.5</v>
      </c>
      <c r="G2112" s="168">
        <f t="shared" si="1723"/>
        <v>19.5</v>
      </c>
      <c r="H2112" s="168">
        <f t="shared" si="1724"/>
        <v>19.5</v>
      </c>
      <c r="I2112" s="166">
        <f t="shared" si="1725"/>
        <v>97.5</v>
      </c>
      <c r="J2112" s="371" t="str">
        <f t="shared" si="1726"/>
        <v>ETP</v>
      </c>
      <c r="K2112" s="350" t="str">
        <f t="shared" si="1727"/>
        <v>ND</v>
      </c>
      <c r="L2112" s="167">
        <f t="shared" ref="L2112:Q2112" si="1872">L813</f>
        <v>19500</v>
      </c>
      <c r="M2112" s="168">
        <f t="shared" si="1872"/>
        <v>19500</v>
      </c>
      <c r="N2112" s="168">
        <f t="shared" si="1872"/>
        <v>19500</v>
      </c>
      <c r="O2112" s="168">
        <f t="shared" si="1872"/>
        <v>19500</v>
      </c>
      <c r="P2112" s="168">
        <f t="shared" si="1872"/>
        <v>19500</v>
      </c>
      <c r="Q2112" s="165">
        <f t="shared" si="1872"/>
        <v>97500</v>
      </c>
      <c r="R2112" s="205" t="str">
        <f t="shared" ref="R2112:S2112" si="1873">R813</f>
        <v>ETP</v>
      </c>
      <c r="S2112" s="183" t="str">
        <f t="shared" si="1873"/>
        <v>ND</v>
      </c>
      <c r="T2112" s="51">
        <f>T813</f>
        <v>0</v>
      </c>
      <c r="W2112" s="608">
        <f t="shared" si="1730"/>
        <v>97500</v>
      </c>
      <c r="X2112" s="608">
        <f t="shared" si="1731"/>
        <v>0</v>
      </c>
      <c r="Z2112" s="572">
        <f t="shared" si="1763"/>
        <v>0</v>
      </c>
      <c r="AA2112" s="1">
        <f t="shared" si="1764"/>
        <v>0</v>
      </c>
    </row>
    <row r="2113" spans="1:27" x14ac:dyDescent="0.2">
      <c r="A2113" s="17" t="str">
        <f>A817</f>
        <v>6.1.5 Création de centres de ressources dans chaque Proved</v>
      </c>
      <c r="B2113" s="45"/>
      <c r="C2113" s="387" t="str">
        <f>C817</f>
        <v>En 2025, chaque province éducationnelle possède au moins un centre de ressources</v>
      </c>
      <c r="D2113" s="157">
        <f t="shared" si="1720"/>
        <v>1200</v>
      </c>
      <c r="E2113" s="157">
        <f t="shared" si="1721"/>
        <v>1200</v>
      </c>
      <c r="F2113" s="157">
        <f t="shared" si="1722"/>
        <v>1200</v>
      </c>
      <c r="G2113" s="157">
        <f t="shared" si="1723"/>
        <v>1200</v>
      </c>
      <c r="H2113" s="157">
        <f t="shared" si="1724"/>
        <v>1200</v>
      </c>
      <c r="I2113" s="160">
        <f t="shared" si="1725"/>
        <v>6000</v>
      </c>
      <c r="J2113" s="374">
        <f t="shared" si="1726"/>
        <v>0</v>
      </c>
      <c r="K2113" s="348">
        <f t="shared" si="1727"/>
        <v>0</v>
      </c>
      <c r="L2113" s="35">
        <f t="shared" ref="L2113:S2113" si="1874">SUM(L2114:L2114)</f>
        <v>1200000</v>
      </c>
      <c r="M2113" s="34">
        <f t="shared" si="1874"/>
        <v>1200000</v>
      </c>
      <c r="N2113" s="34">
        <f t="shared" si="1874"/>
        <v>1200000</v>
      </c>
      <c r="O2113" s="34">
        <f t="shared" si="1874"/>
        <v>1200000</v>
      </c>
      <c r="P2113" s="34">
        <f t="shared" si="1874"/>
        <v>1200000</v>
      </c>
      <c r="Q2113" s="26">
        <f t="shared" si="1874"/>
        <v>6000000</v>
      </c>
      <c r="R2113" s="518">
        <f t="shared" si="1874"/>
        <v>0</v>
      </c>
      <c r="S2113" s="181">
        <f t="shared" si="1874"/>
        <v>0</v>
      </c>
      <c r="T2113" s="50">
        <f>T817</f>
        <v>0</v>
      </c>
      <c r="W2113" s="608">
        <f t="shared" si="1730"/>
        <v>6000000</v>
      </c>
      <c r="X2113" s="608">
        <f t="shared" si="1731"/>
        <v>0</v>
      </c>
      <c r="Z2113" s="572">
        <f t="shared" si="1763"/>
        <v>0</v>
      </c>
      <c r="AA2113" s="1">
        <f t="shared" si="1764"/>
        <v>0</v>
      </c>
    </row>
    <row r="2114" spans="1:27" x14ac:dyDescent="0.2">
      <c r="A2114" s="20" t="str">
        <f>A818</f>
        <v>6.1.5.1 Construction et équipement d'un centre de ressource ETFP</v>
      </c>
      <c r="B2114" s="46"/>
      <c r="C2114" s="386">
        <f>C818</f>
        <v>0</v>
      </c>
      <c r="D2114" s="168">
        <f t="shared" si="1720"/>
        <v>1200</v>
      </c>
      <c r="E2114" s="168">
        <f t="shared" si="1721"/>
        <v>1200</v>
      </c>
      <c r="F2114" s="168">
        <f t="shared" si="1722"/>
        <v>1200</v>
      </c>
      <c r="G2114" s="168">
        <f t="shared" si="1723"/>
        <v>1200</v>
      </c>
      <c r="H2114" s="168">
        <f t="shared" si="1724"/>
        <v>1200</v>
      </c>
      <c r="I2114" s="166">
        <f t="shared" si="1725"/>
        <v>6000</v>
      </c>
      <c r="J2114" s="371" t="str">
        <f t="shared" si="1726"/>
        <v>ETP-DIS</v>
      </c>
      <c r="K2114" s="350" t="str">
        <f t="shared" si="1727"/>
        <v>USAID/CTB</v>
      </c>
      <c r="L2114" s="167">
        <f t="shared" ref="L2114:Q2114" si="1875">L818</f>
        <v>1200000</v>
      </c>
      <c r="M2114" s="168">
        <f t="shared" si="1875"/>
        <v>1200000</v>
      </c>
      <c r="N2114" s="168">
        <f t="shared" si="1875"/>
        <v>1200000</v>
      </c>
      <c r="O2114" s="168">
        <f t="shared" si="1875"/>
        <v>1200000</v>
      </c>
      <c r="P2114" s="168">
        <f t="shared" si="1875"/>
        <v>1200000</v>
      </c>
      <c r="Q2114" s="165">
        <f t="shared" si="1875"/>
        <v>6000000</v>
      </c>
      <c r="R2114" s="205" t="str">
        <f t="shared" ref="R2114:S2114" si="1876">R818</f>
        <v>ETP-DIS</v>
      </c>
      <c r="S2114" s="183" t="str">
        <f t="shared" si="1876"/>
        <v>USAID/CTB</v>
      </c>
      <c r="T2114" s="51">
        <f>T818</f>
        <v>0</v>
      </c>
      <c r="W2114" s="608">
        <f t="shared" si="1730"/>
        <v>6000000</v>
      </c>
      <c r="X2114" s="608">
        <f t="shared" si="1731"/>
        <v>0</v>
      </c>
      <c r="Z2114" s="572">
        <f t="shared" si="1763"/>
        <v>0</v>
      </c>
      <c r="AA2114" s="1">
        <f t="shared" si="1764"/>
        <v>0</v>
      </c>
    </row>
    <row r="2115" spans="1:27" x14ac:dyDescent="0.2">
      <c r="A2115" s="17" t="str">
        <f>A820</f>
        <v>6.1.6 Centres d'application dans chaque sous division provinciale</v>
      </c>
      <c r="B2115" s="45"/>
      <c r="C2115" s="387" t="str">
        <f>C820</f>
        <v>En 2025, toutes les sous-divisions provinciales sont munies d'un centre d'application</v>
      </c>
      <c r="D2115" s="157">
        <f t="shared" si="1720"/>
        <v>1200</v>
      </c>
      <c r="E2115" s="157">
        <f t="shared" si="1721"/>
        <v>1200</v>
      </c>
      <c r="F2115" s="157">
        <f t="shared" si="1722"/>
        <v>1200</v>
      </c>
      <c r="G2115" s="157">
        <f t="shared" si="1723"/>
        <v>1200</v>
      </c>
      <c r="H2115" s="157">
        <f t="shared" si="1724"/>
        <v>1200</v>
      </c>
      <c r="I2115" s="160">
        <f t="shared" si="1725"/>
        <v>6000</v>
      </c>
      <c r="J2115" s="374">
        <f t="shared" si="1726"/>
        <v>0</v>
      </c>
      <c r="K2115" s="348">
        <f t="shared" si="1727"/>
        <v>0</v>
      </c>
      <c r="L2115" s="35">
        <f t="shared" ref="L2115:S2115" si="1877">SUM(L2116:L2116)</f>
        <v>1200000</v>
      </c>
      <c r="M2115" s="34">
        <f t="shared" si="1877"/>
        <v>1200000</v>
      </c>
      <c r="N2115" s="34">
        <f t="shared" si="1877"/>
        <v>1200000</v>
      </c>
      <c r="O2115" s="34">
        <f t="shared" si="1877"/>
        <v>1200000</v>
      </c>
      <c r="P2115" s="34">
        <f t="shared" si="1877"/>
        <v>1200000</v>
      </c>
      <c r="Q2115" s="26">
        <f t="shared" si="1877"/>
        <v>6000000</v>
      </c>
      <c r="R2115" s="518">
        <f t="shared" si="1877"/>
        <v>0</v>
      </c>
      <c r="S2115" s="181">
        <f t="shared" si="1877"/>
        <v>0</v>
      </c>
      <c r="T2115" s="50">
        <f>T820</f>
        <v>0</v>
      </c>
      <c r="W2115" s="608">
        <f t="shared" si="1730"/>
        <v>6000000</v>
      </c>
      <c r="X2115" s="608">
        <f t="shared" si="1731"/>
        <v>0</v>
      </c>
      <c r="Z2115" s="572">
        <f t="shared" si="1763"/>
        <v>0</v>
      </c>
      <c r="AA2115" s="1">
        <f t="shared" si="1764"/>
        <v>0</v>
      </c>
    </row>
    <row r="2116" spans="1:27" x14ac:dyDescent="0.2">
      <c r="A2116" s="20" t="str">
        <f>A821</f>
        <v>6.1.6.1 Construction et équipement des centres d'application</v>
      </c>
      <c r="B2116" s="46"/>
      <c r="C2116" s="386">
        <f>C821</f>
        <v>0</v>
      </c>
      <c r="D2116" s="168">
        <f t="shared" si="1720"/>
        <v>1200</v>
      </c>
      <c r="E2116" s="168">
        <f t="shared" si="1721"/>
        <v>1200</v>
      </c>
      <c r="F2116" s="168">
        <f t="shared" si="1722"/>
        <v>1200</v>
      </c>
      <c r="G2116" s="168">
        <f t="shared" si="1723"/>
        <v>1200</v>
      </c>
      <c r="H2116" s="168">
        <f t="shared" si="1724"/>
        <v>1200</v>
      </c>
      <c r="I2116" s="166">
        <f t="shared" si="1725"/>
        <v>6000</v>
      </c>
      <c r="J2116" s="371" t="str">
        <f t="shared" si="1726"/>
        <v>ETP-DIS</v>
      </c>
      <c r="K2116" s="350">
        <f t="shared" si="1727"/>
        <v>0</v>
      </c>
      <c r="L2116" s="167">
        <f t="shared" ref="L2116:Q2116" si="1878">L821</f>
        <v>1200000</v>
      </c>
      <c r="M2116" s="168">
        <f t="shared" si="1878"/>
        <v>1200000</v>
      </c>
      <c r="N2116" s="168">
        <f t="shared" si="1878"/>
        <v>1200000</v>
      </c>
      <c r="O2116" s="168">
        <f t="shared" si="1878"/>
        <v>1200000</v>
      </c>
      <c r="P2116" s="168">
        <f t="shared" si="1878"/>
        <v>1200000</v>
      </c>
      <c r="Q2116" s="165">
        <f t="shared" si="1878"/>
        <v>6000000</v>
      </c>
      <c r="R2116" s="205" t="str">
        <f t="shared" ref="R2116:S2116" si="1879">R821</f>
        <v>ETP-DIS</v>
      </c>
      <c r="S2116" s="183">
        <f t="shared" si="1879"/>
        <v>0</v>
      </c>
      <c r="T2116" s="51">
        <f>T821</f>
        <v>0</v>
      </c>
      <c r="W2116" s="608">
        <f t="shared" si="1730"/>
        <v>6000000</v>
      </c>
      <c r="X2116" s="608">
        <f t="shared" si="1731"/>
        <v>0</v>
      </c>
      <c r="Z2116" s="572">
        <f t="shared" si="1763"/>
        <v>0</v>
      </c>
      <c r="AA2116" s="1">
        <f t="shared" si="1764"/>
        <v>0</v>
      </c>
    </row>
    <row r="2117" spans="1:27" x14ac:dyDescent="0.2">
      <c r="A2117" s="122" t="str">
        <f>A823</f>
        <v>6.1.7 Équipement des établissements transformés pour ETFP (voir aussi 5.1.1.2)</v>
      </c>
      <c r="B2117" s="45"/>
      <c r="C2117" s="387" t="str">
        <f>C823</f>
        <v>En 2018, tous les établissements transformés pour l'ETP possèdent les équipements nécessaires à leurs filières</v>
      </c>
      <c r="D2117" s="157">
        <f t="shared" si="1720"/>
        <v>10014</v>
      </c>
      <c r="E2117" s="157">
        <f t="shared" si="1721"/>
        <v>10000</v>
      </c>
      <c r="F2117" s="157">
        <f t="shared" si="1722"/>
        <v>10000</v>
      </c>
      <c r="G2117" s="157">
        <f t="shared" si="1723"/>
        <v>3000</v>
      </c>
      <c r="H2117" s="157">
        <f t="shared" si="1724"/>
        <v>3000</v>
      </c>
      <c r="I2117" s="160">
        <f t="shared" si="1725"/>
        <v>36014</v>
      </c>
      <c r="J2117" s="374">
        <f t="shared" si="1726"/>
        <v>0</v>
      </c>
      <c r="K2117" s="348">
        <f t="shared" si="1727"/>
        <v>0</v>
      </c>
      <c r="L2117" s="35">
        <f t="shared" ref="L2117:Q2117" si="1880">SUM(L2118:L2119)</f>
        <v>10014000</v>
      </c>
      <c r="M2117" s="34">
        <f t="shared" si="1880"/>
        <v>10000000</v>
      </c>
      <c r="N2117" s="34">
        <f t="shared" si="1880"/>
        <v>10000000</v>
      </c>
      <c r="O2117" s="34">
        <f t="shared" si="1880"/>
        <v>3000000</v>
      </c>
      <c r="P2117" s="34">
        <f t="shared" si="1880"/>
        <v>3000000</v>
      </c>
      <c r="Q2117" s="26">
        <f t="shared" si="1880"/>
        <v>36014000</v>
      </c>
      <c r="R2117" s="518">
        <f t="shared" ref="R2117:S2117" si="1881">SUM(R2118:R2119)</f>
        <v>0</v>
      </c>
      <c r="S2117" s="181">
        <f t="shared" si="1881"/>
        <v>0</v>
      </c>
      <c r="T2117" s="50">
        <f>T823</f>
        <v>0</v>
      </c>
      <c r="W2117" s="608">
        <f t="shared" si="1730"/>
        <v>36014000</v>
      </c>
      <c r="X2117" s="608">
        <f t="shared" si="1731"/>
        <v>0</v>
      </c>
      <c r="Z2117" s="572">
        <f t="shared" si="1763"/>
        <v>0</v>
      </c>
      <c r="AA2117" s="1">
        <f t="shared" si="1764"/>
        <v>0</v>
      </c>
    </row>
    <row r="2118" spans="1:27" x14ac:dyDescent="0.2">
      <c r="A2118" s="20" t="str">
        <f>A824</f>
        <v>6.1.7.1 Évaluation des établissements transformés et état des lieux des établissements à transformer</v>
      </c>
      <c r="B2118" s="46"/>
      <c r="C2118" s="386">
        <f>C824</f>
        <v>0</v>
      </c>
      <c r="D2118" s="168">
        <f t="shared" si="1720"/>
        <v>14</v>
      </c>
      <c r="E2118" s="168">
        <f t="shared" si="1721"/>
        <v>0</v>
      </c>
      <c r="F2118" s="168">
        <f t="shared" si="1722"/>
        <v>0</v>
      </c>
      <c r="G2118" s="168">
        <f t="shared" si="1723"/>
        <v>0</v>
      </c>
      <c r="H2118" s="168">
        <f t="shared" si="1724"/>
        <v>0</v>
      </c>
      <c r="I2118" s="166">
        <f t="shared" si="1725"/>
        <v>14</v>
      </c>
      <c r="J2118" s="371" t="str">
        <f t="shared" si="1726"/>
        <v>ETP-DIS</v>
      </c>
      <c r="K2118" s="350" t="str">
        <f t="shared" si="1727"/>
        <v>ND</v>
      </c>
      <c r="L2118" s="167">
        <f t="shared" ref="L2118:Q2118" si="1882">L824</f>
        <v>14000</v>
      </c>
      <c r="M2118" s="168">
        <f t="shared" si="1882"/>
        <v>0</v>
      </c>
      <c r="N2118" s="168">
        <f t="shared" si="1882"/>
        <v>0</v>
      </c>
      <c r="O2118" s="168">
        <f t="shared" si="1882"/>
        <v>0</v>
      </c>
      <c r="P2118" s="168">
        <f t="shared" si="1882"/>
        <v>0</v>
      </c>
      <c r="Q2118" s="165">
        <f t="shared" si="1882"/>
        <v>14000</v>
      </c>
      <c r="R2118" s="205" t="str">
        <f t="shared" ref="R2118:S2118" si="1883">R824</f>
        <v>ETP-DIS</v>
      </c>
      <c r="S2118" s="183" t="str">
        <f t="shared" si="1883"/>
        <v>ND</v>
      </c>
      <c r="T2118" s="51">
        <f>T824</f>
        <v>0</v>
      </c>
      <c r="W2118" s="608">
        <f t="shared" si="1730"/>
        <v>14000</v>
      </c>
      <c r="X2118" s="608">
        <f t="shared" si="1731"/>
        <v>0</v>
      </c>
      <c r="Z2118" s="572">
        <f t="shared" si="1763"/>
        <v>0</v>
      </c>
      <c r="AA2118" s="1">
        <f t="shared" si="1764"/>
        <v>0</v>
      </c>
    </row>
    <row r="2119" spans="1:27" x14ac:dyDescent="0.2">
      <c r="A2119" s="20" t="str">
        <f>A827</f>
        <v>6.1.7.2 Acquisition et installation des équipements pour les établissements transformés</v>
      </c>
      <c r="B2119" s="46"/>
      <c r="C2119" s="386">
        <f>C827</f>
        <v>0</v>
      </c>
      <c r="D2119" s="168">
        <f t="shared" si="1720"/>
        <v>10000</v>
      </c>
      <c r="E2119" s="168">
        <f t="shared" si="1721"/>
        <v>10000</v>
      </c>
      <c r="F2119" s="168">
        <f t="shared" si="1722"/>
        <v>10000</v>
      </c>
      <c r="G2119" s="168">
        <f t="shared" si="1723"/>
        <v>3000</v>
      </c>
      <c r="H2119" s="168">
        <f t="shared" si="1724"/>
        <v>3000</v>
      </c>
      <c r="I2119" s="166">
        <f t="shared" si="1725"/>
        <v>36000</v>
      </c>
      <c r="J2119" s="371" t="str">
        <f t="shared" si="1726"/>
        <v>ETP-DIS</v>
      </c>
      <c r="K2119" s="350" t="str">
        <f t="shared" si="1727"/>
        <v>ND</v>
      </c>
      <c r="L2119" s="167">
        <f t="shared" ref="L2119:T2119" si="1884">L827</f>
        <v>10000000</v>
      </c>
      <c r="M2119" s="168">
        <f t="shared" si="1884"/>
        <v>10000000</v>
      </c>
      <c r="N2119" s="168">
        <f t="shared" si="1884"/>
        <v>10000000</v>
      </c>
      <c r="O2119" s="168">
        <f t="shared" si="1884"/>
        <v>3000000</v>
      </c>
      <c r="P2119" s="168">
        <f t="shared" si="1884"/>
        <v>3000000</v>
      </c>
      <c r="Q2119" s="165">
        <f t="shared" si="1884"/>
        <v>36000000</v>
      </c>
      <c r="R2119" s="205" t="str">
        <f t="shared" ref="R2119:S2119" si="1885">R827</f>
        <v>ETP-DIS</v>
      </c>
      <c r="S2119" s="183" t="str">
        <f t="shared" si="1885"/>
        <v>ND</v>
      </c>
      <c r="T2119" s="51">
        <f t="shared" si="1884"/>
        <v>0</v>
      </c>
      <c r="W2119" s="608">
        <f t="shared" si="1730"/>
        <v>36000000</v>
      </c>
      <c r="X2119" s="608">
        <f t="shared" si="1731"/>
        <v>0</v>
      </c>
      <c r="Z2119" s="572">
        <f t="shared" si="1763"/>
        <v>0</v>
      </c>
      <c r="AA2119" s="1">
        <f t="shared" si="1764"/>
        <v>0</v>
      </c>
    </row>
    <row r="2120" spans="1:27" x14ac:dyDescent="0.2">
      <c r="A2120" s="14" t="str">
        <f>A829</f>
        <v>6.2 Réforme du système d'orientation : Rendre le système d'orientation plus équitable</v>
      </c>
      <c r="B2120" s="44"/>
      <c r="C2120" s="385">
        <f>C829</f>
        <v>0</v>
      </c>
      <c r="D2120" s="217">
        <f t="shared" ref="D2120:D2183" si="1886">L2120/1000</f>
        <v>482.3</v>
      </c>
      <c r="E2120" s="217">
        <f t="shared" ref="E2120:E2183" si="1887">M2120/1000</f>
        <v>432.8</v>
      </c>
      <c r="F2120" s="217">
        <f t="shared" ref="F2120:F2183" si="1888">N2120/1000</f>
        <v>432.8</v>
      </c>
      <c r="G2120" s="217">
        <f t="shared" ref="G2120:G2183" si="1889">O2120/1000</f>
        <v>360</v>
      </c>
      <c r="H2120" s="217">
        <f t="shared" ref="H2120:H2183" si="1890">P2120/1000</f>
        <v>360</v>
      </c>
      <c r="I2120" s="220">
        <f t="shared" ref="I2120:I2183" si="1891">Q2120/1000</f>
        <v>2067.9</v>
      </c>
      <c r="J2120" s="373">
        <f t="shared" ref="J2120:J2183" si="1892">R2120</f>
        <v>0</v>
      </c>
      <c r="K2120" s="346">
        <f t="shared" ref="K2120:K2183" si="1893">S2120</f>
        <v>0</v>
      </c>
      <c r="L2120" s="33">
        <f t="shared" ref="L2120:Q2120" si="1894">L2121+L2125</f>
        <v>482300</v>
      </c>
      <c r="M2120" s="32">
        <f t="shared" si="1894"/>
        <v>432800</v>
      </c>
      <c r="N2120" s="32">
        <f t="shared" si="1894"/>
        <v>432800</v>
      </c>
      <c r="O2120" s="32">
        <f t="shared" si="1894"/>
        <v>360000</v>
      </c>
      <c r="P2120" s="32">
        <f t="shared" si="1894"/>
        <v>360000</v>
      </c>
      <c r="Q2120" s="25">
        <f t="shared" si="1894"/>
        <v>2067900</v>
      </c>
      <c r="R2120" s="515">
        <f t="shared" ref="R2120:S2120" si="1895">R2121+R2125</f>
        <v>0</v>
      </c>
      <c r="S2120" s="145">
        <f t="shared" si="1895"/>
        <v>0</v>
      </c>
      <c r="T2120" s="49">
        <f>T829</f>
        <v>1</v>
      </c>
      <c r="W2120" s="608">
        <f t="shared" ref="W2120:W2183" si="1896">SUM(L2120:P2120)</f>
        <v>2067900</v>
      </c>
      <c r="X2120" s="608">
        <f t="shared" ref="X2120:X2183" si="1897">W2120-Q2120</f>
        <v>0</v>
      </c>
      <c r="Z2120" s="572">
        <f t="shared" si="1763"/>
        <v>0</v>
      </c>
      <c r="AA2120" s="1">
        <f t="shared" si="1764"/>
        <v>0</v>
      </c>
    </row>
    <row r="2121" spans="1:27" x14ac:dyDescent="0.2">
      <c r="A2121" s="17" t="str">
        <f>A830</f>
        <v>6.2.1 Activités de sensibilisation pour encourager l'accès des filles à l'ETFP</v>
      </c>
      <c r="B2121" s="45"/>
      <c r="C2121" s="386" t="str">
        <f>C830</f>
        <v>Des actions d'information sont menées auprès des élèves du premier cycle secondaire dans chaque province</v>
      </c>
      <c r="D2121" s="157">
        <f t="shared" si="1886"/>
        <v>122.3</v>
      </c>
      <c r="E2121" s="157">
        <f t="shared" si="1887"/>
        <v>72.8</v>
      </c>
      <c r="F2121" s="157">
        <f t="shared" si="1888"/>
        <v>72.8</v>
      </c>
      <c r="G2121" s="157">
        <f t="shared" si="1889"/>
        <v>0</v>
      </c>
      <c r="H2121" s="157">
        <f t="shared" si="1890"/>
        <v>0</v>
      </c>
      <c r="I2121" s="160">
        <f t="shared" si="1891"/>
        <v>267.89999999999998</v>
      </c>
      <c r="J2121" s="374">
        <f t="shared" si="1892"/>
        <v>0</v>
      </c>
      <c r="K2121" s="348">
        <f t="shared" si="1893"/>
        <v>0</v>
      </c>
      <c r="L2121" s="35">
        <f t="shared" ref="L2121:Q2121" si="1898">SUM(L2122:L2124)</f>
        <v>122300</v>
      </c>
      <c r="M2121" s="34">
        <f t="shared" si="1898"/>
        <v>72800</v>
      </c>
      <c r="N2121" s="34">
        <f t="shared" si="1898"/>
        <v>72800</v>
      </c>
      <c r="O2121" s="34">
        <f t="shared" si="1898"/>
        <v>0</v>
      </c>
      <c r="P2121" s="34">
        <f t="shared" si="1898"/>
        <v>0</v>
      </c>
      <c r="Q2121" s="26">
        <f t="shared" si="1898"/>
        <v>267900</v>
      </c>
      <c r="R2121" s="209">
        <f t="shared" ref="R2121:S2121" si="1899">SUM(R2122:R2124)</f>
        <v>0</v>
      </c>
      <c r="S2121" s="116">
        <f t="shared" si="1899"/>
        <v>0</v>
      </c>
      <c r="T2121" s="50">
        <f>T830</f>
        <v>0</v>
      </c>
      <c r="W2121" s="608">
        <f t="shared" si="1896"/>
        <v>267900</v>
      </c>
      <c r="X2121" s="608">
        <f t="shared" si="1897"/>
        <v>0</v>
      </c>
      <c r="Z2121" s="572">
        <f t="shared" si="1763"/>
        <v>0</v>
      </c>
      <c r="AA2121" s="1">
        <f t="shared" si="1764"/>
        <v>0</v>
      </c>
    </row>
    <row r="2122" spans="1:27" x14ac:dyDescent="0.2">
      <c r="A2122" s="20" t="str">
        <f>A831</f>
        <v>6.2.1.1 Définir un plan de sensibilisation</v>
      </c>
      <c r="B2122" s="46"/>
      <c r="C2122" s="386">
        <f>C831</f>
        <v>0</v>
      </c>
      <c r="D2122" s="168">
        <f t="shared" si="1886"/>
        <v>18.2</v>
      </c>
      <c r="E2122" s="168">
        <f t="shared" si="1887"/>
        <v>0</v>
      </c>
      <c r="F2122" s="168">
        <f t="shared" si="1888"/>
        <v>0</v>
      </c>
      <c r="G2122" s="168">
        <f t="shared" si="1889"/>
        <v>0</v>
      </c>
      <c r="H2122" s="168">
        <f t="shared" si="1890"/>
        <v>0</v>
      </c>
      <c r="I2122" s="166">
        <f t="shared" si="1891"/>
        <v>18.2</v>
      </c>
      <c r="J2122" s="371" t="str">
        <f t="shared" si="1892"/>
        <v>ETP-DEP</v>
      </c>
      <c r="K2122" s="350" t="str">
        <f t="shared" si="1893"/>
        <v>BM</v>
      </c>
      <c r="L2122" s="167">
        <f t="shared" ref="L2122:Q2122" si="1900">L831</f>
        <v>18200</v>
      </c>
      <c r="M2122" s="168">
        <f t="shared" si="1900"/>
        <v>0</v>
      </c>
      <c r="N2122" s="168">
        <f t="shared" si="1900"/>
        <v>0</v>
      </c>
      <c r="O2122" s="168">
        <f t="shared" si="1900"/>
        <v>0</v>
      </c>
      <c r="P2122" s="168">
        <f t="shared" si="1900"/>
        <v>0</v>
      </c>
      <c r="Q2122" s="165">
        <f t="shared" si="1900"/>
        <v>18200</v>
      </c>
      <c r="R2122" s="198" t="str">
        <f t="shared" ref="R2122:S2122" si="1901">R831</f>
        <v>ETP-DEP</v>
      </c>
      <c r="S2122" s="115" t="str">
        <f t="shared" si="1901"/>
        <v>BM</v>
      </c>
      <c r="T2122" s="51">
        <f>T831</f>
        <v>0</v>
      </c>
      <c r="W2122" s="608">
        <f t="shared" si="1896"/>
        <v>18200</v>
      </c>
      <c r="X2122" s="608">
        <f t="shared" si="1897"/>
        <v>0</v>
      </c>
      <c r="Z2122" s="572">
        <f t="shared" ref="Z2122:Z2185" si="1902">IF($Y2122="P",$I2122,)</f>
        <v>0</v>
      </c>
      <c r="AA2122" s="1">
        <f t="shared" ref="AA2122:AA2185" si="1903">IF($Y2122="G",$I2122,)</f>
        <v>0</v>
      </c>
    </row>
    <row r="2123" spans="1:27" x14ac:dyDescent="0.2">
      <c r="A2123" s="20" t="str">
        <f>A835</f>
        <v>6.2.1.2 Développer des outils et des supports</v>
      </c>
      <c r="B2123" s="46"/>
      <c r="C2123" s="386">
        <f>C835</f>
        <v>0</v>
      </c>
      <c r="D2123" s="168">
        <f t="shared" si="1886"/>
        <v>29.1</v>
      </c>
      <c r="E2123" s="168">
        <f t="shared" si="1887"/>
        <v>20.3</v>
      </c>
      <c r="F2123" s="168">
        <f t="shared" si="1888"/>
        <v>20.3</v>
      </c>
      <c r="G2123" s="168">
        <f t="shared" si="1889"/>
        <v>0</v>
      </c>
      <c r="H2123" s="168">
        <f t="shared" si="1890"/>
        <v>0</v>
      </c>
      <c r="I2123" s="166">
        <f t="shared" si="1891"/>
        <v>69.7</v>
      </c>
      <c r="J2123" s="371" t="str">
        <f t="shared" si="1892"/>
        <v>ETP-DEP</v>
      </c>
      <c r="K2123" s="350" t="str">
        <f t="shared" si="1893"/>
        <v>ND</v>
      </c>
      <c r="L2123" s="167">
        <f t="shared" ref="L2123:T2123" si="1904">L835</f>
        <v>29100</v>
      </c>
      <c r="M2123" s="36">
        <f t="shared" si="1904"/>
        <v>20300</v>
      </c>
      <c r="N2123" s="36">
        <f t="shared" si="1904"/>
        <v>20300</v>
      </c>
      <c r="O2123" s="36">
        <f t="shared" si="1904"/>
        <v>0</v>
      </c>
      <c r="P2123" s="36">
        <f t="shared" si="1904"/>
        <v>0</v>
      </c>
      <c r="Q2123" s="27">
        <f t="shared" si="1904"/>
        <v>69700</v>
      </c>
      <c r="R2123" s="198" t="str">
        <f t="shared" ref="R2123:S2123" si="1905">R835</f>
        <v>ETP-DEP</v>
      </c>
      <c r="S2123" s="115" t="str">
        <f t="shared" si="1905"/>
        <v>ND</v>
      </c>
      <c r="T2123" s="51">
        <f t="shared" si="1904"/>
        <v>0</v>
      </c>
      <c r="W2123" s="608">
        <f t="shared" si="1896"/>
        <v>69700</v>
      </c>
      <c r="X2123" s="608">
        <f t="shared" si="1897"/>
        <v>0</v>
      </c>
      <c r="Z2123" s="572">
        <f t="shared" si="1902"/>
        <v>0</v>
      </c>
      <c r="AA2123" s="1">
        <f t="shared" si="1903"/>
        <v>0</v>
      </c>
    </row>
    <row r="2124" spans="1:27" x14ac:dyDescent="0.2">
      <c r="A2124" s="20" t="str">
        <f>A840</f>
        <v>6.2.1.3 Assurer des campagnes</v>
      </c>
      <c r="B2124" s="46"/>
      <c r="C2124" s="386">
        <f>C840</f>
        <v>0</v>
      </c>
      <c r="D2124" s="168">
        <f t="shared" si="1886"/>
        <v>75</v>
      </c>
      <c r="E2124" s="168">
        <f t="shared" si="1887"/>
        <v>52.5</v>
      </c>
      <c r="F2124" s="168">
        <f t="shared" si="1888"/>
        <v>52.5</v>
      </c>
      <c r="G2124" s="168">
        <f t="shared" si="1889"/>
        <v>0</v>
      </c>
      <c r="H2124" s="168">
        <f t="shared" si="1890"/>
        <v>0</v>
      </c>
      <c r="I2124" s="166">
        <f t="shared" si="1891"/>
        <v>180</v>
      </c>
      <c r="J2124" s="371" t="str">
        <f t="shared" si="1892"/>
        <v>ETP-DEP</v>
      </c>
      <c r="K2124" s="350" t="str">
        <f t="shared" si="1893"/>
        <v>ND</v>
      </c>
      <c r="L2124" s="167">
        <f t="shared" ref="L2124:T2124" si="1906">L840</f>
        <v>75000</v>
      </c>
      <c r="M2124" s="168">
        <f t="shared" si="1906"/>
        <v>52500</v>
      </c>
      <c r="N2124" s="168">
        <f t="shared" si="1906"/>
        <v>52500</v>
      </c>
      <c r="O2124" s="168">
        <f t="shared" si="1906"/>
        <v>0</v>
      </c>
      <c r="P2124" s="168">
        <f t="shared" si="1906"/>
        <v>0</v>
      </c>
      <c r="Q2124" s="165">
        <f t="shared" si="1906"/>
        <v>180000</v>
      </c>
      <c r="R2124" s="198" t="str">
        <f t="shared" ref="R2124:S2124" si="1907">R840</f>
        <v>ETP-DEP</v>
      </c>
      <c r="S2124" s="115" t="str">
        <f t="shared" si="1907"/>
        <v>ND</v>
      </c>
      <c r="T2124" s="51">
        <f t="shared" si="1906"/>
        <v>0</v>
      </c>
      <c r="W2124" s="608">
        <f t="shared" si="1896"/>
        <v>180000</v>
      </c>
      <c r="X2124" s="608">
        <f t="shared" si="1897"/>
        <v>0</v>
      </c>
      <c r="Z2124" s="572">
        <f t="shared" si="1902"/>
        <v>0</v>
      </c>
      <c r="AA2124" s="1">
        <f t="shared" si="1903"/>
        <v>0</v>
      </c>
    </row>
    <row r="2125" spans="1:27" x14ac:dyDescent="0.2">
      <c r="A2125" s="17" t="str">
        <f>A843</f>
        <v>6.2.2 Bourses d'études</v>
      </c>
      <c r="B2125" s="45"/>
      <c r="C2125" s="386" t="str">
        <f>C843</f>
        <v>1000 bourses accordées chaque année pour les filles scolarisées dans des filières économiques prioritaires</v>
      </c>
      <c r="D2125" s="157">
        <f t="shared" si="1886"/>
        <v>360</v>
      </c>
      <c r="E2125" s="157">
        <f t="shared" si="1887"/>
        <v>360</v>
      </c>
      <c r="F2125" s="157">
        <f t="shared" si="1888"/>
        <v>360</v>
      </c>
      <c r="G2125" s="157">
        <f t="shared" si="1889"/>
        <v>360</v>
      </c>
      <c r="H2125" s="157">
        <f t="shared" si="1890"/>
        <v>360</v>
      </c>
      <c r="I2125" s="160">
        <f t="shared" si="1891"/>
        <v>1800</v>
      </c>
      <c r="J2125" s="374">
        <f t="shared" si="1892"/>
        <v>0</v>
      </c>
      <c r="K2125" s="348">
        <f t="shared" si="1893"/>
        <v>0</v>
      </c>
      <c r="L2125" s="35">
        <f t="shared" ref="L2125:S2125" si="1908">SUM(L2126:L2126)</f>
        <v>360000</v>
      </c>
      <c r="M2125" s="34">
        <f t="shared" si="1908"/>
        <v>360000</v>
      </c>
      <c r="N2125" s="34">
        <f t="shared" si="1908"/>
        <v>360000</v>
      </c>
      <c r="O2125" s="34">
        <f t="shared" si="1908"/>
        <v>360000</v>
      </c>
      <c r="P2125" s="34">
        <f t="shared" si="1908"/>
        <v>360000</v>
      </c>
      <c r="Q2125" s="26">
        <f t="shared" si="1908"/>
        <v>1800000</v>
      </c>
      <c r="R2125" s="209">
        <f t="shared" si="1908"/>
        <v>0</v>
      </c>
      <c r="S2125" s="116">
        <f t="shared" si="1908"/>
        <v>0</v>
      </c>
      <c r="T2125" s="50">
        <f>T843</f>
        <v>0</v>
      </c>
      <c r="W2125" s="608">
        <f t="shared" si="1896"/>
        <v>1800000</v>
      </c>
      <c r="X2125" s="608">
        <f t="shared" si="1897"/>
        <v>0</v>
      </c>
      <c r="Z2125" s="572">
        <f t="shared" si="1902"/>
        <v>0</v>
      </c>
      <c r="AA2125" s="1">
        <f t="shared" si="1903"/>
        <v>0</v>
      </c>
    </row>
    <row r="2126" spans="1:27" x14ac:dyDescent="0.2">
      <c r="A2126" s="20" t="str">
        <f>A844</f>
        <v>6.2.2.1 Octroi des bourses pour les filles dans les filières prometteuses</v>
      </c>
      <c r="B2126" s="46"/>
      <c r="C2126" s="386">
        <f>C844</f>
        <v>0</v>
      </c>
      <c r="D2126" s="168">
        <f t="shared" si="1886"/>
        <v>360</v>
      </c>
      <c r="E2126" s="168">
        <f t="shared" si="1887"/>
        <v>360</v>
      </c>
      <c r="F2126" s="168">
        <f t="shared" si="1888"/>
        <v>360</v>
      </c>
      <c r="G2126" s="168">
        <f t="shared" si="1889"/>
        <v>360</v>
      </c>
      <c r="H2126" s="168">
        <f t="shared" si="1890"/>
        <v>360</v>
      </c>
      <c r="I2126" s="166">
        <f t="shared" si="1891"/>
        <v>1800</v>
      </c>
      <c r="J2126" s="371" t="str">
        <f t="shared" si="1892"/>
        <v>ETP-DSG</v>
      </c>
      <c r="K2126" s="350" t="str">
        <f t="shared" si="1893"/>
        <v>ND</v>
      </c>
      <c r="L2126" s="167">
        <f t="shared" ref="L2126:Q2126" si="1909">L844</f>
        <v>360000</v>
      </c>
      <c r="M2126" s="168">
        <f t="shared" si="1909"/>
        <v>360000</v>
      </c>
      <c r="N2126" s="168">
        <f t="shared" si="1909"/>
        <v>360000</v>
      </c>
      <c r="O2126" s="168">
        <f t="shared" si="1909"/>
        <v>360000</v>
      </c>
      <c r="P2126" s="168">
        <f t="shared" si="1909"/>
        <v>360000</v>
      </c>
      <c r="Q2126" s="165">
        <f t="shared" si="1909"/>
        <v>1800000</v>
      </c>
      <c r="R2126" s="198" t="str">
        <f t="shared" ref="R2126:S2126" si="1910">R844</f>
        <v>ETP-DSG</v>
      </c>
      <c r="S2126" s="115" t="str">
        <f t="shared" si="1910"/>
        <v>ND</v>
      </c>
      <c r="T2126" s="51">
        <f>T844</f>
        <v>0</v>
      </c>
      <c r="W2126" s="608">
        <f t="shared" si="1896"/>
        <v>1800000</v>
      </c>
      <c r="X2126" s="608">
        <f t="shared" si="1897"/>
        <v>0</v>
      </c>
      <c r="Z2126" s="572">
        <f t="shared" si="1902"/>
        <v>0</v>
      </c>
      <c r="AA2126" s="1">
        <f t="shared" si="1903"/>
        <v>0</v>
      </c>
    </row>
    <row r="2127" spans="1:27" x14ac:dyDescent="0.2">
      <c r="A2127" s="14" t="str">
        <f>A846</f>
        <v xml:space="preserve">6.3 Matériels et équipements pédagogiques : Rendre accessibles et disponibles les manuels scolaires et le matériel didactique </v>
      </c>
      <c r="B2127" s="44"/>
      <c r="C2127" s="385">
        <f>C846</f>
        <v>0</v>
      </c>
      <c r="D2127" s="217">
        <f t="shared" si="1886"/>
        <v>14449.6</v>
      </c>
      <c r="E2127" s="217">
        <f t="shared" si="1887"/>
        <v>14412.1</v>
      </c>
      <c r="F2127" s="217">
        <f t="shared" si="1888"/>
        <v>14412.1</v>
      </c>
      <c r="G2127" s="217">
        <f t="shared" si="1889"/>
        <v>14412.1</v>
      </c>
      <c r="H2127" s="217">
        <f t="shared" si="1890"/>
        <v>14412.1</v>
      </c>
      <c r="I2127" s="220">
        <f t="shared" si="1891"/>
        <v>72098</v>
      </c>
      <c r="J2127" s="373">
        <f t="shared" si="1892"/>
        <v>0</v>
      </c>
      <c r="K2127" s="346">
        <f t="shared" si="1893"/>
        <v>0</v>
      </c>
      <c r="L2127" s="33">
        <f>L2128+L2130</f>
        <v>14449600</v>
      </c>
      <c r="M2127" s="32">
        <f t="shared" ref="M2127:Q2127" si="1911">M2128+M2130</f>
        <v>14412100</v>
      </c>
      <c r="N2127" s="32">
        <f t="shared" si="1911"/>
        <v>14412100</v>
      </c>
      <c r="O2127" s="32">
        <f t="shared" si="1911"/>
        <v>14412100</v>
      </c>
      <c r="P2127" s="32">
        <f t="shared" si="1911"/>
        <v>14412100</v>
      </c>
      <c r="Q2127" s="25">
        <f t="shared" si="1911"/>
        <v>72098000</v>
      </c>
      <c r="R2127" s="16">
        <f t="shared" ref="R2127:S2127" si="1912">R2128+R2130</f>
        <v>0</v>
      </c>
      <c r="S2127" s="15">
        <f t="shared" si="1912"/>
        <v>0</v>
      </c>
      <c r="T2127" s="112">
        <f>T846</f>
        <v>2</v>
      </c>
      <c r="W2127" s="608">
        <f t="shared" si="1896"/>
        <v>72098000</v>
      </c>
      <c r="X2127" s="608">
        <f t="shared" si="1897"/>
        <v>0</v>
      </c>
      <c r="Z2127" s="572">
        <f t="shared" si="1902"/>
        <v>0</v>
      </c>
      <c r="AA2127" s="1">
        <f t="shared" si="1903"/>
        <v>0</v>
      </c>
    </row>
    <row r="2128" spans="1:27" x14ac:dyDescent="0.2">
      <c r="A2128" s="17" t="str">
        <f>A847</f>
        <v>6.3.1 Équipement pédagogiques</v>
      </c>
      <c r="B2128" s="45"/>
      <c r="C2128" s="386" t="str">
        <f>C847</f>
        <v>En 2025, toutes les écoles disposent de matériels pédagogiques nécessaires</v>
      </c>
      <c r="D2128" s="157">
        <f t="shared" si="1886"/>
        <v>13000</v>
      </c>
      <c r="E2128" s="157">
        <f t="shared" si="1887"/>
        <v>13000</v>
      </c>
      <c r="F2128" s="157">
        <f t="shared" si="1888"/>
        <v>13000</v>
      </c>
      <c r="G2128" s="157">
        <f t="shared" si="1889"/>
        <v>13000</v>
      </c>
      <c r="H2128" s="157">
        <f t="shared" si="1890"/>
        <v>13000</v>
      </c>
      <c r="I2128" s="160">
        <f t="shared" si="1891"/>
        <v>65000</v>
      </c>
      <c r="J2128" s="374">
        <f t="shared" si="1892"/>
        <v>0</v>
      </c>
      <c r="K2128" s="348">
        <f t="shared" si="1893"/>
        <v>0</v>
      </c>
      <c r="L2128" s="35">
        <f t="shared" ref="L2128:S2128" si="1913">SUM(L2129:L2129)</f>
        <v>13000000</v>
      </c>
      <c r="M2128" s="34">
        <f t="shared" si="1913"/>
        <v>13000000</v>
      </c>
      <c r="N2128" s="34">
        <f t="shared" si="1913"/>
        <v>13000000</v>
      </c>
      <c r="O2128" s="34">
        <f t="shared" si="1913"/>
        <v>13000000</v>
      </c>
      <c r="P2128" s="34">
        <f t="shared" si="1913"/>
        <v>13000000</v>
      </c>
      <c r="Q2128" s="26">
        <f t="shared" si="1913"/>
        <v>65000000</v>
      </c>
      <c r="R2128" s="19">
        <f t="shared" si="1913"/>
        <v>0</v>
      </c>
      <c r="S2128" s="18">
        <f t="shared" si="1913"/>
        <v>0</v>
      </c>
      <c r="T2128" s="51">
        <f>T847</f>
        <v>0</v>
      </c>
      <c r="W2128" s="608">
        <f t="shared" si="1896"/>
        <v>65000000</v>
      </c>
      <c r="X2128" s="608">
        <f t="shared" si="1897"/>
        <v>0</v>
      </c>
      <c r="Z2128" s="572">
        <f t="shared" si="1902"/>
        <v>0</v>
      </c>
      <c r="AA2128" s="1">
        <f t="shared" si="1903"/>
        <v>0</v>
      </c>
    </row>
    <row r="2129" spans="1:27" x14ac:dyDescent="0.2">
      <c r="A2129" s="20" t="str">
        <f>A848</f>
        <v>6.3.1.1 Équipement pédagogiques pour les filières prioritaires</v>
      </c>
      <c r="B2129" s="46"/>
      <c r="C2129" s="386">
        <f>C848</f>
        <v>0</v>
      </c>
      <c r="D2129" s="168">
        <f t="shared" si="1886"/>
        <v>13000</v>
      </c>
      <c r="E2129" s="168">
        <f t="shared" si="1887"/>
        <v>13000</v>
      </c>
      <c r="F2129" s="168">
        <f t="shared" si="1888"/>
        <v>13000</v>
      </c>
      <c r="G2129" s="168">
        <f t="shared" si="1889"/>
        <v>13000</v>
      </c>
      <c r="H2129" s="168">
        <f t="shared" si="1890"/>
        <v>13000</v>
      </c>
      <c r="I2129" s="166">
        <f t="shared" si="1891"/>
        <v>65000</v>
      </c>
      <c r="J2129" s="371" t="str">
        <f t="shared" si="1892"/>
        <v>ETP-DEP</v>
      </c>
      <c r="K2129" s="350" t="str">
        <f t="shared" si="1893"/>
        <v>GVT/BM/CTB</v>
      </c>
      <c r="L2129" s="167">
        <f t="shared" ref="L2129:Q2129" si="1914">L848</f>
        <v>13000000</v>
      </c>
      <c r="M2129" s="168">
        <f t="shared" si="1914"/>
        <v>13000000</v>
      </c>
      <c r="N2129" s="168">
        <f t="shared" si="1914"/>
        <v>13000000</v>
      </c>
      <c r="O2129" s="168">
        <f t="shared" si="1914"/>
        <v>13000000</v>
      </c>
      <c r="P2129" s="168">
        <f t="shared" si="1914"/>
        <v>13000000</v>
      </c>
      <c r="Q2129" s="165">
        <f t="shared" si="1914"/>
        <v>65000000</v>
      </c>
      <c r="R2129" s="198" t="str">
        <f t="shared" ref="R2129:S2129" si="1915">R848</f>
        <v>ETP-DEP</v>
      </c>
      <c r="S2129" s="115" t="str">
        <f t="shared" si="1915"/>
        <v>GVT/BM/CTB</v>
      </c>
      <c r="T2129" s="51">
        <f>T848</f>
        <v>0</v>
      </c>
      <c r="W2129" s="608">
        <f t="shared" si="1896"/>
        <v>65000000</v>
      </c>
      <c r="X2129" s="608">
        <f t="shared" si="1897"/>
        <v>0</v>
      </c>
      <c r="Z2129" s="572">
        <f t="shared" si="1902"/>
        <v>0</v>
      </c>
      <c r="AA2129" s="1">
        <f t="shared" si="1903"/>
        <v>0</v>
      </c>
    </row>
    <row r="2130" spans="1:27" x14ac:dyDescent="0.2">
      <c r="A2130" s="17" t="str">
        <f>A850</f>
        <v>6.3.2 Manuels scolaires</v>
      </c>
      <c r="B2130" s="45"/>
      <c r="C2130" s="386" t="str">
        <f>C850</f>
        <v>En 2025, tous les élèves disposent de tous les manuels nécessaires en fonction de leurs options (moyenne 5)</v>
      </c>
      <c r="D2130" s="157">
        <f t="shared" si="1886"/>
        <v>1449.6</v>
      </c>
      <c r="E2130" s="157">
        <f t="shared" si="1887"/>
        <v>1412.1</v>
      </c>
      <c r="F2130" s="157">
        <f t="shared" si="1888"/>
        <v>1412.1</v>
      </c>
      <c r="G2130" s="157">
        <f t="shared" si="1889"/>
        <v>1412.1</v>
      </c>
      <c r="H2130" s="157">
        <f t="shared" si="1890"/>
        <v>1412.1</v>
      </c>
      <c r="I2130" s="160">
        <f t="shared" si="1891"/>
        <v>7098</v>
      </c>
      <c r="J2130" s="374">
        <f t="shared" si="1892"/>
        <v>0</v>
      </c>
      <c r="K2130" s="348">
        <f t="shared" si="1893"/>
        <v>0</v>
      </c>
      <c r="L2130" s="35">
        <f>SUM(L2131:L2132)</f>
        <v>1449600</v>
      </c>
      <c r="M2130" s="34">
        <f t="shared" ref="M2130:Q2130" si="1916">SUM(M2131:M2132)</f>
        <v>1412100</v>
      </c>
      <c r="N2130" s="34">
        <f t="shared" si="1916"/>
        <v>1412100</v>
      </c>
      <c r="O2130" s="34">
        <f t="shared" si="1916"/>
        <v>1412100</v>
      </c>
      <c r="P2130" s="34">
        <f t="shared" si="1916"/>
        <v>1412100</v>
      </c>
      <c r="Q2130" s="26">
        <f t="shared" si="1916"/>
        <v>7098000</v>
      </c>
      <c r="R2130" s="19">
        <f t="shared" ref="R2130:S2130" si="1917">SUM(R2131:R2132)</f>
        <v>0</v>
      </c>
      <c r="S2130" s="18">
        <f t="shared" si="1917"/>
        <v>0</v>
      </c>
      <c r="T2130" s="51">
        <f>T850</f>
        <v>0</v>
      </c>
      <c r="W2130" s="608">
        <f t="shared" si="1896"/>
        <v>7098000</v>
      </c>
      <c r="X2130" s="608">
        <f t="shared" si="1897"/>
        <v>0</v>
      </c>
      <c r="Z2130" s="572">
        <f t="shared" si="1902"/>
        <v>0</v>
      </c>
      <c r="AA2130" s="1">
        <f t="shared" si="1903"/>
        <v>0</v>
      </c>
    </row>
    <row r="2131" spans="1:27" x14ac:dyDescent="0.2">
      <c r="A2131" s="20" t="str">
        <f>A851</f>
        <v>6.3.2.1 Définition des besoins en manuels scolaires</v>
      </c>
      <c r="B2131" s="46"/>
      <c r="C2131" s="386">
        <f>C851</f>
        <v>0</v>
      </c>
      <c r="D2131" s="168">
        <f t="shared" si="1886"/>
        <v>37.5</v>
      </c>
      <c r="E2131" s="168">
        <f t="shared" si="1887"/>
        <v>0</v>
      </c>
      <c r="F2131" s="168">
        <f t="shared" si="1888"/>
        <v>0</v>
      </c>
      <c r="G2131" s="168">
        <f t="shared" si="1889"/>
        <v>0</v>
      </c>
      <c r="H2131" s="168">
        <f t="shared" si="1890"/>
        <v>0</v>
      </c>
      <c r="I2131" s="166">
        <f t="shared" si="1891"/>
        <v>37.5</v>
      </c>
      <c r="J2131" s="371" t="str">
        <f t="shared" si="1892"/>
        <v>ETP/EPS-DIPROMAD</v>
      </c>
      <c r="K2131" s="350" t="str">
        <f t="shared" si="1893"/>
        <v>ND</v>
      </c>
      <c r="L2131" s="167">
        <f t="shared" ref="L2131:Q2131" si="1918">L851</f>
        <v>37500</v>
      </c>
      <c r="M2131" s="168">
        <f t="shared" si="1918"/>
        <v>0</v>
      </c>
      <c r="N2131" s="168">
        <f t="shared" si="1918"/>
        <v>0</v>
      </c>
      <c r="O2131" s="168">
        <f t="shared" si="1918"/>
        <v>0</v>
      </c>
      <c r="P2131" s="168">
        <f t="shared" si="1918"/>
        <v>0</v>
      </c>
      <c r="Q2131" s="165">
        <f t="shared" si="1918"/>
        <v>37500</v>
      </c>
      <c r="R2131" s="198" t="str">
        <f t="shared" ref="R2131:S2131" si="1919">R851</f>
        <v>ETP/EPS-DIPROMAD</v>
      </c>
      <c r="S2131" s="115" t="str">
        <f t="shared" si="1919"/>
        <v>ND</v>
      </c>
      <c r="T2131" s="51">
        <f>T851</f>
        <v>0</v>
      </c>
      <c r="W2131" s="608">
        <f t="shared" si="1896"/>
        <v>37500</v>
      </c>
      <c r="X2131" s="608">
        <f t="shared" si="1897"/>
        <v>0</v>
      </c>
      <c r="Z2131" s="572">
        <f t="shared" si="1902"/>
        <v>0</v>
      </c>
      <c r="AA2131" s="1">
        <f t="shared" si="1903"/>
        <v>0</v>
      </c>
    </row>
    <row r="2132" spans="1:27" x14ac:dyDescent="0.2">
      <c r="A2132" s="20" t="str">
        <f>A854</f>
        <v>6.3.2.2 Acquisition et distribution de manuels scolaires</v>
      </c>
      <c r="B2132" s="46"/>
      <c r="C2132" s="386">
        <f>C854</f>
        <v>0</v>
      </c>
      <c r="D2132" s="168">
        <f t="shared" si="1886"/>
        <v>1412.1</v>
      </c>
      <c r="E2132" s="168">
        <f t="shared" si="1887"/>
        <v>1412.1</v>
      </c>
      <c r="F2132" s="168">
        <f t="shared" si="1888"/>
        <v>1412.1</v>
      </c>
      <c r="G2132" s="168">
        <f t="shared" si="1889"/>
        <v>1412.1</v>
      </c>
      <c r="H2132" s="168">
        <f t="shared" si="1890"/>
        <v>1412.1</v>
      </c>
      <c r="I2132" s="166">
        <f t="shared" si="1891"/>
        <v>7060.5</v>
      </c>
      <c r="J2132" s="371" t="str">
        <f t="shared" si="1892"/>
        <v>ETP/EPS-DIPROMAD</v>
      </c>
      <c r="K2132" s="350" t="str">
        <f t="shared" si="1893"/>
        <v>ND</v>
      </c>
      <c r="L2132" s="167">
        <f t="shared" ref="L2132:T2132" si="1920">L854</f>
        <v>1412100</v>
      </c>
      <c r="M2132" s="168">
        <f t="shared" si="1920"/>
        <v>1412100</v>
      </c>
      <c r="N2132" s="168">
        <f t="shared" si="1920"/>
        <v>1412100</v>
      </c>
      <c r="O2132" s="168">
        <f t="shared" si="1920"/>
        <v>1412100</v>
      </c>
      <c r="P2132" s="168">
        <f t="shared" si="1920"/>
        <v>1412100</v>
      </c>
      <c r="Q2132" s="165">
        <f t="shared" si="1920"/>
        <v>7060500</v>
      </c>
      <c r="R2132" s="198" t="str">
        <f t="shared" ref="R2132:S2132" si="1921">R854</f>
        <v>ETP/EPS-DIPROMAD</v>
      </c>
      <c r="S2132" s="115" t="str">
        <f t="shared" si="1921"/>
        <v>ND</v>
      </c>
      <c r="T2132" s="51">
        <f t="shared" si="1920"/>
        <v>0</v>
      </c>
      <c r="W2132" s="608">
        <f t="shared" si="1896"/>
        <v>7060500</v>
      </c>
      <c r="X2132" s="608">
        <f t="shared" si="1897"/>
        <v>0</v>
      </c>
      <c r="Z2132" s="572">
        <f t="shared" si="1902"/>
        <v>0</v>
      </c>
      <c r="AA2132" s="1">
        <f t="shared" si="1903"/>
        <v>0</v>
      </c>
    </row>
    <row r="2133" spans="1:27" x14ac:dyDescent="0.2">
      <c r="A2133" s="14" t="str">
        <f>A856</f>
        <v>6.4 Adaptation au marché du travail : Mettre en adéquation les formations avec les besoins du marché du travail</v>
      </c>
      <c r="B2133" s="44"/>
      <c r="C2133" s="385">
        <f>C856</f>
        <v>0</v>
      </c>
      <c r="D2133" s="217">
        <f t="shared" si="1886"/>
        <v>451.15</v>
      </c>
      <c r="E2133" s="217">
        <f t="shared" si="1887"/>
        <v>352</v>
      </c>
      <c r="F2133" s="217">
        <f t="shared" si="1888"/>
        <v>352</v>
      </c>
      <c r="G2133" s="217">
        <f t="shared" si="1889"/>
        <v>10</v>
      </c>
      <c r="H2133" s="217">
        <f t="shared" si="1890"/>
        <v>10</v>
      </c>
      <c r="I2133" s="220">
        <f t="shared" si="1891"/>
        <v>1175.1500000000001</v>
      </c>
      <c r="J2133" s="373">
        <f t="shared" si="1892"/>
        <v>0</v>
      </c>
      <c r="K2133" s="346">
        <f t="shared" si="1893"/>
        <v>0</v>
      </c>
      <c r="L2133" s="33">
        <f t="shared" ref="L2133:Q2133" si="1922">L2134+L2137+L2140+L2143</f>
        <v>451150</v>
      </c>
      <c r="M2133" s="32">
        <f t="shared" si="1922"/>
        <v>352000</v>
      </c>
      <c r="N2133" s="32">
        <f t="shared" si="1922"/>
        <v>352000</v>
      </c>
      <c r="O2133" s="32">
        <f t="shared" si="1922"/>
        <v>10000</v>
      </c>
      <c r="P2133" s="32">
        <f t="shared" si="1922"/>
        <v>10000</v>
      </c>
      <c r="Q2133" s="25">
        <f t="shared" si="1922"/>
        <v>1175150</v>
      </c>
      <c r="R2133" s="16">
        <f t="shared" ref="R2133:S2133" si="1923">R2134+R2137+R2140+R2143</f>
        <v>0</v>
      </c>
      <c r="S2133" s="15">
        <f t="shared" si="1923"/>
        <v>0</v>
      </c>
      <c r="T2133" s="112">
        <f>T856</f>
        <v>2</v>
      </c>
      <c r="W2133" s="608">
        <f t="shared" si="1896"/>
        <v>1175150</v>
      </c>
      <c r="X2133" s="608">
        <f t="shared" si="1897"/>
        <v>0</v>
      </c>
      <c r="Z2133" s="572">
        <f t="shared" si="1902"/>
        <v>0</v>
      </c>
      <c r="AA2133" s="1">
        <f t="shared" si="1903"/>
        <v>0</v>
      </c>
    </row>
    <row r="2134" spans="1:27" x14ac:dyDescent="0.2">
      <c r="A2134" s="17" t="str">
        <f>A857</f>
        <v>6.4.1 Cadre de concertation entre l'administration et secteur privé productif</v>
      </c>
      <c r="B2134" s="45"/>
      <c r="C2134" s="386" t="str">
        <f>C857</f>
        <v>Un cadre national de concertation élaboré et opérationnel</v>
      </c>
      <c r="D2134" s="157">
        <f t="shared" si="1886"/>
        <v>57.95</v>
      </c>
      <c r="E2134" s="157">
        <f t="shared" si="1887"/>
        <v>10</v>
      </c>
      <c r="F2134" s="157">
        <f t="shared" si="1888"/>
        <v>10</v>
      </c>
      <c r="G2134" s="157">
        <f t="shared" si="1889"/>
        <v>10</v>
      </c>
      <c r="H2134" s="157">
        <f t="shared" si="1890"/>
        <v>10</v>
      </c>
      <c r="I2134" s="160">
        <f t="shared" si="1891"/>
        <v>97.95</v>
      </c>
      <c r="J2134" s="374">
        <f t="shared" si="1892"/>
        <v>0</v>
      </c>
      <c r="K2134" s="348">
        <f t="shared" si="1893"/>
        <v>0</v>
      </c>
      <c r="L2134" s="35">
        <f t="shared" ref="L2134:Q2134" si="1924">SUM(L2135:L2136)</f>
        <v>57950</v>
      </c>
      <c r="M2134" s="34">
        <f t="shared" si="1924"/>
        <v>10000</v>
      </c>
      <c r="N2134" s="34">
        <f t="shared" si="1924"/>
        <v>10000</v>
      </c>
      <c r="O2134" s="34">
        <f t="shared" si="1924"/>
        <v>10000</v>
      </c>
      <c r="P2134" s="34">
        <f t="shared" si="1924"/>
        <v>10000</v>
      </c>
      <c r="Q2134" s="26">
        <f t="shared" si="1924"/>
        <v>97950</v>
      </c>
      <c r="R2134" s="19">
        <f t="shared" ref="R2134:S2134" si="1925">SUM(R2135:R2136)</f>
        <v>0</v>
      </c>
      <c r="S2134" s="18">
        <f t="shared" si="1925"/>
        <v>0</v>
      </c>
      <c r="T2134" s="51">
        <f>T857</f>
        <v>0</v>
      </c>
      <c r="W2134" s="608">
        <f t="shared" si="1896"/>
        <v>97950</v>
      </c>
      <c r="X2134" s="608">
        <f t="shared" si="1897"/>
        <v>0</v>
      </c>
      <c r="Z2134" s="572">
        <f t="shared" si="1902"/>
        <v>0</v>
      </c>
      <c r="AA2134" s="1">
        <f t="shared" si="1903"/>
        <v>0</v>
      </c>
    </row>
    <row r="2135" spans="1:27" x14ac:dyDescent="0.2">
      <c r="A2135" s="20" t="str">
        <f>A858</f>
        <v>6.4.1.1 Définition du cadre national de concertation</v>
      </c>
      <c r="B2135" s="46"/>
      <c r="C2135" s="386">
        <f>C858</f>
        <v>0</v>
      </c>
      <c r="D2135" s="168">
        <f t="shared" si="1886"/>
        <v>47.95</v>
      </c>
      <c r="E2135" s="168">
        <f t="shared" si="1887"/>
        <v>0</v>
      </c>
      <c r="F2135" s="168">
        <f t="shared" si="1888"/>
        <v>0</v>
      </c>
      <c r="G2135" s="168">
        <f t="shared" si="1889"/>
        <v>0</v>
      </c>
      <c r="H2135" s="168">
        <f t="shared" si="1890"/>
        <v>0</v>
      </c>
      <c r="I2135" s="166">
        <f t="shared" si="1891"/>
        <v>47.95</v>
      </c>
      <c r="J2135" s="371" t="str">
        <f t="shared" si="1892"/>
        <v>ETP</v>
      </c>
      <c r="K2135" s="350" t="str">
        <f t="shared" si="1893"/>
        <v>ND</v>
      </c>
      <c r="L2135" s="167">
        <f t="shared" ref="L2135:Q2135" si="1926">L858</f>
        <v>47950</v>
      </c>
      <c r="M2135" s="36">
        <f t="shared" si="1926"/>
        <v>0</v>
      </c>
      <c r="N2135" s="36">
        <f t="shared" si="1926"/>
        <v>0</v>
      </c>
      <c r="O2135" s="36">
        <f t="shared" si="1926"/>
        <v>0</v>
      </c>
      <c r="P2135" s="36">
        <f t="shared" si="1926"/>
        <v>0</v>
      </c>
      <c r="Q2135" s="27">
        <f t="shared" si="1926"/>
        <v>47950</v>
      </c>
      <c r="R2135" s="198" t="str">
        <f t="shared" ref="R2135:S2135" si="1927">R858</f>
        <v>ETP</v>
      </c>
      <c r="S2135" s="115" t="str">
        <f t="shared" si="1927"/>
        <v>ND</v>
      </c>
      <c r="T2135" s="51">
        <f>T858</f>
        <v>0</v>
      </c>
      <c r="W2135" s="608">
        <f t="shared" si="1896"/>
        <v>47950</v>
      </c>
      <c r="X2135" s="608">
        <f t="shared" si="1897"/>
        <v>0</v>
      </c>
      <c r="Z2135" s="572">
        <f t="shared" si="1902"/>
        <v>0</v>
      </c>
      <c r="AA2135" s="1">
        <f t="shared" si="1903"/>
        <v>0</v>
      </c>
    </row>
    <row r="2136" spans="1:27" x14ac:dyDescent="0.2">
      <c r="A2136" s="20" t="str">
        <f>A862</f>
        <v>6.4.1.2 Mise en place et fonctionnement du mécanisme de concertation</v>
      </c>
      <c r="B2136" s="46"/>
      <c r="C2136" s="386">
        <f>C862</f>
        <v>0</v>
      </c>
      <c r="D2136" s="168">
        <f t="shared" si="1886"/>
        <v>10</v>
      </c>
      <c r="E2136" s="168">
        <f t="shared" si="1887"/>
        <v>10</v>
      </c>
      <c r="F2136" s="168">
        <f t="shared" si="1888"/>
        <v>10</v>
      </c>
      <c r="G2136" s="168">
        <f t="shared" si="1889"/>
        <v>10</v>
      </c>
      <c r="H2136" s="168">
        <f t="shared" si="1890"/>
        <v>10</v>
      </c>
      <c r="I2136" s="166">
        <f t="shared" si="1891"/>
        <v>50</v>
      </c>
      <c r="J2136" s="371" t="str">
        <f t="shared" si="1892"/>
        <v>ETP</v>
      </c>
      <c r="K2136" s="350" t="str">
        <f t="shared" si="1893"/>
        <v>ND</v>
      </c>
      <c r="L2136" s="167">
        <f t="shared" ref="L2136:T2136" si="1928">L862</f>
        <v>10000</v>
      </c>
      <c r="M2136" s="168">
        <f t="shared" si="1928"/>
        <v>10000</v>
      </c>
      <c r="N2136" s="168">
        <f t="shared" si="1928"/>
        <v>10000</v>
      </c>
      <c r="O2136" s="168">
        <f t="shared" si="1928"/>
        <v>10000</v>
      </c>
      <c r="P2136" s="168">
        <f t="shared" si="1928"/>
        <v>10000</v>
      </c>
      <c r="Q2136" s="165">
        <f t="shared" si="1928"/>
        <v>50000</v>
      </c>
      <c r="R2136" s="198" t="str">
        <f t="shared" ref="R2136:S2136" si="1929">R862</f>
        <v>ETP</v>
      </c>
      <c r="S2136" s="115" t="str">
        <f t="shared" si="1929"/>
        <v>ND</v>
      </c>
      <c r="T2136" s="51">
        <f t="shared" si="1928"/>
        <v>0</v>
      </c>
      <c r="W2136" s="608">
        <f t="shared" si="1896"/>
        <v>50000</v>
      </c>
      <c r="X2136" s="608">
        <f t="shared" si="1897"/>
        <v>0</v>
      </c>
      <c r="Z2136" s="572">
        <f t="shared" si="1902"/>
        <v>0</v>
      </c>
      <c r="AA2136" s="1">
        <f t="shared" si="1903"/>
        <v>0</v>
      </c>
    </row>
    <row r="2137" spans="1:27" x14ac:dyDescent="0.2">
      <c r="A2137" s="17" t="str">
        <f>A864</f>
        <v>6.4.2 Concertations provinciales sur les filières porteuses</v>
      </c>
      <c r="B2137" s="45"/>
      <c r="C2137" s="386" t="str">
        <f>C864</f>
        <v>Des concertations sont menées dans chaque province sur les filières porteuses, entre 2016 et 2018</v>
      </c>
      <c r="D2137" s="157">
        <f t="shared" si="1886"/>
        <v>351.95</v>
      </c>
      <c r="E2137" s="157">
        <f t="shared" si="1887"/>
        <v>342</v>
      </c>
      <c r="F2137" s="157">
        <f t="shared" si="1888"/>
        <v>342</v>
      </c>
      <c r="G2137" s="157">
        <f t="shared" si="1889"/>
        <v>0</v>
      </c>
      <c r="H2137" s="157">
        <f t="shared" si="1890"/>
        <v>0</v>
      </c>
      <c r="I2137" s="160">
        <f t="shared" si="1891"/>
        <v>1035.95</v>
      </c>
      <c r="J2137" s="374">
        <f t="shared" si="1892"/>
        <v>0</v>
      </c>
      <c r="K2137" s="348">
        <f t="shared" si="1893"/>
        <v>0</v>
      </c>
      <c r="L2137" s="35">
        <f t="shared" ref="L2137:Q2137" si="1930">SUM(L2138:L2139)</f>
        <v>351950</v>
      </c>
      <c r="M2137" s="34">
        <f t="shared" si="1930"/>
        <v>342000</v>
      </c>
      <c r="N2137" s="34">
        <f t="shared" si="1930"/>
        <v>342000</v>
      </c>
      <c r="O2137" s="34">
        <f t="shared" si="1930"/>
        <v>0</v>
      </c>
      <c r="P2137" s="34">
        <f t="shared" si="1930"/>
        <v>0</v>
      </c>
      <c r="Q2137" s="26">
        <f t="shared" si="1930"/>
        <v>1035950</v>
      </c>
      <c r="R2137" s="209">
        <f t="shared" ref="R2137:S2137" si="1931">SUM(R2138:R2139)</f>
        <v>0</v>
      </c>
      <c r="S2137" s="116">
        <f t="shared" si="1931"/>
        <v>0</v>
      </c>
      <c r="T2137" s="51">
        <f>T864</f>
        <v>0</v>
      </c>
      <c r="W2137" s="608">
        <f t="shared" si="1896"/>
        <v>1035950</v>
      </c>
      <c r="X2137" s="608">
        <f t="shared" si="1897"/>
        <v>0</v>
      </c>
      <c r="Z2137" s="572">
        <f t="shared" si="1902"/>
        <v>0</v>
      </c>
      <c r="AA2137" s="1">
        <f t="shared" si="1903"/>
        <v>0</v>
      </c>
    </row>
    <row r="2138" spans="1:27" x14ac:dyDescent="0.2">
      <c r="A2138" s="20" t="str">
        <f>A865</f>
        <v>6.4.2.1 Définition des modalités de concertation régionale</v>
      </c>
      <c r="B2138" s="46"/>
      <c r="C2138" s="386">
        <f>C865</f>
        <v>0</v>
      </c>
      <c r="D2138" s="168">
        <f t="shared" si="1886"/>
        <v>9.9499999999999993</v>
      </c>
      <c r="E2138" s="168">
        <f t="shared" si="1887"/>
        <v>0</v>
      </c>
      <c r="F2138" s="168">
        <f t="shared" si="1888"/>
        <v>0</v>
      </c>
      <c r="G2138" s="168">
        <f t="shared" si="1889"/>
        <v>0</v>
      </c>
      <c r="H2138" s="168">
        <f t="shared" si="1890"/>
        <v>0</v>
      </c>
      <c r="I2138" s="166">
        <f t="shared" si="1891"/>
        <v>9.9499999999999993</v>
      </c>
      <c r="J2138" s="371" t="str">
        <f t="shared" si="1892"/>
        <v>ETP</v>
      </c>
      <c r="K2138" s="350" t="str">
        <f t="shared" si="1893"/>
        <v>ND</v>
      </c>
      <c r="L2138" s="167">
        <f t="shared" ref="L2138:Q2138" si="1932">L865</f>
        <v>9950</v>
      </c>
      <c r="M2138" s="168">
        <f t="shared" si="1932"/>
        <v>0</v>
      </c>
      <c r="N2138" s="168">
        <f t="shared" si="1932"/>
        <v>0</v>
      </c>
      <c r="O2138" s="168">
        <f t="shared" si="1932"/>
        <v>0</v>
      </c>
      <c r="P2138" s="168">
        <f t="shared" si="1932"/>
        <v>0</v>
      </c>
      <c r="Q2138" s="165">
        <f t="shared" si="1932"/>
        <v>9950</v>
      </c>
      <c r="R2138" s="198" t="str">
        <f t="shared" ref="R2138:S2138" si="1933">R865</f>
        <v>ETP</v>
      </c>
      <c r="S2138" s="115" t="str">
        <f t="shared" si="1933"/>
        <v>ND</v>
      </c>
      <c r="T2138" s="51">
        <f>T865</f>
        <v>0</v>
      </c>
      <c r="W2138" s="608">
        <f t="shared" si="1896"/>
        <v>9950</v>
      </c>
      <c r="X2138" s="608">
        <f t="shared" si="1897"/>
        <v>0</v>
      </c>
      <c r="Z2138" s="572">
        <f t="shared" si="1902"/>
        <v>0</v>
      </c>
      <c r="AA2138" s="1">
        <f t="shared" si="1903"/>
        <v>0</v>
      </c>
    </row>
    <row r="2139" spans="1:27" x14ac:dyDescent="0.2">
      <c r="A2139" s="20" t="str">
        <f>A868</f>
        <v>6.4.2.2 Assurer les concertations régionales</v>
      </c>
      <c r="B2139" s="46"/>
      <c r="C2139" s="386">
        <f>C868</f>
        <v>0</v>
      </c>
      <c r="D2139" s="168">
        <f t="shared" si="1886"/>
        <v>342</v>
      </c>
      <c r="E2139" s="168">
        <f t="shared" si="1887"/>
        <v>342</v>
      </c>
      <c r="F2139" s="168">
        <f t="shared" si="1888"/>
        <v>342</v>
      </c>
      <c r="G2139" s="168">
        <f t="shared" si="1889"/>
        <v>0</v>
      </c>
      <c r="H2139" s="168">
        <f t="shared" si="1890"/>
        <v>0</v>
      </c>
      <c r="I2139" s="166">
        <f t="shared" si="1891"/>
        <v>1026</v>
      </c>
      <c r="J2139" s="371" t="str">
        <f t="shared" si="1892"/>
        <v>ETP</v>
      </c>
      <c r="K2139" s="350" t="str">
        <f t="shared" si="1893"/>
        <v>ND</v>
      </c>
      <c r="L2139" s="167">
        <f t="shared" ref="L2139:T2139" si="1934">L868</f>
        <v>342000</v>
      </c>
      <c r="M2139" s="168">
        <f t="shared" si="1934"/>
        <v>342000</v>
      </c>
      <c r="N2139" s="168">
        <f t="shared" si="1934"/>
        <v>342000</v>
      </c>
      <c r="O2139" s="168">
        <f t="shared" si="1934"/>
        <v>0</v>
      </c>
      <c r="P2139" s="168">
        <f t="shared" si="1934"/>
        <v>0</v>
      </c>
      <c r="Q2139" s="165">
        <f t="shared" si="1934"/>
        <v>1026000</v>
      </c>
      <c r="R2139" s="198" t="str">
        <f t="shared" ref="R2139:S2139" si="1935">R868</f>
        <v>ETP</v>
      </c>
      <c r="S2139" s="115" t="str">
        <f t="shared" si="1935"/>
        <v>ND</v>
      </c>
      <c r="T2139" s="51">
        <f t="shared" si="1934"/>
        <v>0</v>
      </c>
      <c r="W2139" s="608">
        <f t="shared" si="1896"/>
        <v>1026000</v>
      </c>
      <c r="X2139" s="608">
        <f t="shared" si="1897"/>
        <v>0</v>
      </c>
      <c r="Z2139" s="572">
        <f t="shared" si="1902"/>
        <v>0</v>
      </c>
      <c r="AA2139" s="1">
        <f t="shared" si="1903"/>
        <v>0</v>
      </c>
    </row>
    <row r="2140" spans="1:27" x14ac:dyDescent="0.2">
      <c r="A2140" s="17" t="str">
        <f>A870</f>
        <v>6.4.3 Promotion du partenariat avec le secteur privé</v>
      </c>
      <c r="B2140" s="45"/>
      <c r="C2140" s="386" t="str">
        <f>C870</f>
        <v>En 2020, tous les centres de ressources et d'application auront des accords de partenariat avec des entreprises</v>
      </c>
      <c r="D2140" s="157">
        <f t="shared" si="1886"/>
        <v>14.5</v>
      </c>
      <c r="E2140" s="157">
        <f t="shared" si="1887"/>
        <v>0</v>
      </c>
      <c r="F2140" s="157">
        <f t="shared" si="1888"/>
        <v>0</v>
      </c>
      <c r="G2140" s="157">
        <f t="shared" si="1889"/>
        <v>0</v>
      </c>
      <c r="H2140" s="157">
        <f t="shared" si="1890"/>
        <v>0</v>
      </c>
      <c r="I2140" s="160">
        <f t="shared" si="1891"/>
        <v>14.5</v>
      </c>
      <c r="J2140" s="374">
        <f t="shared" si="1892"/>
        <v>0</v>
      </c>
      <c r="K2140" s="348">
        <f t="shared" si="1893"/>
        <v>0</v>
      </c>
      <c r="L2140" s="35">
        <f t="shared" ref="L2140:Q2140" si="1936">SUM(L2141:L2142)</f>
        <v>14500</v>
      </c>
      <c r="M2140" s="34">
        <f t="shared" si="1936"/>
        <v>0</v>
      </c>
      <c r="N2140" s="34">
        <f t="shared" si="1936"/>
        <v>0</v>
      </c>
      <c r="O2140" s="34">
        <f t="shared" si="1936"/>
        <v>0</v>
      </c>
      <c r="P2140" s="34">
        <f t="shared" si="1936"/>
        <v>0</v>
      </c>
      <c r="Q2140" s="26">
        <f t="shared" si="1936"/>
        <v>14500</v>
      </c>
      <c r="R2140" s="19">
        <f t="shared" ref="R2140:S2140" si="1937">SUM(R2141:R2142)</f>
        <v>0</v>
      </c>
      <c r="S2140" s="116">
        <f t="shared" si="1937"/>
        <v>0</v>
      </c>
      <c r="T2140" s="51">
        <f>T870</f>
        <v>0</v>
      </c>
      <c r="W2140" s="608">
        <f t="shared" si="1896"/>
        <v>14500</v>
      </c>
      <c r="X2140" s="608">
        <f t="shared" si="1897"/>
        <v>0</v>
      </c>
      <c r="Z2140" s="572">
        <f t="shared" si="1902"/>
        <v>0</v>
      </c>
      <c r="AA2140" s="1">
        <f t="shared" si="1903"/>
        <v>0</v>
      </c>
    </row>
    <row r="2141" spans="1:27" x14ac:dyDescent="0.2">
      <c r="A2141" s="20" t="str">
        <f>A871</f>
        <v>6.4.3.1 Définition de modèles de partenariat</v>
      </c>
      <c r="B2141" s="46"/>
      <c r="C2141" s="386">
        <f>C871</f>
        <v>0</v>
      </c>
      <c r="D2141" s="168">
        <f t="shared" si="1886"/>
        <v>14.5</v>
      </c>
      <c r="E2141" s="168">
        <f t="shared" si="1887"/>
        <v>0</v>
      </c>
      <c r="F2141" s="168">
        <f t="shared" si="1888"/>
        <v>0</v>
      </c>
      <c r="G2141" s="168">
        <f t="shared" si="1889"/>
        <v>0</v>
      </c>
      <c r="H2141" s="168">
        <f t="shared" si="1890"/>
        <v>0</v>
      </c>
      <c r="I2141" s="166">
        <f t="shared" si="1891"/>
        <v>14.5</v>
      </c>
      <c r="J2141" s="371" t="str">
        <f t="shared" si="1892"/>
        <v>ETP/Privé (FEC, ANEP, COPMECO)</v>
      </c>
      <c r="K2141" s="350" t="str">
        <f t="shared" si="1893"/>
        <v>ND</v>
      </c>
      <c r="L2141" s="167">
        <f t="shared" ref="L2141:Q2141" si="1938">L871</f>
        <v>14500</v>
      </c>
      <c r="M2141" s="168">
        <f t="shared" si="1938"/>
        <v>0</v>
      </c>
      <c r="N2141" s="168">
        <f t="shared" si="1938"/>
        <v>0</v>
      </c>
      <c r="O2141" s="168">
        <f t="shared" si="1938"/>
        <v>0</v>
      </c>
      <c r="P2141" s="168">
        <f t="shared" si="1938"/>
        <v>0</v>
      </c>
      <c r="Q2141" s="165">
        <f t="shared" si="1938"/>
        <v>14500</v>
      </c>
      <c r="R2141" s="198" t="str">
        <f t="shared" ref="R2141:S2141" si="1939">R871</f>
        <v>ETP/Privé (FEC, ANEP, COPMECO)</v>
      </c>
      <c r="S2141" s="115" t="str">
        <f t="shared" si="1939"/>
        <v>ND</v>
      </c>
      <c r="T2141" s="51">
        <f>T871</f>
        <v>0</v>
      </c>
      <c r="W2141" s="608">
        <f t="shared" si="1896"/>
        <v>14500</v>
      </c>
      <c r="X2141" s="608">
        <f t="shared" si="1897"/>
        <v>0</v>
      </c>
      <c r="Z2141" s="572">
        <f t="shared" si="1902"/>
        <v>0</v>
      </c>
      <c r="AA2141" s="1">
        <f t="shared" si="1903"/>
        <v>0</v>
      </c>
    </row>
    <row r="2142" spans="1:27" x14ac:dyDescent="0.2">
      <c r="A2142" s="20" t="str">
        <f>A874</f>
        <v>6.4.3.2 Mise en place des accords de partenariat</v>
      </c>
      <c r="B2142" s="46"/>
      <c r="C2142" s="386">
        <f>C874</f>
        <v>0</v>
      </c>
      <c r="D2142" s="168">
        <f t="shared" si="1886"/>
        <v>0</v>
      </c>
      <c r="E2142" s="168">
        <f t="shared" si="1887"/>
        <v>0</v>
      </c>
      <c r="F2142" s="168">
        <f t="shared" si="1888"/>
        <v>0</v>
      </c>
      <c r="G2142" s="168">
        <f t="shared" si="1889"/>
        <v>0</v>
      </c>
      <c r="H2142" s="168">
        <f t="shared" si="1890"/>
        <v>0</v>
      </c>
      <c r="I2142" s="166">
        <f t="shared" si="1891"/>
        <v>0</v>
      </c>
      <c r="J2142" s="371" t="str">
        <f t="shared" si="1892"/>
        <v>ETP/Privé (FEC, ANEP, COPMECO)</v>
      </c>
      <c r="K2142" s="350" t="str">
        <f t="shared" si="1893"/>
        <v>ND</v>
      </c>
      <c r="L2142" s="37">
        <f t="shared" ref="L2142:T2142" si="1940">L874</f>
        <v>0</v>
      </c>
      <c r="M2142" s="36">
        <f t="shared" si="1940"/>
        <v>0</v>
      </c>
      <c r="N2142" s="36">
        <f t="shared" si="1940"/>
        <v>0</v>
      </c>
      <c r="O2142" s="36">
        <f t="shared" si="1940"/>
        <v>0</v>
      </c>
      <c r="P2142" s="36">
        <f t="shared" si="1940"/>
        <v>0</v>
      </c>
      <c r="Q2142" s="27">
        <f t="shared" si="1940"/>
        <v>0</v>
      </c>
      <c r="R2142" s="198" t="str">
        <f t="shared" ref="R2142:S2142" si="1941">R874</f>
        <v>ETP/Privé (FEC, ANEP, COPMECO)</v>
      </c>
      <c r="S2142" s="115" t="str">
        <f t="shared" si="1941"/>
        <v>ND</v>
      </c>
      <c r="T2142" s="51">
        <f t="shared" si="1940"/>
        <v>0</v>
      </c>
      <c r="W2142" s="608">
        <f t="shared" si="1896"/>
        <v>0</v>
      </c>
      <c r="X2142" s="608">
        <f t="shared" si="1897"/>
        <v>0</v>
      </c>
      <c r="Z2142" s="572">
        <f t="shared" si="1902"/>
        <v>0</v>
      </c>
      <c r="AA2142" s="1">
        <f t="shared" si="1903"/>
        <v>0</v>
      </c>
    </row>
    <row r="2143" spans="1:27" x14ac:dyDescent="0.2">
      <c r="A2143" s="17" t="str">
        <f>A875</f>
        <v>6.4.4 Création de Chambres des métiers et artisanat</v>
      </c>
      <c r="B2143" s="46"/>
      <c r="C2143" s="386">
        <f>C875</f>
        <v>0</v>
      </c>
      <c r="D2143" s="168">
        <f t="shared" si="1886"/>
        <v>26.75</v>
      </c>
      <c r="E2143" s="168">
        <f t="shared" si="1887"/>
        <v>0</v>
      </c>
      <c r="F2143" s="168">
        <f t="shared" si="1888"/>
        <v>0</v>
      </c>
      <c r="G2143" s="168">
        <f t="shared" si="1889"/>
        <v>0</v>
      </c>
      <c r="H2143" s="168">
        <f t="shared" si="1890"/>
        <v>0</v>
      </c>
      <c r="I2143" s="166">
        <f t="shared" si="1891"/>
        <v>26.75</v>
      </c>
      <c r="J2143" s="371">
        <f t="shared" si="1892"/>
        <v>0</v>
      </c>
      <c r="K2143" s="350">
        <f t="shared" si="1893"/>
        <v>0</v>
      </c>
      <c r="L2143" s="35">
        <f t="shared" ref="L2143:S2143" si="1942">SUM(L2144:L2144)</f>
        <v>26750</v>
      </c>
      <c r="M2143" s="34">
        <f t="shared" si="1942"/>
        <v>0</v>
      </c>
      <c r="N2143" s="34">
        <f t="shared" si="1942"/>
        <v>0</v>
      </c>
      <c r="O2143" s="34">
        <f t="shared" si="1942"/>
        <v>0</v>
      </c>
      <c r="P2143" s="34">
        <f t="shared" si="1942"/>
        <v>0</v>
      </c>
      <c r="Q2143" s="26">
        <f t="shared" si="1942"/>
        <v>26750</v>
      </c>
      <c r="R2143" s="198">
        <f t="shared" si="1942"/>
        <v>0</v>
      </c>
      <c r="S2143" s="115">
        <f t="shared" si="1942"/>
        <v>0</v>
      </c>
      <c r="T2143" s="51">
        <f>T875</f>
        <v>0</v>
      </c>
      <c r="W2143" s="608">
        <f t="shared" si="1896"/>
        <v>26750</v>
      </c>
      <c r="X2143" s="608">
        <f t="shared" si="1897"/>
        <v>0</v>
      </c>
      <c r="Z2143" s="572">
        <f t="shared" si="1902"/>
        <v>0</v>
      </c>
      <c r="AA2143" s="1">
        <f t="shared" si="1903"/>
        <v>0</v>
      </c>
    </row>
    <row r="2144" spans="1:27" x14ac:dyDescent="0.2">
      <c r="A2144" s="20" t="str">
        <f>A876</f>
        <v>6.4.4.1 Étude de faisabilité sur la création de Chambres des métiers et d'artisanat</v>
      </c>
      <c r="B2144" s="46"/>
      <c r="C2144" s="386">
        <f>C876</f>
        <v>0</v>
      </c>
      <c r="D2144" s="168">
        <f t="shared" si="1886"/>
        <v>26.75</v>
      </c>
      <c r="E2144" s="168">
        <f t="shared" si="1887"/>
        <v>0</v>
      </c>
      <c r="F2144" s="168">
        <f t="shared" si="1888"/>
        <v>0</v>
      </c>
      <c r="G2144" s="168">
        <f t="shared" si="1889"/>
        <v>0</v>
      </c>
      <c r="H2144" s="168">
        <f t="shared" si="1890"/>
        <v>0</v>
      </c>
      <c r="I2144" s="166">
        <f t="shared" si="1891"/>
        <v>26.75</v>
      </c>
      <c r="J2144" s="371" t="str">
        <f t="shared" si="1892"/>
        <v>ETP</v>
      </c>
      <c r="K2144" s="350" t="str">
        <f t="shared" si="1893"/>
        <v>BM/CTB</v>
      </c>
      <c r="L2144" s="167">
        <f t="shared" ref="L2144:Q2144" si="1943">L876</f>
        <v>26750</v>
      </c>
      <c r="M2144" s="168">
        <f t="shared" si="1943"/>
        <v>0</v>
      </c>
      <c r="N2144" s="168">
        <f t="shared" si="1943"/>
        <v>0</v>
      </c>
      <c r="O2144" s="168">
        <f t="shared" si="1943"/>
        <v>0</v>
      </c>
      <c r="P2144" s="168">
        <f t="shared" si="1943"/>
        <v>0</v>
      </c>
      <c r="Q2144" s="165">
        <f t="shared" si="1943"/>
        <v>26750</v>
      </c>
      <c r="R2144" s="198" t="str">
        <f t="shared" ref="R2144:S2144" si="1944">R876</f>
        <v>ETP</v>
      </c>
      <c r="S2144" s="115" t="str">
        <f t="shared" si="1944"/>
        <v>BM/CTB</v>
      </c>
      <c r="T2144" s="51">
        <f>T876</f>
        <v>0</v>
      </c>
      <c r="W2144" s="608">
        <f t="shared" si="1896"/>
        <v>26750</v>
      </c>
      <c r="X2144" s="608">
        <f t="shared" si="1897"/>
        <v>0</v>
      </c>
      <c r="Z2144" s="572">
        <f t="shared" si="1902"/>
        <v>0</v>
      </c>
      <c r="AA2144" s="1">
        <f t="shared" si="1903"/>
        <v>0</v>
      </c>
    </row>
    <row r="2145" spans="1:27" x14ac:dyDescent="0.2">
      <c r="A2145" s="14" t="str">
        <f>A880</f>
        <v>6.5 Environnement éducatif : Apporter aux écoles les équipements nécessaires à un apprentissage de qualité</v>
      </c>
      <c r="B2145" s="44"/>
      <c r="C2145" s="385">
        <f>C880</f>
        <v>0</v>
      </c>
      <c r="D2145" s="217">
        <f t="shared" si="1886"/>
        <v>9356</v>
      </c>
      <c r="E2145" s="217">
        <f t="shared" si="1887"/>
        <v>9280</v>
      </c>
      <c r="F2145" s="217">
        <f t="shared" si="1888"/>
        <v>9280</v>
      </c>
      <c r="G2145" s="217">
        <f t="shared" si="1889"/>
        <v>9280</v>
      </c>
      <c r="H2145" s="217">
        <f t="shared" si="1890"/>
        <v>9280</v>
      </c>
      <c r="I2145" s="220">
        <f t="shared" si="1891"/>
        <v>46476</v>
      </c>
      <c r="J2145" s="373">
        <f t="shared" si="1892"/>
        <v>0</v>
      </c>
      <c r="K2145" s="346">
        <f t="shared" si="1893"/>
        <v>0</v>
      </c>
      <c r="L2145" s="33">
        <f t="shared" ref="L2145:Q2145" si="1945">L2146+L2148+L2150+L2154</f>
        <v>9356000</v>
      </c>
      <c r="M2145" s="32">
        <f t="shared" si="1945"/>
        <v>9280000</v>
      </c>
      <c r="N2145" s="32">
        <f t="shared" si="1945"/>
        <v>9280000</v>
      </c>
      <c r="O2145" s="32">
        <f t="shared" si="1945"/>
        <v>9280000</v>
      </c>
      <c r="P2145" s="32">
        <f t="shared" si="1945"/>
        <v>9280000</v>
      </c>
      <c r="Q2145" s="25">
        <f t="shared" si="1945"/>
        <v>46476000</v>
      </c>
      <c r="R2145" s="16">
        <f t="shared" ref="R2145:S2145" si="1946">R2146+R2148+R2150+R2154</f>
        <v>0</v>
      </c>
      <c r="S2145" s="15">
        <f t="shared" si="1946"/>
        <v>0</v>
      </c>
      <c r="T2145" s="112">
        <f>T880</f>
        <v>2</v>
      </c>
      <c r="W2145" s="608">
        <f t="shared" si="1896"/>
        <v>46476000</v>
      </c>
      <c r="X2145" s="608">
        <f t="shared" si="1897"/>
        <v>0</v>
      </c>
      <c r="Z2145" s="572">
        <f t="shared" si="1902"/>
        <v>0</v>
      </c>
      <c r="AA2145" s="1">
        <f t="shared" si="1903"/>
        <v>0</v>
      </c>
    </row>
    <row r="2146" spans="1:27" x14ac:dyDescent="0.2">
      <c r="A2146" s="17" t="str">
        <f>A881</f>
        <v>6.5.1 Équipement en mobilier scolaire</v>
      </c>
      <c r="B2146" s="45"/>
      <c r="C2146" s="386" t="str">
        <f>C881</f>
        <v>Tous les établissements sont équipés avec un mobilier suffisant à l'horizon 2020</v>
      </c>
      <c r="D2146" s="157">
        <f t="shared" si="1886"/>
        <v>7380</v>
      </c>
      <c r="E2146" s="157">
        <f t="shared" si="1887"/>
        <v>7380</v>
      </c>
      <c r="F2146" s="157">
        <f t="shared" si="1888"/>
        <v>7380</v>
      </c>
      <c r="G2146" s="157">
        <f t="shared" si="1889"/>
        <v>7380</v>
      </c>
      <c r="H2146" s="157">
        <f t="shared" si="1890"/>
        <v>7380</v>
      </c>
      <c r="I2146" s="160">
        <f t="shared" si="1891"/>
        <v>36900</v>
      </c>
      <c r="J2146" s="374">
        <f t="shared" si="1892"/>
        <v>0</v>
      </c>
      <c r="K2146" s="348">
        <f t="shared" si="1893"/>
        <v>0</v>
      </c>
      <c r="L2146" s="35">
        <f t="shared" ref="L2146:S2146" si="1947">SUM(L2147:L2147)</f>
        <v>7380000</v>
      </c>
      <c r="M2146" s="34">
        <f t="shared" si="1947"/>
        <v>7380000</v>
      </c>
      <c r="N2146" s="34">
        <f t="shared" si="1947"/>
        <v>7380000</v>
      </c>
      <c r="O2146" s="34">
        <f t="shared" si="1947"/>
        <v>7380000</v>
      </c>
      <c r="P2146" s="34">
        <f t="shared" si="1947"/>
        <v>7380000</v>
      </c>
      <c r="Q2146" s="26">
        <f t="shared" si="1947"/>
        <v>36900000</v>
      </c>
      <c r="R2146" s="19">
        <f t="shared" si="1947"/>
        <v>0</v>
      </c>
      <c r="S2146" s="18">
        <f t="shared" si="1947"/>
        <v>0</v>
      </c>
      <c r="T2146" s="51">
        <f>T881</f>
        <v>0</v>
      </c>
      <c r="W2146" s="608">
        <f t="shared" si="1896"/>
        <v>36900000</v>
      </c>
      <c r="X2146" s="608">
        <f t="shared" si="1897"/>
        <v>0</v>
      </c>
      <c r="Z2146" s="572">
        <f t="shared" si="1902"/>
        <v>0</v>
      </c>
      <c r="AA2146" s="1">
        <f t="shared" si="1903"/>
        <v>0</v>
      </c>
    </row>
    <row r="2147" spans="1:27" x14ac:dyDescent="0.2">
      <c r="A2147" s="20" t="str">
        <f>A882</f>
        <v>6.5.1.1 Équipement des écoles techniques en mobilier scolaire</v>
      </c>
      <c r="B2147" s="46"/>
      <c r="C2147" s="386">
        <f>C882</f>
        <v>0</v>
      </c>
      <c r="D2147" s="168">
        <f t="shared" si="1886"/>
        <v>7380</v>
      </c>
      <c r="E2147" s="168">
        <f t="shared" si="1887"/>
        <v>7380</v>
      </c>
      <c r="F2147" s="168">
        <f t="shared" si="1888"/>
        <v>7380</v>
      </c>
      <c r="G2147" s="168">
        <f t="shared" si="1889"/>
        <v>7380</v>
      </c>
      <c r="H2147" s="168">
        <f t="shared" si="1890"/>
        <v>7380</v>
      </c>
      <c r="I2147" s="166">
        <f t="shared" si="1891"/>
        <v>36900</v>
      </c>
      <c r="J2147" s="371" t="str">
        <f t="shared" si="1892"/>
        <v>ETP-DEP</v>
      </c>
      <c r="K2147" s="350" t="str">
        <f t="shared" si="1893"/>
        <v>BM</v>
      </c>
      <c r="L2147" s="167">
        <f t="shared" ref="L2147:Q2147" si="1948">L882</f>
        <v>7380000</v>
      </c>
      <c r="M2147" s="168">
        <f t="shared" si="1948"/>
        <v>7380000</v>
      </c>
      <c r="N2147" s="168">
        <f t="shared" si="1948"/>
        <v>7380000</v>
      </c>
      <c r="O2147" s="168">
        <f t="shared" si="1948"/>
        <v>7380000</v>
      </c>
      <c r="P2147" s="168">
        <f t="shared" si="1948"/>
        <v>7380000</v>
      </c>
      <c r="Q2147" s="165">
        <f t="shared" si="1948"/>
        <v>36900000</v>
      </c>
      <c r="R2147" s="198" t="str">
        <f t="shared" ref="R2147:S2147" si="1949">R882</f>
        <v>ETP-DEP</v>
      </c>
      <c r="S2147" s="115" t="str">
        <f t="shared" si="1949"/>
        <v>BM</v>
      </c>
      <c r="T2147" s="51">
        <f>T882</f>
        <v>0</v>
      </c>
      <c r="W2147" s="608">
        <f t="shared" si="1896"/>
        <v>36900000</v>
      </c>
      <c r="X2147" s="608">
        <f t="shared" si="1897"/>
        <v>0</v>
      </c>
      <c r="Z2147" s="572">
        <f t="shared" si="1902"/>
        <v>0</v>
      </c>
      <c r="AA2147" s="1">
        <f t="shared" si="1903"/>
        <v>0</v>
      </c>
    </row>
    <row r="2148" spans="1:27" x14ac:dyDescent="0.2">
      <c r="A2148" s="17" t="str">
        <f>A884</f>
        <v>6.5.2 Équipement pour activités physiques et sportives</v>
      </c>
      <c r="B2148" s="45"/>
      <c r="C2148" s="386" t="str">
        <f>C884</f>
        <v>En 2020, tous les établissements ont accès à des équipements sportifs</v>
      </c>
      <c r="D2148" s="157">
        <f t="shared" si="1886"/>
        <v>200</v>
      </c>
      <c r="E2148" s="157">
        <f t="shared" si="1887"/>
        <v>200</v>
      </c>
      <c r="F2148" s="157">
        <f t="shared" si="1888"/>
        <v>200</v>
      </c>
      <c r="G2148" s="157">
        <f t="shared" si="1889"/>
        <v>200</v>
      </c>
      <c r="H2148" s="157">
        <f t="shared" si="1890"/>
        <v>200</v>
      </c>
      <c r="I2148" s="160">
        <f t="shared" si="1891"/>
        <v>1000</v>
      </c>
      <c r="J2148" s="374">
        <f t="shared" si="1892"/>
        <v>0</v>
      </c>
      <c r="K2148" s="348">
        <f t="shared" si="1893"/>
        <v>0</v>
      </c>
      <c r="L2148" s="35">
        <f t="shared" ref="L2148:S2148" si="1950">SUM(L2149:L2149)</f>
        <v>200000</v>
      </c>
      <c r="M2148" s="34">
        <f t="shared" si="1950"/>
        <v>200000</v>
      </c>
      <c r="N2148" s="34">
        <f t="shared" si="1950"/>
        <v>200000</v>
      </c>
      <c r="O2148" s="34">
        <f t="shared" si="1950"/>
        <v>200000</v>
      </c>
      <c r="P2148" s="34">
        <f t="shared" si="1950"/>
        <v>200000</v>
      </c>
      <c r="Q2148" s="26">
        <f t="shared" si="1950"/>
        <v>1000000</v>
      </c>
      <c r="R2148" s="19">
        <f t="shared" si="1950"/>
        <v>0</v>
      </c>
      <c r="S2148" s="18">
        <f t="shared" si="1950"/>
        <v>0</v>
      </c>
      <c r="T2148" s="51">
        <f>T884</f>
        <v>0</v>
      </c>
      <c r="W2148" s="608">
        <f t="shared" si="1896"/>
        <v>1000000</v>
      </c>
      <c r="X2148" s="608">
        <f t="shared" si="1897"/>
        <v>0</v>
      </c>
      <c r="Z2148" s="572">
        <f t="shared" si="1902"/>
        <v>0</v>
      </c>
      <c r="AA2148" s="1">
        <f t="shared" si="1903"/>
        <v>0</v>
      </c>
    </row>
    <row r="2149" spans="1:27" x14ac:dyDescent="0.2">
      <c r="A2149" s="20" t="str">
        <f>A885</f>
        <v>6.5.2.1 Acquisition et distribution d'équipement pour activités physiques et sportives</v>
      </c>
      <c r="B2149" s="46"/>
      <c r="C2149" s="386">
        <f>C885</f>
        <v>0</v>
      </c>
      <c r="D2149" s="168">
        <f t="shared" si="1886"/>
        <v>200</v>
      </c>
      <c r="E2149" s="168">
        <f t="shared" si="1887"/>
        <v>200</v>
      </c>
      <c r="F2149" s="168">
        <f t="shared" si="1888"/>
        <v>200</v>
      </c>
      <c r="G2149" s="168">
        <f t="shared" si="1889"/>
        <v>200</v>
      </c>
      <c r="H2149" s="168">
        <f t="shared" si="1890"/>
        <v>200</v>
      </c>
      <c r="I2149" s="166">
        <f t="shared" si="1891"/>
        <v>1000</v>
      </c>
      <c r="J2149" s="371" t="str">
        <f t="shared" si="1892"/>
        <v>ETP-DEP</v>
      </c>
      <c r="K2149" s="350" t="str">
        <f t="shared" si="1893"/>
        <v>ND</v>
      </c>
      <c r="L2149" s="167">
        <f t="shared" ref="L2149:Q2149" si="1951">L885</f>
        <v>200000</v>
      </c>
      <c r="M2149" s="168">
        <f t="shared" si="1951"/>
        <v>200000</v>
      </c>
      <c r="N2149" s="168">
        <f t="shared" si="1951"/>
        <v>200000</v>
      </c>
      <c r="O2149" s="168">
        <f t="shared" si="1951"/>
        <v>200000</v>
      </c>
      <c r="P2149" s="168">
        <f t="shared" si="1951"/>
        <v>200000</v>
      </c>
      <c r="Q2149" s="165">
        <f t="shared" si="1951"/>
        <v>1000000</v>
      </c>
      <c r="R2149" s="198" t="str">
        <f t="shared" ref="R2149:S2149" si="1952">R885</f>
        <v>ETP-DEP</v>
      </c>
      <c r="S2149" s="115" t="str">
        <f t="shared" si="1952"/>
        <v>ND</v>
      </c>
      <c r="T2149" s="51">
        <f>T885</f>
        <v>0</v>
      </c>
      <c r="W2149" s="608">
        <f t="shared" si="1896"/>
        <v>1000000</v>
      </c>
      <c r="X2149" s="608">
        <f t="shared" si="1897"/>
        <v>0</v>
      </c>
      <c r="Z2149" s="572">
        <f t="shared" si="1902"/>
        <v>0</v>
      </c>
      <c r="AA2149" s="1">
        <f t="shared" si="1903"/>
        <v>0</v>
      </c>
    </row>
    <row r="2150" spans="1:27" x14ac:dyDescent="0.2">
      <c r="A2150" s="17" t="str">
        <f>A887</f>
        <v>6.5.3 Équipement en bibliothèques</v>
      </c>
      <c r="B2150" s="45"/>
      <c r="C2150" s="386" t="str">
        <f>C887</f>
        <v>En 2020, tous les établissements possèdent une bibliothèque</v>
      </c>
      <c r="D2150" s="157">
        <f t="shared" si="1886"/>
        <v>1276</v>
      </c>
      <c r="E2150" s="157">
        <f t="shared" si="1887"/>
        <v>1200</v>
      </c>
      <c r="F2150" s="157">
        <f t="shared" si="1888"/>
        <v>1200</v>
      </c>
      <c r="G2150" s="157">
        <f t="shared" si="1889"/>
        <v>1200</v>
      </c>
      <c r="H2150" s="157">
        <f t="shared" si="1890"/>
        <v>1200</v>
      </c>
      <c r="I2150" s="160">
        <f t="shared" si="1891"/>
        <v>6076</v>
      </c>
      <c r="J2150" s="374">
        <f t="shared" si="1892"/>
        <v>0</v>
      </c>
      <c r="K2150" s="348">
        <f t="shared" si="1893"/>
        <v>0</v>
      </c>
      <c r="L2150" s="35">
        <f t="shared" ref="L2150:Q2150" si="1953">SUM(L2151:L2153)</f>
        <v>1276000</v>
      </c>
      <c r="M2150" s="34">
        <f t="shared" si="1953"/>
        <v>1200000</v>
      </c>
      <c r="N2150" s="34">
        <f t="shared" si="1953"/>
        <v>1200000</v>
      </c>
      <c r="O2150" s="34">
        <f t="shared" si="1953"/>
        <v>1200000</v>
      </c>
      <c r="P2150" s="34">
        <f t="shared" si="1953"/>
        <v>1200000</v>
      </c>
      <c r="Q2150" s="26">
        <f t="shared" si="1953"/>
        <v>6076000</v>
      </c>
      <c r="R2150" s="19">
        <f t="shared" ref="R2150:S2150" si="1954">SUM(R2151:R2153)</f>
        <v>0</v>
      </c>
      <c r="S2150" s="18">
        <f t="shared" si="1954"/>
        <v>0</v>
      </c>
      <c r="T2150" s="51">
        <f>T887</f>
        <v>0</v>
      </c>
      <c r="W2150" s="608">
        <f t="shared" si="1896"/>
        <v>6076000</v>
      </c>
      <c r="X2150" s="608">
        <f t="shared" si="1897"/>
        <v>0</v>
      </c>
      <c r="Z2150" s="572">
        <f t="shared" si="1902"/>
        <v>0</v>
      </c>
      <c r="AA2150" s="1">
        <f t="shared" si="1903"/>
        <v>0</v>
      </c>
    </row>
    <row r="2151" spans="1:27" x14ac:dyDescent="0.2">
      <c r="A2151" s="20" t="str">
        <f>A888</f>
        <v>6.5.3.1 Analyse des besoins en bibliothèques (audit de l'existant)</v>
      </c>
      <c r="B2151" s="46"/>
      <c r="C2151" s="386">
        <f>C888</f>
        <v>0</v>
      </c>
      <c r="D2151" s="168">
        <f t="shared" si="1886"/>
        <v>7.5</v>
      </c>
      <c r="E2151" s="168">
        <f t="shared" si="1887"/>
        <v>0</v>
      </c>
      <c r="F2151" s="168">
        <f t="shared" si="1888"/>
        <v>0</v>
      </c>
      <c r="G2151" s="168">
        <f t="shared" si="1889"/>
        <v>0</v>
      </c>
      <c r="H2151" s="168">
        <f t="shared" si="1890"/>
        <v>0</v>
      </c>
      <c r="I2151" s="166">
        <f t="shared" si="1891"/>
        <v>7.5</v>
      </c>
      <c r="J2151" s="371" t="str">
        <f t="shared" si="1892"/>
        <v>ETP-DEP</v>
      </c>
      <c r="K2151" s="350" t="str">
        <f t="shared" si="1893"/>
        <v>ND</v>
      </c>
      <c r="L2151" s="167">
        <f t="shared" ref="L2151:Q2151" si="1955">L888</f>
        <v>7500</v>
      </c>
      <c r="M2151" s="168">
        <f t="shared" si="1955"/>
        <v>0</v>
      </c>
      <c r="N2151" s="168">
        <f t="shared" si="1955"/>
        <v>0</v>
      </c>
      <c r="O2151" s="168">
        <f t="shared" si="1955"/>
        <v>0</v>
      </c>
      <c r="P2151" s="168">
        <f t="shared" si="1955"/>
        <v>0</v>
      </c>
      <c r="Q2151" s="165">
        <f t="shared" si="1955"/>
        <v>7500</v>
      </c>
      <c r="R2151" s="198" t="str">
        <f t="shared" ref="R2151:S2151" si="1956">R888</f>
        <v>ETP-DEP</v>
      </c>
      <c r="S2151" s="115" t="str">
        <f t="shared" si="1956"/>
        <v>ND</v>
      </c>
      <c r="T2151" s="51">
        <f>T888</f>
        <v>0</v>
      </c>
      <c r="W2151" s="608">
        <f t="shared" si="1896"/>
        <v>7500</v>
      </c>
      <c r="X2151" s="608">
        <f t="shared" si="1897"/>
        <v>0</v>
      </c>
      <c r="Z2151" s="572">
        <f t="shared" si="1902"/>
        <v>0</v>
      </c>
      <c r="AA2151" s="1">
        <f t="shared" si="1903"/>
        <v>0</v>
      </c>
    </row>
    <row r="2152" spans="1:27" x14ac:dyDescent="0.2">
      <c r="A2152" s="20" t="str">
        <f>A890</f>
        <v>6.5.3.2 Définition d'une bibliothèque standard et élaboration d'un guide de gestion</v>
      </c>
      <c r="B2152" s="46"/>
      <c r="C2152" s="386">
        <f>C890</f>
        <v>0</v>
      </c>
      <c r="D2152" s="168">
        <f t="shared" si="1886"/>
        <v>68.5</v>
      </c>
      <c r="E2152" s="168">
        <f t="shared" si="1887"/>
        <v>0</v>
      </c>
      <c r="F2152" s="168">
        <f t="shared" si="1888"/>
        <v>0</v>
      </c>
      <c r="G2152" s="168">
        <f t="shared" si="1889"/>
        <v>0</v>
      </c>
      <c r="H2152" s="168">
        <f t="shared" si="1890"/>
        <v>0</v>
      </c>
      <c r="I2152" s="166">
        <f t="shared" si="1891"/>
        <v>68.5</v>
      </c>
      <c r="J2152" s="371" t="str">
        <f t="shared" si="1892"/>
        <v>ETP-DEP</v>
      </c>
      <c r="K2152" s="350" t="str">
        <f t="shared" si="1893"/>
        <v>ND</v>
      </c>
      <c r="L2152" s="167">
        <f t="shared" ref="L2152:T2152" si="1957">L890</f>
        <v>68500</v>
      </c>
      <c r="M2152" s="168">
        <f t="shared" si="1957"/>
        <v>0</v>
      </c>
      <c r="N2152" s="168">
        <f t="shared" si="1957"/>
        <v>0</v>
      </c>
      <c r="O2152" s="168">
        <f t="shared" si="1957"/>
        <v>0</v>
      </c>
      <c r="P2152" s="168">
        <f t="shared" si="1957"/>
        <v>0</v>
      </c>
      <c r="Q2152" s="165">
        <f t="shared" si="1957"/>
        <v>68500</v>
      </c>
      <c r="R2152" s="198" t="str">
        <f t="shared" ref="R2152:S2152" si="1958">R890</f>
        <v>ETP-DEP</v>
      </c>
      <c r="S2152" s="115" t="str">
        <f t="shared" si="1958"/>
        <v>ND</v>
      </c>
      <c r="T2152" s="51">
        <f t="shared" si="1957"/>
        <v>0</v>
      </c>
      <c r="W2152" s="608">
        <f t="shared" si="1896"/>
        <v>68500</v>
      </c>
      <c r="X2152" s="608">
        <f t="shared" si="1897"/>
        <v>0</v>
      </c>
      <c r="Z2152" s="572">
        <f t="shared" si="1902"/>
        <v>0</v>
      </c>
      <c r="AA2152" s="1">
        <f t="shared" si="1903"/>
        <v>0</v>
      </c>
    </row>
    <row r="2153" spans="1:27" x14ac:dyDescent="0.2">
      <c r="A2153" s="20" t="str">
        <f>A894</f>
        <v>6.5.3.3 Acquisition et distribution de livres et de matériel</v>
      </c>
      <c r="B2153" s="46"/>
      <c r="C2153" s="386">
        <f>C894</f>
        <v>0</v>
      </c>
      <c r="D2153" s="168">
        <f t="shared" si="1886"/>
        <v>1200</v>
      </c>
      <c r="E2153" s="168">
        <f t="shared" si="1887"/>
        <v>1200</v>
      </c>
      <c r="F2153" s="168">
        <f t="shared" si="1888"/>
        <v>1200</v>
      </c>
      <c r="G2153" s="168">
        <f t="shared" si="1889"/>
        <v>1200</v>
      </c>
      <c r="H2153" s="168">
        <f t="shared" si="1890"/>
        <v>1200</v>
      </c>
      <c r="I2153" s="166">
        <f t="shared" si="1891"/>
        <v>6000</v>
      </c>
      <c r="J2153" s="371" t="str">
        <f t="shared" si="1892"/>
        <v>ETP-DEP</v>
      </c>
      <c r="K2153" s="350" t="str">
        <f t="shared" si="1893"/>
        <v>ND</v>
      </c>
      <c r="L2153" s="167">
        <f t="shared" ref="L2153:T2153" si="1959">L894</f>
        <v>1200000</v>
      </c>
      <c r="M2153" s="168">
        <f t="shared" si="1959"/>
        <v>1200000</v>
      </c>
      <c r="N2153" s="168">
        <f t="shared" si="1959"/>
        <v>1200000</v>
      </c>
      <c r="O2153" s="168">
        <f t="shared" si="1959"/>
        <v>1200000</v>
      </c>
      <c r="P2153" s="168">
        <f t="shared" si="1959"/>
        <v>1200000</v>
      </c>
      <c r="Q2153" s="165">
        <f t="shared" si="1959"/>
        <v>6000000</v>
      </c>
      <c r="R2153" s="198" t="str">
        <f t="shared" ref="R2153:S2153" si="1960">R894</f>
        <v>ETP-DEP</v>
      </c>
      <c r="S2153" s="115" t="str">
        <f t="shared" si="1960"/>
        <v>ND</v>
      </c>
      <c r="T2153" s="51">
        <f t="shared" si="1959"/>
        <v>0</v>
      </c>
      <c r="W2153" s="608">
        <f t="shared" si="1896"/>
        <v>6000000</v>
      </c>
      <c r="X2153" s="608">
        <f t="shared" si="1897"/>
        <v>0</v>
      </c>
      <c r="Z2153" s="572">
        <f t="shared" si="1902"/>
        <v>0</v>
      </c>
      <c r="AA2153" s="1">
        <f t="shared" si="1903"/>
        <v>0</v>
      </c>
    </row>
    <row r="2154" spans="1:27" x14ac:dyDescent="0.2">
      <c r="A2154" s="17" t="str">
        <f>A897</f>
        <v>6.5.4 Moyens informatiques</v>
      </c>
      <c r="B2154" s="45"/>
      <c r="C2154" s="386">
        <f>C897</f>
        <v>0</v>
      </c>
      <c r="D2154" s="157">
        <f t="shared" si="1886"/>
        <v>500</v>
      </c>
      <c r="E2154" s="157">
        <f t="shared" si="1887"/>
        <v>500</v>
      </c>
      <c r="F2154" s="157">
        <f t="shared" si="1888"/>
        <v>500</v>
      </c>
      <c r="G2154" s="157">
        <f t="shared" si="1889"/>
        <v>500</v>
      </c>
      <c r="H2154" s="157">
        <f t="shared" si="1890"/>
        <v>500</v>
      </c>
      <c r="I2154" s="160">
        <f t="shared" si="1891"/>
        <v>2500</v>
      </c>
      <c r="J2154" s="374">
        <f t="shared" si="1892"/>
        <v>0</v>
      </c>
      <c r="K2154" s="348">
        <f t="shared" si="1893"/>
        <v>0</v>
      </c>
      <c r="L2154" s="35">
        <f t="shared" ref="L2154:S2154" si="1961">SUM(L2155:L2155)</f>
        <v>500000</v>
      </c>
      <c r="M2154" s="34">
        <f t="shared" si="1961"/>
        <v>500000</v>
      </c>
      <c r="N2154" s="34">
        <f t="shared" si="1961"/>
        <v>500000</v>
      </c>
      <c r="O2154" s="34">
        <f t="shared" si="1961"/>
        <v>500000</v>
      </c>
      <c r="P2154" s="34">
        <f t="shared" si="1961"/>
        <v>500000</v>
      </c>
      <c r="Q2154" s="26">
        <f t="shared" si="1961"/>
        <v>2500000</v>
      </c>
      <c r="R2154" s="209">
        <f t="shared" si="1961"/>
        <v>0</v>
      </c>
      <c r="S2154" s="116">
        <f t="shared" si="1961"/>
        <v>0</v>
      </c>
      <c r="T2154" s="50">
        <f>T897</f>
        <v>0</v>
      </c>
      <c r="W2154" s="608">
        <f t="shared" si="1896"/>
        <v>2500000</v>
      </c>
      <c r="X2154" s="608">
        <f t="shared" si="1897"/>
        <v>0</v>
      </c>
      <c r="Z2154" s="572">
        <f t="shared" si="1902"/>
        <v>0</v>
      </c>
      <c r="AA2154" s="1">
        <f t="shared" si="1903"/>
        <v>0</v>
      </c>
    </row>
    <row r="2155" spans="1:27" x14ac:dyDescent="0.2">
      <c r="A2155" s="20" t="str">
        <f>A898</f>
        <v>6.5.4.1 Équipement des élèves en ordinateurs portables</v>
      </c>
      <c r="B2155" s="149"/>
      <c r="C2155" s="386">
        <f>C898</f>
        <v>0</v>
      </c>
      <c r="D2155" s="168">
        <f t="shared" si="1886"/>
        <v>500</v>
      </c>
      <c r="E2155" s="168">
        <f t="shared" si="1887"/>
        <v>500</v>
      </c>
      <c r="F2155" s="168">
        <f t="shared" si="1888"/>
        <v>500</v>
      </c>
      <c r="G2155" s="168">
        <f t="shared" si="1889"/>
        <v>500</v>
      </c>
      <c r="H2155" s="168">
        <f t="shared" si="1890"/>
        <v>500</v>
      </c>
      <c r="I2155" s="166">
        <f t="shared" si="1891"/>
        <v>2500</v>
      </c>
      <c r="J2155" s="371" t="str">
        <f t="shared" si="1892"/>
        <v>ETP-DSG</v>
      </c>
      <c r="K2155" s="350" t="str">
        <f t="shared" si="1893"/>
        <v>ND</v>
      </c>
      <c r="L2155" s="167">
        <f t="shared" ref="L2155:Q2155" si="1962">L898</f>
        <v>500000</v>
      </c>
      <c r="M2155" s="168">
        <f t="shared" si="1962"/>
        <v>500000</v>
      </c>
      <c r="N2155" s="168">
        <f t="shared" si="1962"/>
        <v>500000</v>
      </c>
      <c r="O2155" s="168">
        <f t="shared" si="1962"/>
        <v>500000</v>
      </c>
      <c r="P2155" s="168">
        <f t="shared" si="1962"/>
        <v>500000</v>
      </c>
      <c r="Q2155" s="165">
        <f t="shared" si="1962"/>
        <v>2500000</v>
      </c>
      <c r="R2155" s="198" t="str">
        <f t="shared" ref="R2155:S2155" si="1963">R898</f>
        <v>ETP-DSG</v>
      </c>
      <c r="S2155" s="115" t="str">
        <f t="shared" si="1963"/>
        <v>ND</v>
      </c>
      <c r="T2155" s="51">
        <f>T898</f>
        <v>0</v>
      </c>
      <c r="W2155" s="608">
        <f t="shared" si="1896"/>
        <v>2500000</v>
      </c>
      <c r="X2155" s="608">
        <f t="shared" si="1897"/>
        <v>0</v>
      </c>
      <c r="Z2155" s="572">
        <f t="shared" si="1902"/>
        <v>0</v>
      </c>
      <c r="AA2155" s="1">
        <f t="shared" si="1903"/>
        <v>0</v>
      </c>
    </row>
    <row r="2156" spans="1:27" x14ac:dyDescent="0.2">
      <c r="A2156" s="14" t="str">
        <f>A900</f>
        <v>6.6 Formation et rémunération des enseignants : Former les enseignants et assurer leur rémunération</v>
      </c>
      <c r="B2156" s="44"/>
      <c r="C2156" s="385"/>
      <c r="D2156" s="217">
        <f t="shared" si="1886"/>
        <v>50406.22</v>
      </c>
      <c r="E2156" s="217">
        <f t="shared" si="1887"/>
        <v>43562.06</v>
      </c>
      <c r="F2156" s="217">
        <f t="shared" si="1888"/>
        <v>58523.77</v>
      </c>
      <c r="G2156" s="217">
        <f t="shared" si="1889"/>
        <v>53559.03</v>
      </c>
      <c r="H2156" s="217">
        <f t="shared" si="1890"/>
        <v>73100.899999999994</v>
      </c>
      <c r="I2156" s="220">
        <f t="shared" si="1891"/>
        <v>279151.98</v>
      </c>
      <c r="J2156" s="373">
        <f t="shared" si="1892"/>
        <v>0</v>
      </c>
      <c r="K2156" s="346">
        <f t="shared" si="1893"/>
        <v>0</v>
      </c>
      <c r="L2156" s="33">
        <f t="shared" ref="L2156:Q2156" si="1964">L2157+L2160+L2163</f>
        <v>50406220</v>
      </c>
      <c r="M2156" s="32">
        <f t="shared" si="1964"/>
        <v>43562060</v>
      </c>
      <c r="N2156" s="32">
        <f t="shared" si="1964"/>
        <v>58523770</v>
      </c>
      <c r="O2156" s="32">
        <f t="shared" si="1964"/>
        <v>53559030</v>
      </c>
      <c r="P2156" s="32">
        <f t="shared" si="1964"/>
        <v>73100900</v>
      </c>
      <c r="Q2156" s="25">
        <f t="shared" si="1964"/>
        <v>279151980</v>
      </c>
      <c r="R2156" s="16"/>
      <c r="S2156" s="15"/>
      <c r="T2156" s="112">
        <f>T900</f>
        <v>0</v>
      </c>
      <c r="W2156" s="608">
        <f t="shared" si="1896"/>
        <v>279151980</v>
      </c>
      <c r="X2156" s="608">
        <f t="shared" si="1897"/>
        <v>0</v>
      </c>
      <c r="Y2156" s="572" t="s">
        <v>1512</v>
      </c>
      <c r="Z2156" s="572">
        <f t="shared" si="1902"/>
        <v>279151.98</v>
      </c>
      <c r="AA2156" s="1">
        <f t="shared" si="1903"/>
        <v>0</v>
      </c>
    </row>
    <row r="2157" spans="1:27" x14ac:dyDescent="0.2">
      <c r="A2157" s="17" t="str">
        <f>A901</f>
        <v>6.6.1 Création d'un centre national d'ingénierie de la formation</v>
      </c>
      <c r="B2157" s="45"/>
      <c r="C2157" s="386" t="str">
        <f>C901</f>
        <v>Le centre est créé en 2018</v>
      </c>
      <c r="D2157" s="157">
        <f t="shared" si="1886"/>
        <v>77.5</v>
      </c>
      <c r="E2157" s="157">
        <f t="shared" si="1887"/>
        <v>1116</v>
      </c>
      <c r="F2157" s="157">
        <f t="shared" si="1888"/>
        <v>1674</v>
      </c>
      <c r="G2157" s="157">
        <f t="shared" si="1889"/>
        <v>0</v>
      </c>
      <c r="H2157" s="157">
        <f t="shared" si="1890"/>
        <v>0</v>
      </c>
      <c r="I2157" s="160">
        <f t="shared" si="1891"/>
        <v>2867.5</v>
      </c>
      <c r="J2157" s="374">
        <f t="shared" si="1892"/>
        <v>0</v>
      </c>
      <c r="K2157" s="348">
        <f t="shared" si="1893"/>
        <v>0</v>
      </c>
      <c r="L2157" s="35">
        <f t="shared" ref="L2157:Q2157" si="1965">SUM(L2158:L2159)</f>
        <v>77500</v>
      </c>
      <c r="M2157" s="34">
        <f t="shared" si="1965"/>
        <v>1116000</v>
      </c>
      <c r="N2157" s="34">
        <f t="shared" si="1965"/>
        <v>1674000</v>
      </c>
      <c r="O2157" s="34">
        <f t="shared" si="1965"/>
        <v>0</v>
      </c>
      <c r="P2157" s="34">
        <f t="shared" si="1965"/>
        <v>0</v>
      </c>
      <c r="Q2157" s="26">
        <f t="shared" si="1965"/>
        <v>2867500</v>
      </c>
      <c r="R2157" s="19">
        <f t="shared" ref="R2157:S2157" si="1966">SUM(R2158:R2159)</f>
        <v>0</v>
      </c>
      <c r="S2157" s="18">
        <f t="shared" si="1966"/>
        <v>0</v>
      </c>
      <c r="T2157" s="51">
        <f>T901</f>
        <v>2</v>
      </c>
      <c r="W2157" s="608">
        <f t="shared" si="1896"/>
        <v>2867500</v>
      </c>
      <c r="X2157" s="608">
        <f t="shared" si="1897"/>
        <v>0</v>
      </c>
      <c r="Y2157" s="572" t="s">
        <v>1512</v>
      </c>
      <c r="Z2157" s="572">
        <f t="shared" si="1902"/>
        <v>2867.5</v>
      </c>
      <c r="AA2157" s="1">
        <f t="shared" si="1903"/>
        <v>0</v>
      </c>
    </row>
    <row r="2158" spans="1:27" x14ac:dyDescent="0.2">
      <c r="A2158" s="20" t="str">
        <f>A902</f>
        <v xml:space="preserve">6.6.1.1 Étude de faisabilité du national d'ingénierie de la formation </v>
      </c>
      <c r="B2158" s="46"/>
      <c r="C2158" s="386">
        <f>C902</f>
        <v>0</v>
      </c>
      <c r="D2158" s="168">
        <f t="shared" si="1886"/>
        <v>77.5</v>
      </c>
      <c r="E2158" s="168">
        <f t="shared" si="1887"/>
        <v>0</v>
      </c>
      <c r="F2158" s="168">
        <f t="shared" si="1888"/>
        <v>0</v>
      </c>
      <c r="G2158" s="168">
        <f t="shared" si="1889"/>
        <v>0</v>
      </c>
      <c r="H2158" s="168">
        <f t="shared" si="1890"/>
        <v>0</v>
      </c>
      <c r="I2158" s="166">
        <f t="shared" si="1891"/>
        <v>77.5</v>
      </c>
      <c r="J2158" s="371" t="str">
        <f t="shared" si="1892"/>
        <v>ETP-DEP</v>
      </c>
      <c r="K2158" s="350" t="str">
        <f t="shared" si="1893"/>
        <v>ND</v>
      </c>
      <c r="L2158" s="167">
        <f t="shared" ref="L2158:Q2158" si="1967">L902</f>
        <v>77500</v>
      </c>
      <c r="M2158" s="168">
        <f t="shared" si="1967"/>
        <v>0</v>
      </c>
      <c r="N2158" s="168">
        <f t="shared" si="1967"/>
        <v>0</v>
      </c>
      <c r="O2158" s="168">
        <f t="shared" si="1967"/>
        <v>0</v>
      </c>
      <c r="P2158" s="168">
        <f t="shared" si="1967"/>
        <v>0</v>
      </c>
      <c r="Q2158" s="165">
        <f t="shared" si="1967"/>
        <v>77500</v>
      </c>
      <c r="R2158" s="198" t="str">
        <f t="shared" ref="R2158:S2158" si="1968">R902</f>
        <v>ETP-DEP</v>
      </c>
      <c r="S2158" s="115" t="str">
        <f t="shared" si="1968"/>
        <v>ND</v>
      </c>
      <c r="T2158" s="51">
        <f>T902</f>
        <v>0</v>
      </c>
      <c r="W2158" s="608">
        <f t="shared" si="1896"/>
        <v>77500</v>
      </c>
      <c r="X2158" s="608">
        <f t="shared" si="1897"/>
        <v>0</v>
      </c>
      <c r="Y2158" s="572" t="s">
        <v>1512</v>
      </c>
      <c r="Z2158" s="572">
        <f t="shared" si="1902"/>
        <v>77.5</v>
      </c>
      <c r="AA2158" s="1">
        <f t="shared" si="1903"/>
        <v>0</v>
      </c>
    </row>
    <row r="2159" spans="1:27" x14ac:dyDescent="0.2">
      <c r="A2159" s="20" t="str">
        <f>A906</f>
        <v>6.6.1.2 Construction et équipement du CNIF</v>
      </c>
      <c r="B2159" s="46"/>
      <c r="C2159" s="386">
        <f>C906</f>
        <v>0</v>
      </c>
      <c r="D2159" s="168">
        <f t="shared" si="1886"/>
        <v>0</v>
      </c>
      <c r="E2159" s="168">
        <f t="shared" si="1887"/>
        <v>1116</v>
      </c>
      <c r="F2159" s="168">
        <f t="shared" si="1888"/>
        <v>1674</v>
      </c>
      <c r="G2159" s="168">
        <f t="shared" si="1889"/>
        <v>0</v>
      </c>
      <c r="H2159" s="168">
        <f t="shared" si="1890"/>
        <v>0</v>
      </c>
      <c r="I2159" s="166">
        <f t="shared" si="1891"/>
        <v>2790</v>
      </c>
      <c r="J2159" s="371" t="str">
        <f t="shared" si="1892"/>
        <v>ETP-DIS</v>
      </c>
      <c r="K2159" s="350" t="str">
        <f t="shared" si="1893"/>
        <v>ND</v>
      </c>
      <c r="L2159" s="167">
        <f t="shared" ref="L2159:T2159" si="1969">L906</f>
        <v>0</v>
      </c>
      <c r="M2159" s="168">
        <f t="shared" si="1969"/>
        <v>1116000</v>
      </c>
      <c r="N2159" s="168">
        <f t="shared" si="1969"/>
        <v>1674000</v>
      </c>
      <c r="O2159" s="168">
        <f t="shared" si="1969"/>
        <v>0</v>
      </c>
      <c r="P2159" s="168">
        <f t="shared" si="1969"/>
        <v>0</v>
      </c>
      <c r="Q2159" s="165">
        <f t="shared" si="1969"/>
        <v>2790000</v>
      </c>
      <c r="R2159" s="198" t="str">
        <f t="shared" ref="R2159:S2159" si="1970">R906</f>
        <v>ETP-DIS</v>
      </c>
      <c r="S2159" s="115" t="str">
        <f t="shared" si="1970"/>
        <v>ND</v>
      </c>
      <c r="T2159" s="51">
        <f t="shared" si="1969"/>
        <v>0</v>
      </c>
      <c r="W2159" s="608">
        <f t="shared" si="1896"/>
        <v>2790000</v>
      </c>
      <c r="X2159" s="608">
        <f t="shared" si="1897"/>
        <v>0</v>
      </c>
      <c r="Y2159" s="572" t="s">
        <v>1512</v>
      </c>
      <c r="Z2159" s="572">
        <f t="shared" si="1902"/>
        <v>2790</v>
      </c>
      <c r="AA2159" s="1">
        <f t="shared" si="1903"/>
        <v>0</v>
      </c>
    </row>
    <row r="2160" spans="1:27" x14ac:dyDescent="0.2">
      <c r="A2160" s="17" t="str">
        <f>A909</f>
        <v>6.6.2 Formation des enseignants</v>
      </c>
      <c r="B2160" s="45"/>
      <c r="C2160" s="386" t="str">
        <f>C909</f>
        <v>Tous les enseignants reçoivent deux semaines de formation tous les deux ans</v>
      </c>
      <c r="D2160" s="157">
        <f t="shared" si="1886"/>
        <v>11134.45</v>
      </c>
      <c r="E2160" s="157">
        <f t="shared" si="1887"/>
        <v>0</v>
      </c>
      <c r="F2160" s="157">
        <f t="shared" si="1888"/>
        <v>11125.95</v>
      </c>
      <c r="G2160" s="157">
        <f t="shared" si="1889"/>
        <v>0</v>
      </c>
      <c r="H2160" s="157">
        <f t="shared" si="1890"/>
        <v>11125.95</v>
      </c>
      <c r="I2160" s="160">
        <f t="shared" si="1891"/>
        <v>33386.35</v>
      </c>
      <c r="J2160" s="374">
        <f t="shared" si="1892"/>
        <v>0</v>
      </c>
      <c r="K2160" s="348">
        <f t="shared" si="1893"/>
        <v>0</v>
      </c>
      <c r="L2160" s="35">
        <f t="shared" ref="L2160:Q2160" si="1971">SUM(L2161:L2162)</f>
        <v>11134450</v>
      </c>
      <c r="M2160" s="34">
        <f t="shared" si="1971"/>
        <v>0</v>
      </c>
      <c r="N2160" s="34">
        <f t="shared" si="1971"/>
        <v>11125950</v>
      </c>
      <c r="O2160" s="34">
        <f t="shared" si="1971"/>
        <v>0</v>
      </c>
      <c r="P2160" s="34">
        <f t="shared" si="1971"/>
        <v>11125950</v>
      </c>
      <c r="Q2160" s="26">
        <f t="shared" si="1971"/>
        <v>33386350</v>
      </c>
      <c r="R2160" s="19">
        <f t="shared" ref="R2160:S2160" si="1972">SUM(R2161:R2162)</f>
        <v>0</v>
      </c>
      <c r="S2160" s="18">
        <f t="shared" si="1972"/>
        <v>0</v>
      </c>
      <c r="T2160" s="51">
        <f>T909</f>
        <v>2</v>
      </c>
      <c r="W2160" s="608">
        <f t="shared" si="1896"/>
        <v>33386350</v>
      </c>
      <c r="X2160" s="608">
        <f t="shared" si="1897"/>
        <v>0</v>
      </c>
      <c r="Y2160" s="572" t="s">
        <v>1512</v>
      </c>
      <c r="Z2160" s="572">
        <f t="shared" si="1902"/>
        <v>33386.35</v>
      </c>
      <c r="AA2160" s="1">
        <f t="shared" si="1903"/>
        <v>0</v>
      </c>
    </row>
    <row r="2161" spans="1:27" x14ac:dyDescent="0.2">
      <c r="A2161" s="20" t="str">
        <f>A910</f>
        <v>6.6.2.1 Développer et actualiser les modules de formation</v>
      </c>
      <c r="B2161" s="46"/>
      <c r="C2161" s="386">
        <f>C910</f>
        <v>0</v>
      </c>
      <c r="D2161" s="168">
        <f t="shared" si="1886"/>
        <v>8.5</v>
      </c>
      <c r="E2161" s="168">
        <f t="shared" si="1887"/>
        <v>0</v>
      </c>
      <c r="F2161" s="168">
        <f t="shared" si="1888"/>
        <v>0</v>
      </c>
      <c r="G2161" s="168">
        <f t="shared" si="1889"/>
        <v>0</v>
      </c>
      <c r="H2161" s="168">
        <f t="shared" si="1890"/>
        <v>0</v>
      </c>
      <c r="I2161" s="166">
        <f t="shared" si="1891"/>
        <v>8.5</v>
      </c>
      <c r="J2161" s="371" t="str">
        <f t="shared" si="1892"/>
        <v>ETP-IG</v>
      </c>
      <c r="K2161" s="350" t="str">
        <f t="shared" si="1893"/>
        <v>ND</v>
      </c>
      <c r="L2161" s="167">
        <f t="shared" ref="L2161:Q2161" si="1973">L910</f>
        <v>8500</v>
      </c>
      <c r="M2161" s="168">
        <f t="shared" si="1973"/>
        <v>0</v>
      </c>
      <c r="N2161" s="168">
        <f t="shared" si="1973"/>
        <v>0</v>
      </c>
      <c r="O2161" s="168">
        <f t="shared" si="1973"/>
        <v>0</v>
      </c>
      <c r="P2161" s="168">
        <f t="shared" si="1973"/>
        <v>0</v>
      </c>
      <c r="Q2161" s="165">
        <f t="shared" si="1973"/>
        <v>8500</v>
      </c>
      <c r="R2161" s="198" t="str">
        <f t="shared" ref="R2161:S2161" si="1974">R910</f>
        <v>ETP-IG</v>
      </c>
      <c r="S2161" s="115" t="str">
        <f t="shared" si="1974"/>
        <v>ND</v>
      </c>
      <c r="T2161" s="51">
        <f>T910</f>
        <v>0</v>
      </c>
      <c r="W2161" s="608">
        <f t="shared" si="1896"/>
        <v>8500</v>
      </c>
      <c r="X2161" s="608">
        <f t="shared" si="1897"/>
        <v>0</v>
      </c>
      <c r="Y2161" s="572" t="s">
        <v>1512</v>
      </c>
      <c r="Z2161" s="572">
        <f t="shared" si="1902"/>
        <v>8.5</v>
      </c>
      <c r="AA2161" s="1">
        <f t="shared" si="1903"/>
        <v>0</v>
      </c>
    </row>
    <row r="2162" spans="1:27" x14ac:dyDescent="0.2">
      <c r="A2162" s="20" t="str">
        <f>A913</f>
        <v>6.6.2.2 Mettre en place le plan de formation</v>
      </c>
      <c r="B2162" s="46"/>
      <c r="C2162" s="386">
        <f>C913</f>
        <v>0</v>
      </c>
      <c r="D2162" s="168">
        <f t="shared" si="1886"/>
        <v>11125.95</v>
      </c>
      <c r="E2162" s="168">
        <f t="shared" si="1887"/>
        <v>0</v>
      </c>
      <c r="F2162" s="168">
        <f t="shared" si="1888"/>
        <v>11125.95</v>
      </c>
      <c r="G2162" s="168">
        <f t="shared" si="1889"/>
        <v>0</v>
      </c>
      <c r="H2162" s="168">
        <f t="shared" si="1890"/>
        <v>11125.95</v>
      </c>
      <c r="I2162" s="166">
        <f t="shared" si="1891"/>
        <v>33377.85</v>
      </c>
      <c r="J2162" s="371" t="str">
        <f t="shared" si="1892"/>
        <v>ETP-IG</v>
      </c>
      <c r="K2162" s="350" t="str">
        <f t="shared" si="1893"/>
        <v>ND</v>
      </c>
      <c r="L2162" s="167">
        <f t="shared" ref="L2162:T2162" si="1975">L913</f>
        <v>11125950</v>
      </c>
      <c r="M2162" s="168">
        <f t="shared" si="1975"/>
        <v>0</v>
      </c>
      <c r="N2162" s="168">
        <f t="shared" si="1975"/>
        <v>11125950</v>
      </c>
      <c r="O2162" s="168">
        <f t="shared" si="1975"/>
        <v>0</v>
      </c>
      <c r="P2162" s="168">
        <f t="shared" si="1975"/>
        <v>11125950</v>
      </c>
      <c r="Q2162" s="165">
        <f t="shared" si="1975"/>
        <v>33377850</v>
      </c>
      <c r="R2162" s="198" t="str">
        <f t="shared" ref="R2162:S2162" si="1976">R913</f>
        <v>ETP-IG</v>
      </c>
      <c r="S2162" s="115" t="str">
        <f t="shared" si="1976"/>
        <v>ND</v>
      </c>
      <c r="T2162" s="51">
        <f t="shared" si="1975"/>
        <v>0</v>
      </c>
      <c r="W2162" s="608">
        <f t="shared" si="1896"/>
        <v>33377850</v>
      </c>
      <c r="X2162" s="608">
        <f t="shared" si="1897"/>
        <v>0</v>
      </c>
      <c r="Y2162" s="572" t="s">
        <v>1512</v>
      </c>
      <c r="Z2162" s="572">
        <f t="shared" si="1902"/>
        <v>33377.85</v>
      </c>
      <c r="AA2162" s="1">
        <f t="shared" si="1903"/>
        <v>0</v>
      </c>
    </row>
    <row r="2163" spans="1:27" x14ac:dyDescent="0.2">
      <c r="A2163" s="17" t="str">
        <f>A915</f>
        <v>6.6.3 Rémunération du personnel</v>
      </c>
      <c r="B2163" s="45"/>
      <c r="C2163" s="386">
        <f>C915</f>
        <v>0</v>
      </c>
      <c r="D2163" s="157">
        <f t="shared" si="1886"/>
        <v>39194.269999999997</v>
      </c>
      <c r="E2163" s="157">
        <f t="shared" si="1887"/>
        <v>42446.06</v>
      </c>
      <c r="F2163" s="157">
        <f t="shared" si="1888"/>
        <v>45723.82</v>
      </c>
      <c r="G2163" s="157">
        <f t="shared" si="1889"/>
        <v>53559.03</v>
      </c>
      <c r="H2163" s="157">
        <f t="shared" si="1890"/>
        <v>61974.95</v>
      </c>
      <c r="I2163" s="160">
        <f t="shared" si="1891"/>
        <v>242898.13</v>
      </c>
      <c r="J2163" s="374">
        <f t="shared" si="1892"/>
        <v>0</v>
      </c>
      <c r="K2163" s="348">
        <f t="shared" si="1893"/>
        <v>0</v>
      </c>
      <c r="L2163" s="35">
        <f t="shared" ref="L2163:Q2163" si="1977">L2164</f>
        <v>39194270</v>
      </c>
      <c r="M2163" s="34">
        <f t="shared" si="1977"/>
        <v>42446060</v>
      </c>
      <c r="N2163" s="34">
        <f t="shared" si="1977"/>
        <v>45723820</v>
      </c>
      <c r="O2163" s="34">
        <f t="shared" si="1977"/>
        <v>53559030</v>
      </c>
      <c r="P2163" s="34">
        <f t="shared" si="1977"/>
        <v>61974950</v>
      </c>
      <c r="Q2163" s="26">
        <f t="shared" si="1977"/>
        <v>242898130</v>
      </c>
      <c r="R2163" s="19"/>
      <c r="S2163" s="18"/>
      <c r="T2163" s="51">
        <f>T915</f>
        <v>1</v>
      </c>
      <c r="W2163" s="608">
        <f t="shared" si="1896"/>
        <v>242898130</v>
      </c>
      <c r="X2163" s="608">
        <f t="shared" si="1897"/>
        <v>0</v>
      </c>
      <c r="Z2163" s="572">
        <f t="shared" si="1902"/>
        <v>0</v>
      </c>
      <c r="AA2163" s="1">
        <f t="shared" si="1903"/>
        <v>0</v>
      </c>
    </row>
    <row r="2164" spans="1:27" x14ac:dyDescent="0.2">
      <c r="A2164" s="20" t="str">
        <f>A916</f>
        <v>6.6.3.1 Paiement des enseignants de l'ETFP</v>
      </c>
      <c r="B2164" s="46"/>
      <c r="C2164" s="386">
        <f>C916</f>
        <v>0</v>
      </c>
      <c r="D2164" s="168">
        <f t="shared" si="1886"/>
        <v>39194.269999999997</v>
      </c>
      <c r="E2164" s="168">
        <f t="shared" si="1887"/>
        <v>42446.06</v>
      </c>
      <c r="F2164" s="168">
        <f t="shared" si="1888"/>
        <v>45723.82</v>
      </c>
      <c r="G2164" s="168">
        <f t="shared" si="1889"/>
        <v>53559.03</v>
      </c>
      <c r="H2164" s="168">
        <f t="shared" si="1890"/>
        <v>61974.95</v>
      </c>
      <c r="I2164" s="166">
        <f t="shared" si="1891"/>
        <v>242898.13</v>
      </c>
      <c r="J2164" s="371" t="str">
        <f t="shared" si="1892"/>
        <v>SECOPE/SG</v>
      </c>
      <c r="K2164" s="350" t="str">
        <f t="shared" si="1893"/>
        <v>GVT</v>
      </c>
      <c r="L2164" s="167">
        <f t="shared" ref="L2164:Q2164" si="1978">L916</f>
        <v>39194270</v>
      </c>
      <c r="M2164" s="168">
        <f t="shared" si="1978"/>
        <v>42446060</v>
      </c>
      <c r="N2164" s="168">
        <f t="shared" si="1978"/>
        <v>45723820</v>
      </c>
      <c r="O2164" s="168">
        <f t="shared" si="1978"/>
        <v>53559030</v>
      </c>
      <c r="P2164" s="168">
        <f t="shared" si="1978"/>
        <v>61974950</v>
      </c>
      <c r="Q2164" s="165">
        <f t="shared" si="1978"/>
        <v>242898130</v>
      </c>
      <c r="R2164" s="198" t="str">
        <f t="shared" ref="R2164:S2164" si="1979">R916</f>
        <v>SECOPE/SG</v>
      </c>
      <c r="S2164" s="115" t="str">
        <f t="shared" si="1979"/>
        <v>GVT</v>
      </c>
      <c r="T2164" s="51">
        <f>T916</f>
        <v>0</v>
      </c>
      <c r="W2164" s="608">
        <f t="shared" si="1896"/>
        <v>242898130</v>
      </c>
      <c r="X2164" s="608">
        <f t="shared" si="1897"/>
        <v>0</v>
      </c>
      <c r="Z2164" s="572">
        <f t="shared" si="1902"/>
        <v>0</v>
      </c>
      <c r="AA2164" s="1">
        <f t="shared" si="1903"/>
        <v>0</v>
      </c>
    </row>
    <row r="2165" spans="1:27" x14ac:dyDescent="0.2">
      <c r="A2165" s="14" t="str">
        <f>A918</f>
        <v>6.7 Supervision des structures et des enseignants : assurer l'encadrement pédagogique et administratif des écoles</v>
      </c>
      <c r="B2165" s="44"/>
      <c r="C2165" s="385">
        <f>C918</f>
        <v>0</v>
      </c>
      <c r="D2165" s="217">
        <f t="shared" si="1886"/>
        <v>37.5</v>
      </c>
      <c r="E2165" s="217">
        <f t="shared" si="1887"/>
        <v>0</v>
      </c>
      <c r="F2165" s="217">
        <f t="shared" si="1888"/>
        <v>1250.8</v>
      </c>
      <c r="G2165" s="217">
        <f t="shared" si="1889"/>
        <v>274.8</v>
      </c>
      <c r="H2165" s="217">
        <f t="shared" si="1890"/>
        <v>274.8</v>
      </c>
      <c r="I2165" s="220">
        <f t="shared" si="1891"/>
        <v>1837.9</v>
      </c>
      <c r="J2165" s="373">
        <f t="shared" si="1892"/>
        <v>0</v>
      </c>
      <c r="K2165" s="346">
        <f t="shared" si="1893"/>
        <v>0</v>
      </c>
      <c r="L2165" s="33">
        <f t="shared" ref="L2165:Q2165" si="1980">L2166+L2168+L2170+L2172</f>
        <v>37500</v>
      </c>
      <c r="M2165" s="32">
        <f t="shared" si="1980"/>
        <v>0</v>
      </c>
      <c r="N2165" s="32">
        <f t="shared" si="1980"/>
        <v>1250800</v>
      </c>
      <c r="O2165" s="32">
        <f t="shared" si="1980"/>
        <v>274800</v>
      </c>
      <c r="P2165" s="32">
        <f t="shared" si="1980"/>
        <v>274800</v>
      </c>
      <c r="Q2165" s="25">
        <f t="shared" si="1980"/>
        <v>1837900</v>
      </c>
      <c r="R2165" s="515">
        <f t="shared" ref="R2165:S2165" si="1981">R2166+R2168+R2170+R2172</f>
        <v>0</v>
      </c>
      <c r="S2165" s="145">
        <f t="shared" si="1981"/>
        <v>0</v>
      </c>
      <c r="T2165" s="49">
        <f>T918</f>
        <v>3</v>
      </c>
      <c r="W2165" s="608">
        <f t="shared" si="1896"/>
        <v>1837900</v>
      </c>
      <c r="X2165" s="608">
        <f t="shared" si="1897"/>
        <v>0</v>
      </c>
      <c r="Y2165" s="572" t="s">
        <v>1512</v>
      </c>
      <c r="Z2165" s="572">
        <f t="shared" si="1902"/>
        <v>1837.9</v>
      </c>
      <c r="AA2165" s="1">
        <f t="shared" si="1903"/>
        <v>0</v>
      </c>
    </row>
    <row r="2166" spans="1:27" x14ac:dyDescent="0.2">
      <c r="A2166" s="17" t="str">
        <f>A919</f>
        <v>6.7.1 Moyens de déplacement des inspecteurs</v>
      </c>
      <c r="B2166" s="45"/>
      <c r="C2166" s="386">
        <f>C919</f>
        <v>0</v>
      </c>
      <c r="D2166" s="157">
        <f t="shared" si="1886"/>
        <v>0</v>
      </c>
      <c r="E2166" s="157">
        <f t="shared" si="1887"/>
        <v>0</v>
      </c>
      <c r="F2166" s="157">
        <f t="shared" si="1888"/>
        <v>747</v>
      </c>
      <c r="G2166" s="157">
        <f t="shared" si="1889"/>
        <v>0</v>
      </c>
      <c r="H2166" s="157">
        <f t="shared" si="1890"/>
        <v>0</v>
      </c>
      <c r="I2166" s="160">
        <f t="shared" si="1891"/>
        <v>747</v>
      </c>
      <c r="J2166" s="374">
        <f t="shared" si="1892"/>
        <v>0</v>
      </c>
      <c r="K2166" s="348">
        <f t="shared" si="1893"/>
        <v>0</v>
      </c>
      <c r="L2166" s="35">
        <f t="shared" ref="L2166:S2166" si="1982">SUM(L2167:L2167)</f>
        <v>0</v>
      </c>
      <c r="M2166" s="34">
        <f t="shared" si="1982"/>
        <v>0</v>
      </c>
      <c r="N2166" s="34">
        <f t="shared" si="1982"/>
        <v>747000</v>
      </c>
      <c r="O2166" s="34">
        <f t="shared" si="1982"/>
        <v>0</v>
      </c>
      <c r="P2166" s="34">
        <f t="shared" si="1982"/>
        <v>0</v>
      </c>
      <c r="Q2166" s="26">
        <f t="shared" si="1982"/>
        <v>747000</v>
      </c>
      <c r="R2166" s="209">
        <f t="shared" si="1982"/>
        <v>0</v>
      </c>
      <c r="S2166" s="116">
        <f t="shared" si="1982"/>
        <v>0</v>
      </c>
      <c r="T2166" s="50">
        <f>T919</f>
        <v>0</v>
      </c>
      <c r="W2166" s="608">
        <f t="shared" si="1896"/>
        <v>747000</v>
      </c>
      <c r="X2166" s="608">
        <f t="shared" si="1897"/>
        <v>0</v>
      </c>
      <c r="Y2166" s="572" t="s">
        <v>1512</v>
      </c>
      <c r="Z2166" s="572">
        <f t="shared" si="1902"/>
        <v>747</v>
      </c>
      <c r="AA2166" s="1">
        <f t="shared" si="1903"/>
        <v>0</v>
      </c>
    </row>
    <row r="2167" spans="1:27" x14ac:dyDescent="0.2">
      <c r="A2167" s="20" t="str">
        <f>A920</f>
        <v>6.7.1.1 Renforcement des moyen des déplacements</v>
      </c>
      <c r="B2167" s="149"/>
      <c r="C2167" s="386" t="str">
        <f>C920</f>
        <v>à partir de 2018, tous les inspecteurs disposent des moyens de déplacement (moto)</v>
      </c>
      <c r="D2167" s="168">
        <f t="shared" si="1886"/>
        <v>0</v>
      </c>
      <c r="E2167" s="168">
        <f t="shared" si="1887"/>
        <v>0</v>
      </c>
      <c r="F2167" s="168">
        <f t="shared" si="1888"/>
        <v>747</v>
      </c>
      <c r="G2167" s="168">
        <f t="shared" si="1889"/>
        <v>0</v>
      </c>
      <c r="H2167" s="168">
        <f t="shared" si="1890"/>
        <v>0</v>
      </c>
      <c r="I2167" s="166">
        <f t="shared" si="1891"/>
        <v>747</v>
      </c>
      <c r="J2167" s="371" t="str">
        <f t="shared" si="1892"/>
        <v>ETP-IG</v>
      </c>
      <c r="K2167" s="350" t="str">
        <f t="shared" si="1893"/>
        <v>ND</v>
      </c>
      <c r="L2167" s="167">
        <f t="shared" ref="L2167:Q2167" si="1983">L920</f>
        <v>0</v>
      </c>
      <c r="M2167" s="168">
        <f t="shared" si="1983"/>
        <v>0</v>
      </c>
      <c r="N2167" s="168">
        <f t="shared" si="1983"/>
        <v>747000</v>
      </c>
      <c r="O2167" s="168">
        <f t="shared" si="1983"/>
        <v>0</v>
      </c>
      <c r="P2167" s="168">
        <f t="shared" si="1983"/>
        <v>0</v>
      </c>
      <c r="Q2167" s="165">
        <f t="shared" si="1983"/>
        <v>747000</v>
      </c>
      <c r="R2167" s="198" t="str">
        <f t="shared" ref="R2167:S2167" si="1984">R920</f>
        <v>ETP-IG</v>
      </c>
      <c r="S2167" s="115" t="str">
        <f t="shared" si="1984"/>
        <v>ND</v>
      </c>
      <c r="T2167" s="51">
        <f>T920</f>
        <v>0</v>
      </c>
      <c r="W2167" s="608">
        <f t="shared" si="1896"/>
        <v>747000</v>
      </c>
      <c r="X2167" s="608">
        <f t="shared" si="1897"/>
        <v>0</v>
      </c>
      <c r="Y2167" s="572" t="s">
        <v>1512</v>
      </c>
      <c r="Z2167" s="572">
        <f t="shared" si="1902"/>
        <v>747</v>
      </c>
      <c r="AA2167" s="1">
        <f t="shared" si="1903"/>
        <v>0</v>
      </c>
    </row>
    <row r="2168" spans="1:27" x14ac:dyDescent="0.2">
      <c r="A2168" s="17" t="str">
        <f>A923</f>
        <v>6.7.2 Primes d'itinérance</v>
      </c>
      <c r="B2168" s="45"/>
      <c r="C2168" s="386">
        <f>C923</f>
        <v>0</v>
      </c>
      <c r="D2168" s="157">
        <f t="shared" si="1886"/>
        <v>0</v>
      </c>
      <c r="E2168" s="157">
        <f t="shared" si="1887"/>
        <v>0</v>
      </c>
      <c r="F2168" s="157">
        <f t="shared" si="1888"/>
        <v>274.8</v>
      </c>
      <c r="G2168" s="157">
        <f t="shared" si="1889"/>
        <v>274.8</v>
      </c>
      <c r="H2168" s="157">
        <f t="shared" si="1890"/>
        <v>274.8</v>
      </c>
      <c r="I2168" s="160">
        <f t="shared" si="1891"/>
        <v>824.4</v>
      </c>
      <c r="J2168" s="374">
        <f t="shared" si="1892"/>
        <v>0</v>
      </c>
      <c r="K2168" s="348">
        <f t="shared" si="1893"/>
        <v>0</v>
      </c>
      <c r="L2168" s="35">
        <f t="shared" ref="L2168:S2168" si="1985">SUM(L2169:L2169)</f>
        <v>0</v>
      </c>
      <c r="M2168" s="34">
        <f t="shared" si="1985"/>
        <v>0</v>
      </c>
      <c r="N2168" s="34">
        <f t="shared" si="1985"/>
        <v>274800</v>
      </c>
      <c r="O2168" s="34">
        <f t="shared" si="1985"/>
        <v>274800</v>
      </c>
      <c r="P2168" s="34">
        <f t="shared" si="1985"/>
        <v>274800</v>
      </c>
      <c r="Q2168" s="26">
        <f t="shared" si="1985"/>
        <v>824400</v>
      </c>
      <c r="R2168" s="209">
        <f t="shared" si="1985"/>
        <v>0</v>
      </c>
      <c r="S2168" s="116">
        <f t="shared" si="1985"/>
        <v>0</v>
      </c>
      <c r="T2168" s="50">
        <f>T923</f>
        <v>0</v>
      </c>
      <c r="W2168" s="608">
        <f t="shared" si="1896"/>
        <v>824400</v>
      </c>
      <c r="X2168" s="608">
        <f t="shared" si="1897"/>
        <v>0</v>
      </c>
      <c r="Y2168" s="572" t="s">
        <v>1512</v>
      </c>
      <c r="Z2168" s="572">
        <f t="shared" si="1902"/>
        <v>824.4</v>
      </c>
      <c r="AA2168" s="1">
        <f t="shared" si="1903"/>
        <v>0</v>
      </c>
    </row>
    <row r="2169" spans="1:27" x14ac:dyDescent="0.2">
      <c r="A2169" s="20" t="str">
        <f>A924</f>
        <v>6.7.2.1 Assurer l'encadrement pédagogique et administratif des centres d'ingénierie, d'application et de ressources</v>
      </c>
      <c r="B2169" s="149"/>
      <c r="C2169" s="386" t="str">
        <f>C924</f>
        <v>à partir de 2016, tous les inspecteurs perçoivent la prime d'itinérance</v>
      </c>
      <c r="D2169" s="168">
        <f t="shared" si="1886"/>
        <v>0</v>
      </c>
      <c r="E2169" s="168">
        <f t="shared" si="1887"/>
        <v>0</v>
      </c>
      <c r="F2169" s="168">
        <f t="shared" si="1888"/>
        <v>274.8</v>
      </c>
      <c r="G2169" s="168">
        <f t="shared" si="1889"/>
        <v>274.8</v>
      </c>
      <c r="H2169" s="168">
        <f t="shared" si="1890"/>
        <v>274.8</v>
      </c>
      <c r="I2169" s="166">
        <f t="shared" si="1891"/>
        <v>824.4</v>
      </c>
      <c r="J2169" s="371" t="str">
        <f t="shared" si="1892"/>
        <v>ETP-DSG</v>
      </c>
      <c r="K2169" s="350" t="str">
        <f t="shared" si="1893"/>
        <v>ND</v>
      </c>
      <c r="L2169" s="167">
        <f t="shared" ref="L2169:Q2169" si="1986">L924</f>
        <v>0</v>
      </c>
      <c r="M2169" s="168">
        <f t="shared" si="1986"/>
        <v>0</v>
      </c>
      <c r="N2169" s="168">
        <f t="shared" si="1986"/>
        <v>274800</v>
      </c>
      <c r="O2169" s="168">
        <f t="shared" si="1986"/>
        <v>274800</v>
      </c>
      <c r="P2169" s="168">
        <f t="shared" si="1986"/>
        <v>274800</v>
      </c>
      <c r="Q2169" s="165">
        <f t="shared" si="1986"/>
        <v>824400</v>
      </c>
      <c r="R2169" s="198" t="str">
        <f t="shared" ref="R2169:S2169" si="1987">R924</f>
        <v>ETP-DSG</v>
      </c>
      <c r="S2169" s="115" t="str">
        <f t="shared" si="1987"/>
        <v>ND</v>
      </c>
      <c r="T2169" s="51">
        <f>T924</f>
        <v>0</v>
      </c>
      <c r="W2169" s="608">
        <f t="shared" si="1896"/>
        <v>824400</v>
      </c>
      <c r="X2169" s="608">
        <f t="shared" si="1897"/>
        <v>0</v>
      </c>
      <c r="Y2169" s="572" t="s">
        <v>1512</v>
      </c>
      <c r="Z2169" s="572">
        <f t="shared" si="1902"/>
        <v>824.4</v>
      </c>
      <c r="AA2169" s="1">
        <f t="shared" si="1903"/>
        <v>0</v>
      </c>
    </row>
    <row r="2170" spans="1:27" x14ac:dyDescent="0.2">
      <c r="A2170" s="17" t="str">
        <f>A926</f>
        <v>6.7.3 Moyens informatiques</v>
      </c>
      <c r="B2170" s="45"/>
      <c r="C2170" s="386">
        <f>C926</f>
        <v>0</v>
      </c>
      <c r="D2170" s="157">
        <f t="shared" si="1886"/>
        <v>0</v>
      </c>
      <c r="E2170" s="157">
        <f t="shared" si="1887"/>
        <v>0</v>
      </c>
      <c r="F2170" s="157">
        <f t="shared" si="1888"/>
        <v>229</v>
      </c>
      <c r="G2170" s="157">
        <f t="shared" si="1889"/>
        <v>0</v>
      </c>
      <c r="H2170" s="157">
        <f t="shared" si="1890"/>
        <v>0</v>
      </c>
      <c r="I2170" s="160">
        <f t="shared" si="1891"/>
        <v>229</v>
      </c>
      <c r="J2170" s="374">
        <f t="shared" si="1892"/>
        <v>0</v>
      </c>
      <c r="K2170" s="348">
        <f t="shared" si="1893"/>
        <v>0</v>
      </c>
      <c r="L2170" s="35">
        <f t="shared" ref="L2170:S2170" si="1988">SUM(L2171:L2171)</f>
        <v>0</v>
      </c>
      <c r="M2170" s="34">
        <f t="shared" si="1988"/>
        <v>0</v>
      </c>
      <c r="N2170" s="34">
        <f t="shared" si="1988"/>
        <v>229000</v>
      </c>
      <c r="O2170" s="34">
        <f t="shared" si="1988"/>
        <v>0</v>
      </c>
      <c r="P2170" s="34">
        <f t="shared" si="1988"/>
        <v>0</v>
      </c>
      <c r="Q2170" s="26">
        <f t="shared" si="1988"/>
        <v>229000</v>
      </c>
      <c r="R2170" s="209">
        <f t="shared" si="1988"/>
        <v>0</v>
      </c>
      <c r="S2170" s="116">
        <f t="shared" si="1988"/>
        <v>0</v>
      </c>
      <c r="T2170" s="50">
        <f>T926</f>
        <v>0</v>
      </c>
      <c r="W2170" s="608">
        <f t="shared" si="1896"/>
        <v>229000</v>
      </c>
      <c r="X2170" s="608">
        <f t="shared" si="1897"/>
        <v>0</v>
      </c>
      <c r="Y2170" s="572" t="s">
        <v>1512</v>
      </c>
      <c r="Z2170" s="572">
        <f t="shared" si="1902"/>
        <v>229</v>
      </c>
      <c r="AA2170" s="1">
        <f t="shared" si="1903"/>
        <v>0</v>
      </c>
    </row>
    <row r="2171" spans="1:27" x14ac:dyDescent="0.2">
      <c r="A2171" s="20" t="str">
        <f>A927</f>
        <v>6.7.3.1 Équipement des inspecteurs en ordinateurs portables</v>
      </c>
      <c r="B2171" s="149"/>
      <c r="C2171" s="386">
        <f>C927</f>
        <v>0</v>
      </c>
      <c r="D2171" s="168">
        <f t="shared" si="1886"/>
        <v>0</v>
      </c>
      <c r="E2171" s="168">
        <f t="shared" si="1887"/>
        <v>0</v>
      </c>
      <c r="F2171" s="168">
        <f t="shared" si="1888"/>
        <v>229</v>
      </c>
      <c r="G2171" s="168">
        <f t="shared" si="1889"/>
        <v>0</v>
      </c>
      <c r="H2171" s="168">
        <f t="shared" si="1890"/>
        <v>0</v>
      </c>
      <c r="I2171" s="166">
        <f t="shared" si="1891"/>
        <v>229</v>
      </c>
      <c r="J2171" s="371" t="str">
        <f t="shared" si="1892"/>
        <v>ETP-DSG</v>
      </c>
      <c r="K2171" s="350" t="str">
        <f t="shared" si="1893"/>
        <v>ND</v>
      </c>
      <c r="L2171" s="167">
        <f t="shared" ref="L2171:Q2171" si="1989">L927</f>
        <v>0</v>
      </c>
      <c r="M2171" s="168">
        <f t="shared" si="1989"/>
        <v>0</v>
      </c>
      <c r="N2171" s="168">
        <f t="shared" si="1989"/>
        <v>229000</v>
      </c>
      <c r="O2171" s="168">
        <f t="shared" si="1989"/>
        <v>0</v>
      </c>
      <c r="P2171" s="168">
        <f t="shared" si="1989"/>
        <v>0</v>
      </c>
      <c r="Q2171" s="165">
        <f t="shared" si="1989"/>
        <v>229000</v>
      </c>
      <c r="R2171" s="198" t="str">
        <f t="shared" ref="R2171:S2171" si="1990">R927</f>
        <v>ETP-DSG</v>
      </c>
      <c r="S2171" s="115" t="str">
        <f t="shared" si="1990"/>
        <v>ND</v>
      </c>
      <c r="T2171" s="51">
        <f>T927</f>
        <v>0</v>
      </c>
      <c r="W2171" s="608">
        <f t="shared" si="1896"/>
        <v>229000</v>
      </c>
      <c r="X2171" s="608">
        <f t="shared" si="1897"/>
        <v>0</v>
      </c>
      <c r="Y2171" s="572" t="s">
        <v>1512</v>
      </c>
      <c r="Z2171" s="572">
        <f t="shared" si="1902"/>
        <v>229</v>
      </c>
      <c r="AA2171" s="1">
        <f t="shared" si="1903"/>
        <v>0</v>
      </c>
    </row>
    <row r="2172" spans="1:27" x14ac:dyDescent="0.2">
      <c r="A2172" s="17" t="str">
        <f>A929</f>
        <v>6.7.4 Mise en place d'un observatoire national ETFP tripartite (Gouvernement, employeurs et syndicats) pour l'employabilité des sortants</v>
      </c>
      <c r="B2172" s="108"/>
      <c r="C2172" s="386">
        <f>C929</f>
        <v>0</v>
      </c>
      <c r="D2172" s="168">
        <f t="shared" si="1886"/>
        <v>37.5</v>
      </c>
      <c r="E2172" s="168">
        <f t="shared" si="1887"/>
        <v>0</v>
      </c>
      <c r="F2172" s="168">
        <f t="shared" si="1888"/>
        <v>0</v>
      </c>
      <c r="G2172" s="168">
        <f t="shared" si="1889"/>
        <v>0</v>
      </c>
      <c r="H2172" s="168">
        <f t="shared" si="1890"/>
        <v>0</v>
      </c>
      <c r="I2172" s="166">
        <f t="shared" si="1891"/>
        <v>37.5</v>
      </c>
      <c r="J2172" s="371">
        <f t="shared" si="1892"/>
        <v>0</v>
      </c>
      <c r="K2172" s="350">
        <f t="shared" si="1893"/>
        <v>0</v>
      </c>
      <c r="L2172" s="35">
        <f t="shared" ref="L2172:Q2172" si="1991">SUM(L2173:L2174)</f>
        <v>37500</v>
      </c>
      <c r="M2172" s="34">
        <f t="shared" si="1991"/>
        <v>0</v>
      </c>
      <c r="N2172" s="34">
        <f t="shared" si="1991"/>
        <v>0</v>
      </c>
      <c r="O2172" s="34">
        <f t="shared" si="1991"/>
        <v>0</v>
      </c>
      <c r="P2172" s="34">
        <f t="shared" si="1991"/>
        <v>0</v>
      </c>
      <c r="Q2172" s="26">
        <f t="shared" si="1991"/>
        <v>37500</v>
      </c>
      <c r="R2172" s="198">
        <f t="shared" ref="R2172:S2172" si="1992">SUM(R2173:R2174)</f>
        <v>0</v>
      </c>
      <c r="S2172" s="115">
        <f t="shared" si="1992"/>
        <v>0</v>
      </c>
      <c r="T2172" s="51">
        <f>T929</f>
        <v>0</v>
      </c>
      <c r="W2172" s="608">
        <f t="shared" si="1896"/>
        <v>37500</v>
      </c>
      <c r="X2172" s="608">
        <f t="shared" si="1897"/>
        <v>0</v>
      </c>
      <c r="Y2172" s="572" t="s">
        <v>1512</v>
      </c>
      <c r="Z2172" s="572">
        <f t="shared" si="1902"/>
        <v>37.5</v>
      </c>
      <c r="AA2172" s="1">
        <f t="shared" si="1903"/>
        <v>0</v>
      </c>
    </row>
    <row r="2173" spans="1:27" x14ac:dyDescent="0.2">
      <c r="A2173" s="20" t="str">
        <f>A930</f>
        <v>6.7.4.1 Élaboration des accords de partenariat entre les trois entités concernés</v>
      </c>
      <c r="B2173" s="149"/>
      <c r="C2173" s="386">
        <f>C930</f>
        <v>0</v>
      </c>
      <c r="D2173" s="168">
        <f t="shared" si="1886"/>
        <v>6</v>
      </c>
      <c r="E2173" s="168">
        <f t="shared" si="1887"/>
        <v>0</v>
      </c>
      <c r="F2173" s="168">
        <f t="shared" si="1888"/>
        <v>0</v>
      </c>
      <c r="G2173" s="168">
        <f t="shared" si="1889"/>
        <v>0</v>
      </c>
      <c r="H2173" s="168">
        <f t="shared" si="1890"/>
        <v>0</v>
      </c>
      <c r="I2173" s="166">
        <f t="shared" si="1891"/>
        <v>6</v>
      </c>
      <c r="J2173" s="371" t="str">
        <f t="shared" si="1892"/>
        <v>ETP-DEP</v>
      </c>
      <c r="K2173" s="350" t="str">
        <f t="shared" si="1893"/>
        <v>ND</v>
      </c>
      <c r="L2173" s="167">
        <f t="shared" ref="L2173:Q2173" si="1993">L930</f>
        <v>6000</v>
      </c>
      <c r="M2173" s="168">
        <f t="shared" si="1993"/>
        <v>0</v>
      </c>
      <c r="N2173" s="168">
        <f t="shared" si="1993"/>
        <v>0</v>
      </c>
      <c r="O2173" s="168">
        <f t="shared" si="1993"/>
        <v>0</v>
      </c>
      <c r="P2173" s="168">
        <f t="shared" si="1993"/>
        <v>0</v>
      </c>
      <c r="Q2173" s="165">
        <f t="shared" si="1993"/>
        <v>6000</v>
      </c>
      <c r="R2173" s="198" t="str">
        <f t="shared" ref="R2173:S2173" si="1994">R930</f>
        <v>ETP-DEP</v>
      </c>
      <c r="S2173" s="115" t="str">
        <f t="shared" si="1994"/>
        <v>ND</v>
      </c>
      <c r="T2173" s="51">
        <f>T930</f>
        <v>0</v>
      </c>
      <c r="W2173" s="608">
        <f t="shared" si="1896"/>
        <v>6000</v>
      </c>
      <c r="X2173" s="608">
        <f t="shared" si="1897"/>
        <v>0</v>
      </c>
      <c r="Y2173" s="572" t="s">
        <v>1512</v>
      </c>
      <c r="Z2173" s="572">
        <f t="shared" si="1902"/>
        <v>6</v>
      </c>
      <c r="AA2173" s="1">
        <f t="shared" si="1903"/>
        <v>0</v>
      </c>
    </row>
    <row r="2174" spans="1:27" x14ac:dyDescent="0.2">
      <c r="A2174" s="20" t="str">
        <f>A932</f>
        <v>6.7.4.2 Étude d'employabilité des sortants</v>
      </c>
      <c r="B2174" s="108"/>
      <c r="C2174" s="386">
        <f>C932</f>
        <v>0</v>
      </c>
      <c r="D2174" s="168">
        <f t="shared" si="1886"/>
        <v>31.5</v>
      </c>
      <c r="E2174" s="168">
        <f t="shared" si="1887"/>
        <v>0</v>
      </c>
      <c r="F2174" s="168">
        <f t="shared" si="1888"/>
        <v>0</v>
      </c>
      <c r="G2174" s="168">
        <f t="shared" si="1889"/>
        <v>0</v>
      </c>
      <c r="H2174" s="168">
        <f t="shared" si="1890"/>
        <v>0</v>
      </c>
      <c r="I2174" s="166">
        <f t="shared" si="1891"/>
        <v>31.5</v>
      </c>
      <c r="J2174" s="371" t="str">
        <f t="shared" si="1892"/>
        <v>ETP-DEP</v>
      </c>
      <c r="K2174" s="350">
        <f t="shared" si="1893"/>
        <v>0</v>
      </c>
      <c r="L2174" s="37">
        <f t="shared" ref="L2174:T2174" si="1995">L932</f>
        <v>31500</v>
      </c>
      <c r="M2174" s="36">
        <f t="shared" si="1995"/>
        <v>0</v>
      </c>
      <c r="N2174" s="36">
        <f t="shared" si="1995"/>
        <v>0</v>
      </c>
      <c r="O2174" s="36">
        <f t="shared" si="1995"/>
        <v>0</v>
      </c>
      <c r="P2174" s="36">
        <f t="shared" si="1995"/>
        <v>0</v>
      </c>
      <c r="Q2174" s="27">
        <f t="shared" si="1995"/>
        <v>31500</v>
      </c>
      <c r="R2174" s="198" t="str">
        <f t="shared" ref="R2174:S2174" si="1996">R932</f>
        <v>ETP-DEP</v>
      </c>
      <c r="S2174" s="115">
        <f t="shared" si="1996"/>
        <v>0</v>
      </c>
      <c r="T2174" s="51">
        <f t="shared" si="1995"/>
        <v>0</v>
      </c>
      <c r="W2174" s="608">
        <f t="shared" si="1896"/>
        <v>31500</v>
      </c>
      <c r="X2174" s="608">
        <f t="shared" si="1897"/>
        <v>0</v>
      </c>
      <c r="Y2174" s="572" t="s">
        <v>1512</v>
      </c>
      <c r="Z2174" s="572">
        <f t="shared" si="1902"/>
        <v>31.5</v>
      </c>
      <c r="AA2174" s="1">
        <f t="shared" si="1903"/>
        <v>0</v>
      </c>
    </row>
    <row r="2175" spans="1:27" x14ac:dyDescent="0.2">
      <c r="A2175" s="11" t="str">
        <f>A936</f>
        <v>7. Enseignement supérieur : Former les cadres qualifiés et ouverts aux technologies qui porteront le développement économique</v>
      </c>
      <c r="B2175" s="13"/>
      <c r="C2175" s="391">
        <f>C936</f>
        <v>0</v>
      </c>
      <c r="D2175" s="339">
        <f t="shared" si="1886"/>
        <v>220454.04368609143</v>
      </c>
      <c r="E2175" s="339">
        <f t="shared" si="1887"/>
        <v>301545.36468999629</v>
      </c>
      <c r="F2175" s="339">
        <f t="shared" si="1888"/>
        <v>326003.56076659355</v>
      </c>
      <c r="G2175" s="339">
        <f t="shared" si="1889"/>
        <v>335117.79454020696</v>
      </c>
      <c r="H2175" s="339">
        <f t="shared" si="1890"/>
        <v>353767.24899435451</v>
      </c>
      <c r="I2175" s="375">
        <f t="shared" si="1891"/>
        <v>1536888.0126772427</v>
      </c>
      <c r="J2175" s="372">
        <f t="shared" si="1892"/>
        <v>0</v>
      </c>
      <c r="K2175" s="344">
        <f t="shared" si="1893"/>
        <v>0</v>
      </c>
      <c r="L2175" s="30">
        <f t="shared" ref="L2175:Q2175" si="1997">L2176+L2179+L2183+L2190+L2198+L2205+L2215+L2223+L2232+L2246+L2253+L2268+L2279</f>
        <v>220454043.68609142</v>
      </c>
      <c r="M2175" s="29">
        <f t="shared" si="1997"/>
        <v>301545364.6899963</v>
      </c>
      <c r="N2175" s="29">
        <f t="shared" si="1997"/>
        <v>326003560.76659358</v>
      </c>
      <c r="O2175" s="29">
        <f t="shared" si="1997"/>
        <v>335117794.54020697</v>
      </c>
      <c r="P2175" s="29">
        <f t="shared" si="1997"/>
        <v>353767248.99435449</v>
      </c>
      <c r="Q2175" s="24">
        <f t="shared" si="1997"/>
        <v>1536888012.6772428</v>
      </c>
      <c r="R2175" s="516">
        <f t="shared" ref="R2175:S2175" si="1998">R2176+R2179+R2183+R2190+R2198+R2205+R2215+R2223+R2232+R2246+R2253+R2268+R2279</f>
        <v>0</v>
      </c>
      <c r="S2175" s="177">
        <f t="shared" si="1998"/>
        <v>0</v>
      </c>
      <c r="T2175" s="48">
        <f>T936</f>
        <v>0</v>
      </c>
      <c r="U2175" s="653">
        <f>+Q2175+U$2103</f>
        <v>7229230135.0287495</v>
      </c>
      <c r="W2175" s="608">
        <f t="shared" si="1896"/>
        <v>1536888012.6772428</v>
      </c>
      <c r="X2175" s="608">
        <f t="shared" si="1897"/>
        <v>0</v>
      </c>
      <c r="Z2175" s="572">
        <f t="shared" si="1902"/>
        <v>0</v>
      </c>
      <c r="AA2175" s="1">
        <f t="shared" si="1903"/>
        <v>0</v>
      </c>
    </row>
    <row r="2176" spans="1:27" x14ac:dyDescent="0.2">
      <c r="A2176" s="14" t="str">
        <f>A937</f>
        <v>7.1. Accès des Filles à l’ESU : Promotion d’accès des Filles à l’ESU</v>
      </c>
      <c r="B2176" s="44"/>
      <c r="C2176" s="385">
        <f>C937</f>
        <v>0</v>
      </c>
      <c r="D2176" s="217">
        <f t="shared" si="1886"/>
        <v>600</v>
      </c>
      <c r="E2176" s="217">
        <f t="shared" si="1887"/>
        <v>600</v>
      </c>
      <c r="F2176" s="217">
        <f t="shared" si="1888"/>
        <v>600</v>
      </c>
      <c r="G2176" s="217">
        <f t="shared" si="1889"/>
        <v>600</v>
      </c>
      <c r="H2176" s="217">
        <f t="shared" si="1890"/>
        <v>600</v>
      </c>
      <c r="I2176" s="220">
        <f t="shared" si="1891"/>
        <v>3000</v>
      </c>
      <c r="J2176" s="373">
        <f t="shared" si="1892"/>
        <v>0</v>
      </c>
      <c r="K2176" s="346">
        <f t="shared" si="1893"/>
        <v>0</v>
      </c>
      <c r="L2176" s="33">
        <f t="shared" ref="L2176:S2176" si="1999">L2177</f>
        <v>600000</v>
      </c>
      <c r="M2176" s="32">
        <f t="shared" si="1999"/>
        <v>600000</v>
      </c>
      <c r="N2176" s="32">
        <f t="shared" si="1999"/>
        <v>600000</v>
      </c>
      <c r="O2176" s="32">
        <f t="shared" si="1999"/>
        <v>600000</v>
      </c>
      <c r="P2176" s="32">
        <f t="shared" si="1999"/>
        <v>600000</v>
      </c>
      <c r="Q2176" s="25">
        <f t="shared" si="1999"/>
        <v>3000000</v>
      </c>
      <c r="R2176" s="515">
        <f t="shared" si="1999"/>
        <v>0</v>
      </c>
      <c r="S2176" s="145">
        <f t="shared" si="1999"/>
        <v>0</v>
      </c>
      <c r="T2176" s="49">
        <f>T937</f>
        <v>1</v>
      </c>
      <c r="W2176" s="608">
        <f t="shared" si="1896"/>
        <v>3000000</v>
      </c>
      <c r="X2176" s="608">
        <f t="shared" si="1897"/>
        <v>0</v>
      </c>
      <c r="Z2176" s="572">
        <f t="shared" si="1902"/>
        <v>0</v>
      </c>
      <c r="AA2176" s="1">
        <f t="shared" si="1903"/>
        <v>0</v>
      </c>
    </row>
    <row r="2177" spans="1:27" x14ac:dyDescent="0.2">
      <c r="A2177" s="17" t="str">
        <f>A938</f>
        <v>7.1.1 Octroi d’une bourse d’études aux filles scolarisées dans les filières d’ingénierie</v>
      </c>
      <c r="B2177" s="45"/>
      <c r="C2177" s="386" t="str">
        <f>C938</f>
        <v>1000 bourses attribuées chaque année à partir de 2016</v>
      </c>
      <c r="D2177" s="157">
        <f t="shared" si="1886"/>
        <v>600</v>
      </c>
      <c r="E2177" s="157">
        <f t="shared" si="1887"/>
        <v>600</v>
      </c>
      <c r="F2177" s="157">
        <f t="shared" si="1888"/>
        <v>600</v>
      </c>
      <c r="G2177" s="157">
        <f t="shared" si="1889"/>
        <v>600</v>
      </c>
      <c r="H2177" s="157">
        <f t="shared" si="1890"/>
        <v>600</v>
      </c>
      <c r="I2177" s="160">
        <f t="shared" si="1891"/>
        <v>3000</v>
      </c>
      <c r="J2177" s="374">
        <f t="shared" si="1892"/>
        <v>0</v>
      </c>
      <c r="K2177" s="348">
        <f t="shared" si="1893"/>
        <v>0</v>
      </c>
      <c r="L2177" s="35">
        <f t="shared" ref="L2177:S2177" si="2000">SUM(L2178:L2178)</f>
        <v>600000</v>
      </c>
      <c r="M2177" s="34">
        <f t="shared" si="2000"/>
        <v>600000</v>
      </c>
      <c r="N2177" s="34">
        <f t="shared" si="2000"/>
        <v>600000</v>
      </c>
      <c r="O2177" s="34">
        <f t="shared" si="2000"/>
        <v>600000</v>
      </c>
      <c r="P2177" s="34">
        <f t="shared" si="2000"/>
        <v>600000</v>
      </c>
      <c r="Q2177" s="26">
        <f t="shared" si="2000"/>
        <v>3000000</v>
      </c>
      <c r="R2177" s="209">
        <f t="shared" si="2000"/>
        <v>0</v>
      </c>
      <c r="S2177" s="116">
        <f t="shared" si="2000"/>
        <v>0</v>
      </c>
      <c r="T2177" s="50">
        <f>T938</f>
        <v>0</v>
      </c>
      <c r="W2177" s="608">
        <f t="shared" si="1896"/>
        <v>3000000</v>
      </c>
      <c r="X2177" s="608">
        <f t="shared" si="1897"/>
        <v>0</v>
      </c>
      <c r="Z2177" s="572">
        <f t="shared" si="1902"/>
        <v>0</v>
      </c>
      <c r="AA2177" s="1">
        <f t="shared" si="1903"/>
        <v>0</v>
      </c>
    </row>
    <row r="2178" spans="1:27" x14ac:dyDescent="0.2">
      <c r="A2178" s="20" t="str">
        <f>A939</f>
        <v>7.1.1.1 Octroi d’une bourse d’études aux filles scolarisées dans les filières d'ingénieur</v>
      </c>
      <c r="B2178" s="46"/>
      <c r="C2178" s="386">
        <f>C939</f>
        <v>0</v>
      </c>
      <c r="D2178" s="168">
        <f t="shared" si="1886"/>
        <v>600</v>
      </c>
      <c r="E2178" s="168">
        <f t="shared" si="1887"/>
        <v>600</v>
      </c>
      <c r="F2178" s="168">
        <f t="shared" si="1888"/>
        <v>600</v>
      </c>
      <c r="G2178" s="168">
        <f t="shared" si="1889"/>
        <v>600</v>
      </c>
      <c r="H2178" s="168">
        <f t="shared" si="1890"/>
        <v>600</v>
      </c>
      <c r="I2178" s="166">
        <f t="shared" si="1891"/>
        <v>3000</v>
      </c>
      <c r="J2178" s="371" t="str">
        <f t="shared" si="1892"/>
        <v>MESU/DSA</v>
      </c>
      <c r="K2178" s="350" t="str">
        <f t="shared" si="1893"/>
        <v>GVT</v>
      </c>
      <c r="L2178" s="167">
        <f t="shared" ref="L2178:Q2178" si="2001">L939</f>
        <v>600000</v>
      </c>
      <c r="M2178" s="168">
        <f t="shared" si="2001"/>
        <v>600000</v>
      </c>
      <c r="N2178" s="168">
        <f t="shared" si="2001"/>
        <v>600000</v>
      </c>
      <c r="O2178" s="168">
        <f t="shared" si="2001"/>
        <v>600000</v>
      </c>
      <c r="P2178" s="168">
        <f t="shared" si="2001"/>
        <v>600000</v>
      </c>
      <c r="Q2178" s="165">
        <f t="shared" si="2001"/>
        <v>3000000</v>
      </c>
      <c r="R2178" s="198" t="str">
        <f t="shared" ref="R2178:S2178" si="2002">R939</f>
        <v>MESU/DSA</v>
      </c>
      <c r="S2178" s="115" t="str">
        <f t="shared" si="2002"/>
        <v>GVT</v>
      </c>
      <c r="T2178" s="51">
        <f>T939</f>
        <v>0</v>
      </c>
      <c r="W2178" s="608">
        <f t="shared" si="1896"/>
        <v>3000000</v>
      </c>
      <c r="X2178" s="608">
        <f t="shared" si="1897"/>
        <v>0</v>
      </c>
      <c r="Z2178" s="572">
        <f t="shared" si="1902"/>
        <v>0</v>
      </c>
      <c r="AA2178" s="1">
        <f t="shared" si="1903"/>
        <v>0</v>
      </c>
    </row>
    <row r="2179" spans="1:27" x14ac:dyDescent="0.2">
      <c r="A2179" s="14" t="str">
        <f>A941</f>
        <v>7.2. Dimension sociale de l’ESU : Renforcement de la dimension sociale de l’ESU</v>
      </c>
      <c r="B2179" s="44"/>
      <c r="C2179" s="385">
        <f>C941</f>
        <v>0</v>
      </c>
      <c r="D2179" s="217">
        <f t="shared" si="1886"/>
        <v>0</v>
      </c>
      <c r="E2179" s="217">
        <f t="shared" si="1887"/>
        <v>0</v>
      </c>
      <c r="F2179" s="217">
        <f t="shared" si="1888"/>
        <v>13</v>
      </c>
      <c r="G2179" s="217">
        <f t="shared" si="1889"/>
        <v>2400</v>
      </c>
      <c r="H2179" s="217">
        <f t="shared" si="1890"/>
        <v>3600</v>
      </c>
      <c r="I2179" s="220">
        <f t="shared" si="1891"/>
        <v>6013</v>
      </c>
      <c r="J2179" s="373">
        <f t="shared" si="1892"/>
        <v>0</v>
      </c>
      <c r="K2179" s="346">
        <f t="shared" si="1893"/>
        <v>0</v>
      </c>
      <c r="L2179" s="33">
        <f t="shared" ref="L2179:S2179" si="2003">L2180</f>
        <v>0</v>
      </c>
      <c r="M2179" s="32">
        <f t="shared" si="2003"/>
        <v>0</v>
      </c>
      <c r="N2179" s="32">
        <f t="shared" si="2003"/>
        <v>13000</v>
      </c>
      <c r="O2179" s="32">
        <f t="shared" si="2003"/>
        <v>2400000</v>
      </c>
      <c r="P2179" s="32">
        <f t="shared" si="2003"/>
        <v>3600000</v>
      </c>
      <c r="Q2179" s="25">
        <f t="shared" si="2003"/>
        <v>6013000</v>
      </c>
      <c r="R2179" s="517">
        <f t="shared" si="2003"/>
        <v>0</v>
      </c>
      <c r="S2179" s="179">
        <f t="shared" si="2003"/>
        <v>0</v>
      </c>
      <c r="T2179" s="49">
        <f>T941</f>
        <v>1</v>
      </c>
      <c r="W2179" s="608">
        <f t="shared" si="1896"/>
        <v>6013000</v>
      </c>
      <c r="X2179" s="608">
        <f t="shared" si="1897"/>
        <v>0</v>
      </c>
      <c r="Z2179" s="572">
        <f t="shared" si="1902"/>
        <v>0</v>
      </c>
      <c r="AA2179" s="1">
        <f t="shared" si="1903"/>
        <v>0</v>
      </c>
    </row>
    <row r="2180" spans="1:27" x14ac:dyDescent="0.2">
      <c r="A2180" s="17" t="str">
        <f>A942</f>
        <v>7.2.1 Opérationnalisation de la dimension sociale de l’ESU</v>
      </c>
      <c r="B2180" s="45"/>
      <c r="C2180" s="387" t="str">
        <f>C942</f>
        <v>Chaque année, un nouveau  EES est ouvert dans des zones défavorisées</v>
      </c>
      <c r="D2180" s="157">
        <f t="shared" si="1886"/>
        <v>0</v>
      </c>
      <c r="E2180" s="157">
        <f t="shared" si="1887"/>
        <v>0</v>
      </c>
      <c r="F2180" s="157">
        <f t="shared" si="1888"/>
        <v>13</v>
      </c>
      <c r="G2180" s="157">
        <f t="shared" si="1889"/>
        <v>2400</v>
      </c>
      <c r="H2180" s="157">
        <f t="shared" si="1890"/>
        <v>3600</v>
      </c>
      <c r="I2180" s="160">
        <f t="shared" si="1891"/>
        <v>6013</v>
      </c>
      <c r="J2180" s="374">
        <f t="shared" si="1892"/>
        <v>0</v>
      </c>
      <c r="K2180" s="348">
        <f t="shared" si="1893"/>
        <v>0</v>
      </c>
      <c r="L2180" s="35">
        <f t="shared" ref="L2180:Q2180" si="2004">SUM(L2181:L2182)</f>
        <v>0</v>
      </c>
      <c r="M2180" s="34">
        <f t="shared" si="2004"/>
        <v>0</v>
      </c>
      <c r="N2180" s="34">
        <f t="shared" si="2004"/>
        <v>13000</v>
      </c>
      <c r="O2180" s="34">
        <f t="shared" si="2004"/>
        <v>2400000</v>
      </c>
      <c r="P2180" s="34">
        <f t="shared" si="2004"/>
        <v>3600000</v>
      </c>
      <c r="Q2180" s="26">
        <f t="shared" si="2004"/>
        <v>6013000</v>
      </c>
      <c r="R2180" s="518">
        <f t="shared" ref="R2180:S2180" si="2005">SUM(R2181:R2182)</f>
        <v>0</v>
      </c>
      <c r="S2180" s="181">
        <f t="shared" si="2005"/>
        <v>0</v>
      </c>
      <c r="T2180" s="50">
        <f>T942</f>
        <v>0</v>
      </c>
      <c r="W2180" s="608">
        <f t="shared" si="1896"/>
        <v>6013000</v>
      </c>
      <c r="X2180" s="608">
        <f t="shared" si="1897"/>
        <v>0</v>
      </c>
      <c r="Z2180" s="572">
        <f t="shared" si="1902"/>
        <v>0</v>
      </c>
      <c r="AA2180" s="1">
        <f t="shared" si="1903"/>
        <v>0</v>
      </c>
    </row>
    <row r="2181" spans="1:27" x14ac:dyDescent="0.2">
      <c r="A2181" s="20" t="str">
        <f>A943</f>
        <v>7.2.1.1 Faisabilité de création des ESS dans les zones défavorisées</v>
      </c>
      <c r="B2181" s="46"/>
      <c r="C2181" s="386">
        <f>C943</f>
        <v>0</v>
      </c>
      <c r="D2181" s="168">
        <f t="shared" si="1886"/>
        <v>0</v>
      </c>
      <c r="E2181" s="168">
        <f t="shared" si="1887"/>
        <v>0</v>
      </c>
      <c r="F2181" s="168">
        <f t="shared" si="1888"/>
        <v>13</v>
      </c>
      <c r="G2181" s="168">
        <f t="shared" si="1889"/>
        <v>0</v>
      </c>
      <c r="H2181" s="168">
        <f t="shared" si="1890"/>
        <v>0</v>
      </c>
      <c r="I2181" s="166">
        <f t="shared" si="1891"/>
        <v>13</v>
      </c>
      <c r="J2181" s="371" t="str">
        <f t="shared" si="1892"/>
        <v>MESU/DEP-DP</v>
      </c>
      <c r="K2181" s="350" t="str">
        <f t="shared" si="1893"/>
        <v>A Rechercher</v>
      </c>
      <c r="L2181" s="167">
        <f t="shared" ref="L2181:Q2181" si="2006">L943</f>
        <v>0</v>
      </c>
      <c r="M2181" s="168">
        <f t="shared" si="2006"/>
        <v>0</v>
      </c>
      <c r="N2181" s="168">
        <f t="shared" si="2006"/>
        <v>13000</v>
      </c>
      <c r="O2181" s="168">
        <f t="shared" si="2006"/>
        <v>0</v>
      </c>
      <c r="P2181" s="168">
        <f t="shared" si="2006"/>
        <v>0</v>
      </c>
      <c r="Q2181" s="165">
        <f t="shared" si="2006"/>
        <v>13000</v>
      </c>
      <c r="R2181" s="205" t="str">
        <f t="shared" ref="R2181:S2181" si="2007">R943</f>
        <v>MESU/DEP-DP</v>
      </c>
      <c r="S2181" s="183" t="str">
        <f t="shared" si="2007"/>
        <v>A Rechercher</v>
      </c>
      <c r="T2181" s="51">
        <f>T943</f>
        <v>0</v>
      </c>
      <c r="W2181" s="608">
        <f t="shared" si="1896"/>
        <v>13000</v>
      </c>
      <c r="X2181" s="608">
        <f t="shared" si="1897"/>
        <v>0</v>
      </c>
      <c r="Z2181" s="572">
        <f t="shared" si="1902"/>
        <v>0</v>
      </c>
      <c r="AA2181" s="1">
        <f t="shared" si="1903"/>
        <v>0</v>
      </c>
    </row>
    <row r="2182" spans="1:27" x14ac:dyDescent="0.2">
      <c r="A2182" s="20" t="str">
        <f>A946</f>
        <v>7.2.1.2 Création d'un EES dans une zone défavorisée</v>
      </c>
      <c r="B2182" s="46"/>
      <c r="C2182" s="386">
        <f>C946</f>
        <v>0</v>
      </c>
      <c r="D2182" s="168">
        <f t="shared" si="1886"/>
        <v>0</v>
      </c>
      <c r="E2182" s="168">
        <f t="shared" si="1887"/>
        <v>0</v>
      </c>
      <c r="F2182" s="168">
        <f t="shared" si="1888"/>
        <v>0</v>
      </c>
      <c r="G2182" s="168">
        <f t="shared" si="1889"/>
        <v>2400</v>
      </c>
      <c r="H2182" s="168">
        <f t="shared" si="1890"/>
        <v>3600</v>
      </c>
      <c r="I2182" s="166">
        <f t="shared" si="1891"/>
        <v>6000</v>
      </c>
      <c r="J2182" s="371" t="str">
        <f t="shared" si="1892"/>
        <v>MESU/DEP-DP</v>
      </c>
      <c r="K2182" s="350" t="str">
        <f t="shared" si="1893"/>
        <v>A Rechercher</v>
      </c>
      <c r="L2182" s="167">
        <f t="shared" ref="L2182:T2182" si="2008">L946</f>
        <v>0</v>
      </c>
      <c r="M2182" s="168">
        <f t="shared" si="2008"/>
        <v>0</v>
      </c>
      <c r="N2182" s="168">
        <f t="shared" si="2008"/>
        <v>0</v>
      </c>
      <c r="O2182" s="168">
        <f t="shared" si="2008"/>
        <v>2400000</v>
      </c>
      <c r="P2182" s="168">
        <f t="shared" si="2008"/>
        <v>3600000</v>
      </c>
      <c r="Q2182" s="165">
        <f t="shared" si="2008"/>
        <v>6000000</v>
      </c>
      <c r="R2182" s="205" t="str">
        <f t="shared" ref="R2182:S2182" si="2009">R946</f>
        <v>MESU/DEP-DP</v>
      </c>
      <c r="S2182" s="183" t="str">
        <f t="shared" si="2009"/>
        <v>A Rechercher</v>
      </c>
      <c r="T2182" s="51">
        <f t="shared" si="2008"/>
        <v>0</v>
      </c>
      <c r="W2182" s="608">
        <f t="shared" si="1896"/>
        <v>6000000</v>
      </c>
      <c r="X2182" s="608">
        <f t="shared" si="1897"/>
        <v>0</v>
      </c>
      <c r="Z2182" s="572">
        <f t="shared" si="1902"/>
        <v>0</v>
      </c>
      <c r="AA2182" s="1">
        <f t="shared" si="1903"/>
        <v>0</v>
      </c>
    </row>
    <row r="2183" spans="1:27" x14ac:dyDescent="0.2">
      <c r="A2183" s="14" t="str">
        <f>A948</f>
        <v>7.3 Moyens des EES : Apporter des ressources complétées par les droits payés par les familles</v>
      </c>
      <c r="B2183" s="44"/>
      <c r="C2183" s="385">
        <f>C948</f>
        <v>0</v>
      </c>
      <c r="D2183" s="217">
        <f t="shared" si="1886"/>
        <v>204434.29368609143</v>
      </c>
      <c r="E2183" s="217">
        <f t="shared" si="1887"/>
        <v>225758.2146899963</v>
      </c>
      <c r="F2183" s="217">
        <f t="shared" si="1888"/>
        <v>249534.51076659356</v>
      </c>
      <c r="G2183" s="217">
        <f t="shared" si="1889"/>
        <v>267570.29454020696</v>
      </c>
      <c r="H2183" s="217">
        <f t="shared" si="1890"/>
        <v>289825.24899435451</v>
      </c>
      <c r="I2183" s="220">
        <f t="shared" si="1891"/>
        <v>1237122.5626772428</v>
      </c>
      <c r="J2183" s="373">
        <f t="shared" si="1892"/>
        <v>0</v>
      </c>
      <c r="K2183" s="346">
        <f t="shared" si="1893"/>
        <v>0</v>
      </c>
      <c r="L2183" s="33">
        <f t="shared" ref="L2183:Q2183" si="2010">L2184+L2186</f>
        <v>204434293.68609142</v>
      </c>
      <c r="M2183" s="32">
        <f t="shared" si="2010"/>
        <v>225758214.6899963</v>
      </c>
      <c r="N2183" s="32">
        <f t="shared" si="2010"/>
        <v>249534510.76659358</v>
      </c>
      <c r="O2183" s="32">
        <f t="shared" si="2010"/>
        <v>267570294.54020697</v>
      </c>
      <c r="P2183" s="32">
        <f t="shared" si="2010"/>
        <v>289825248.99435449</v>
      </c>
      <c r="Q2183" s="25">
        <f t="shared" si="2010"/>
        <v>1237122562.6772428</v>
      </c>
      <c r="R2183" s="517">
        <f t="shared" ref="R2183:S2183" si="2011">R2184+R2186</f>
        <v>0</v>
      </c>
      <c r="S2183" s="179">
        <f t="shared" si="2011"/>
        <v>0</v>
      </c>
      <c r="T2183" s="49">
        <f>T948</f>
        <v>1</v>
      </c>
      <c r="W2183" s="608">
        <f t="shared" si="1896"/>
        <v>1237122562.6772428</v>
      </c>
      <c r="X2183" s="608">
        <f t="shared" si="1897"/>
        <v>0</v>
      </c>
      <c r="Z2183" s="572">
        <f t="shared" si="1902"/>
        <v>0</v>
      </c>
      <c r="AA2183" s="1">
        <f t="shared" si="1903"/>
        <v>0</v>
      </c>
    </row>
    <row r="2184" spans="1:27" x14ac:dyDescent="0.2">
      <c r="A2184" s="17" t="str">
        <f>A949</f>
        <v>7.3.1 Prise en charge des personnels</v>
      </c>
      <c r="B2184" s="45"/>
      <c r="C2184" s="387" t="str">
        <f>C949</f>
        <v>5000 postes supplémentaires entre 2015 et 2025</v>
      </c>
      <c r="D2184" s="157">
        <f t="shared" ref="D2184:D2247" si="2012">L2184/1000</f>
        <v>197234.29368609143</v>
      </c>
      <c r="E2184" s="157">
        <f t="shared" ref="E2184:E2247" si="2013">M2184/1000</f>
        <v>218808.2146899963</v>
      </c>
      <c r="F2184" s="157">
        <f t="shared" ref="F2184:F2247" si="2014">N2184/1000</f>
        <v>241584.51076659356</v>
      </c>
      <c r="G2184" s="157">
        <f t="shared" ref="G2184:G2247" si="2015">O2184/1000</f>
        <v>264370.29454020696</v>
      </c>
      <c r="H2184" s="157">
        <f t="shared" ref="H2184:H2247" si="2016">P2184/1000</f>
        <v>286625.24899435451</v>
      </c>
      <c r="I2184" s="160">
        <f t="shared" ref="I2184:I2247" si="2017">Q2184/1000</f>
        <v>1208622.5626772428</v>
      </c>
      <c r="J2184" s="374">
        <f t="shared" ref="J2184:J2247" si="2018">R2184</f>
        <v>0</v>
      </c>
      <c r="K2184" s="348">
        <f t="shared" ref="K2184:K2247" si="2019">S2184</f>
        <v>0</v>
      </c>
      <c r="L2184" s="35">
        <f t="shared" ref="L2184:S2184" si="2020">SUM(L2185:L2185)</f>
        <v>197234293.68609142</v>
      </c>
      <c r="M2184" s="34">
        <f t="shared" si="2020"/>
        <v>218808214.6899963</v>
      </c>
      <c r="N2184" s="34">
        <f t="shared" si="2020"/>
        <v>241584510.76659358</v>
      </c>
      <c r="O2184" s="34">
        <f t="shared" si="2020"/>
        <v>264370294.54020697</v>
      </c>
      <c r="P2184" s="34">
        <f t="shared" si="2020"/>
        <v>286625248.99435449</v>
      </c>
      <c r="Q2184" s="26">
        <f t="shared" si="2020"/>
        <v>1208622562.6772428</v>
      </c>
      <c r="R2184" s="518">
        <f t="shared" si="2020"/>
        <v>0</v>
      </c>
      <c r="S2184" s="181">
        <f t="shared" si="2020"/>
        <v>0</v>
      </c>
      <c r="T2184" s="50">
        <f>T949</f>
        <v>0</v>
      </c>
      <c r="W2184" s="608">
        <f t="shared" ref="W2184:W2247" si="2021">SUM(L2184:P2184)</f>
        <v>1208622562.6772428</v>
      </c>
      <c r="X2184" s="608">
        <f t="shared" ref="X2184:X2247" si="2022">W2184-Q2184</f>
        <v>0</v>
      </c>
      <c r="Z2184" s="572">
        <f t="shared" si="1902"/>
        <v>0</v>
      </c>
      <c r="AA2184" s="1">
        <f t="shared" si="1903"/>
        <v>0</v>
      </c>
    </row>
    <row r="2185" spans="1:27" x14ac:dyDescent="0.2">
      <c r="A2185" s="20" t="str">
        <f>A950</f>
        <v>7.3.1.1 Paiement des enseignants</v>
      </c>
      <c r="B2185" s="46"/>
      <c r="C2185" s="386">
        <f>C950</f>
        <v>0</v>
      </c>
      <c r="D2185" s="168">
        <f t="shared" si="2012"/>
        <v>197234.29368609143</v>
      </c>
      <c r="E2185" s="168">
        <f t="shared" si="2013"/>
        <v>218808.2146899963</v>
      </c>
      <c r="F2185" s="168">
        <f t="shared" si="2014"/>
        <v>241584.51076659356</v>
      </c>
      <c r="G2185" s="168">
        <f t="shared" si="2015"/>
        <v>264370.29454020696</v>
      </c>
      <c r="H2185" s="168">
        <f t="shared" si="2016"/>
        <v>286625.24899435451</v>
      </c>
      <c r="I2185" s="166">
        <f t="shared" si="2017"/>
        <v>1208622.5626772428</v>
      </c>
      <c r="J2185" s="371" t="str">
        <f t="shared" si="2018"/>
        <v>MESU/DSG</v>
      </c>
      <c r="K2185" s="350" t="str">
        <f t="shared" si="2019"/>
        <v>GVT</v>
      </c>
      <c r="L2185" s="167">
        <f t="shared" ref="L2185:Q2185" si="2023">L950</f>
        <v>197234293.68609142</v>
      </c>
      <c r="M2185" s="168">
        <f t="shared" si="2023"/>
        <v>218808214.6899963</v>
      </c>
      <c r="N2185" s="168">
        <f t="shared" si="2023"/>
        <v>241584510.76659358</v>
      </c>
      <c r="O2185" s="168">
        <f t="shared" si="2023"/>
        <v>264370294.54020697</v>
      </c>
      <c r="P2185" s="168">
        <f t="shared" si="2023"/>
        <v>286625248.99435449</v>
      </c>
      <c r="Q2185" s="165">
        <f t="shared" si="2023"/>
        <v>1208622562.6772428</v>
      </c>
      <c r="R2185" s="205" t="str">
        <f t="shared" ref="R2185:S2185" si="2024">R950</f>
        <v>MESU/DSG</v>
      </c>
      <c r="S2185" s="183" t="str">
        <f t="shared" si="2024"/>
        <v>GVT</v>
      </c>
      <c r="T2185" s="51">
        <f>T950</f>
        <v>0</v>
      </c>
      <c r="W2185" s="608">
        <f t="shared" si="2021"/>
        <v>1208622562.6772428</v>
      </c>
      <c r="X2185" s="608">
        <f t="shared" si="2022"/>
        <v>0</v>
      </c>
      <c r="Z2185" s="572">
        <f t="shared" si="1902"/>
        <v>0</v>
      </c>
      <c r="AA2185" s="1">
        <f t="shared" si="1903"/>
        <v>0</v>
      </c>
    </row>
    <row r="2186" spans="1:27" x14ac:dyDescent="0.2">
      <c r="A2186" s="17" t="str">
        <f>A952</f>
        <v>7.3.2 Infrastructures</v>
      </c>
      <c r="B2186" s="45"/>
      <c r="C2186" s="387" t="str">
        <f>C952</f>
        <v>470 salles et amphithéâtres construits et équipés entre 2015 et 2025</v>
      </c>
      <c r="D2186" s="157">
        <f t="shared" si="2012"/>
        <v>7200</v>
      </c>
      <c r="E2186" s="157">
        <f t="shared" si="2013"/>
        <v>6950</v>
      </c>
      <c r="F2186" s="157">
        <f t="shared" si="2014"/>
        <v>7950</v>
      </c>
      <c r="G2186" s="157">
        <f t="shared" si="2015"/>
        <v>3200</v>
      </c>
      <c r="H2186" s="157">
        <f t="shared" si="2016"/>
        <v>3200</v>
      </c>
      <c r="I2186" s="160">
        <f t="shared" si="2017"/>
        <v>28500</v>
      </c>
      <c r="J2186" s="374">
        <f t="shared" si="2018"/>
        <v>0</v>
      </c>
      <c r="K2186" s="348">
        <f t="shared" si="2019"/>
        <v>0</v>
      </c>
      <c r="L2186" s="35">
        <f t="shared" ref="L2186:Q2186" si="2025">SUM(L2187:L2189)</f>
        <v>7200000</v>
      </c>
      <c r="M2186" s="34">
        <f t="shared" si="2025"/>
        <v>6950000</v>
      </c>
      <c r="N2186" s="34">
        <f t="shared" si="2025"/>
        <v>7950000</v>
      </c>
      <c r="O2186" s="34">
        <f t="shared" si="2025"/>
        <v>3200000</v>
      </c>
      <c r="P2186" s="34">
        <f t="shared" si="2025"/>
        <v>3200000</v>
      </c>
      <c r="Q2186" s="26">
        <f t="shared" si="2025"/>
        <v>28500000</v>
      </c>
      <c r="R2186" s="518">
        <f t="shared" ref="R2186:S2186" si="2026">SUM(R2187:R2189)</f>
        <v>0</v>
      </c>
      <c r="S2186" s="181">
        <f t="shared" si="2026"/>
        <v>0</v>
      </c>
      <c r="T2186" s="50">
        <f>T952</f>
        <v>0</v>
      </c>
      <c r="W2186" s="608">
        <f t="shared" si="2021"/>
        <v>28500000</v>
      </c>
      <c r="X2186" s="608">
        <f t="shared" si="2022"/>
        <v>0</v>
      </c>
      <c r="Z2186" s="572">
        <f t="shared" ref="Z2186:Z2249" si="2027">IF($Y2186="P",$I2186,)</f>
        <v>0</v>
      </c>
      <c r="AA2186" s="1">
        <f t="shared" ref="AA2186:AA2249" si="2028">IF($Y2186="G",$I2186,)</f>
        <v>0</v>
      </c>
    </row>
    <row r="2187" spans="1:27" x14ac:dyDescent="0.2">
      <c r="A2187" s="20" t="str">
        <f>A953</f>
        <v>7.3.2.1 Construction de 70 amphithéâtres</v>
      </c>
      <c r="B2187" s="46"/>
      <c r="C2187" s="386">
        <f>C953</f>
        <v>0</v>
      </c>
      <c r="D2187" s="168">
        <f t="shared" si="2012"/>
        <v>1200</v>
      </c>
      <c r="E2187" s="168">
        <f t="shared" si="2013"/>
        <v>1200</v>
      </c>
      <c r="F2187" s="168">
        <f t="shared" si="2014"/>
        <v>1200</v>
      </c>
      <c r="G2187" s="168">
        <f t="shared" si="2015"/>
        <v>1200</v>
      </c>
      <c r="H2187" s="168">
        <f t="shared" si="2016"/>
        <v>1200</v>
      </c>
      <c r="I2187" s="166">
        <f t="shared" si="2017"/>
        <v>6000</v>
      </c>
      <c r="J2187" s="371" t="str">
        <f t="shared" si="2018"/>
        <v>MESU/DEP-DP</v>
      </c>
      <c r="K2187" s="350" t="str">
        <f t="shared" si="2019"/>
        <v>GVT</v>
      </c>
      <c r="L2187" s="167">
        <f t="shared" ref="L2187:Q2187" si="2029">L953</f>
        <v>1200000</v>
      </c>
      <c r="M2187" s="168">
        <f t="shared" si="2029"/>
        <v>1200000</v>
      </c>
      <c r="N2187" s="168">
        <f t="shared" si="2029"/>
        <v>1200000</v>
      </c>
      <c r="O2187" s="168">
        <f t="shared" si="2029"/>
        <v>1200000</v>
      </c>
      <c r="P2187" s="168">
        <f t="shared" si="2029"/>
        <v>1200000</v>
      </c>
      <c r="Q2187" s="165">
        <f t="shared" si="2029"/>
        <v>6000000</v>
      </c>
      <c r="R2187" s="205" t="str">
        <f t="shared" ref="R2187:S2187" si="2030">R953</f>
        <v>MESU/DEP-DP</v>
      </c>
      <c r="S2187" s="183" t="str">
        <f t="shared" si="2030"/>
        <v>GVT</v>
      </c>
      <c r="T2187" s="51">
        <f>T953</f>
        <v>0</v>
      </c>
      <c r="W2187" s="608">
        <f t="shared" si="2021"/>
        <v>6000000</v>
      </c>
      <c r="X2187" s="608">
        <f t="shared" si="2022"/>
        <v>0</v>
      </c>
      <c r="Z2187" s="572">
        <f t="shared" si="2027"/>
        <v>0</v>
      </c>
      <c r="AA2187" s="1">
        <f t="shared" si="2028"/>
        <v>0</v>
      </c>
    </row>
    <row r="2188" spans="1:27" x14ac:dyDescent="0.2">
      <c r="A2188" s="20" t="str">
        <f>A955</f>
        <v>7.3.2.2 Construction de 400 salles pour le supérieur</v>
      </c>
      <c r="B2188" s="46"/>
      <c r="C2188" s="386">
        <f>C955</f>
        <v>0</v>
      </c>
      <c r="D2188" s="168">
        <f t="shared" si="2012"/>
        <v>2000</v>
      </c>
      <c r="E2188" s="168">
        <f t="shared" si="2013"/>
        <v>2000</v>
      </c>
      <c r="F2188" s="168">
        <f t="shared" si="2014"/>
        <v>2000</v>
      </c>
      <c r="G2188" s="168">
        <f t="shared" si="2015"/>
        <v>2000</v>
      </c>
      <c r="H2188" s="168">
        <f t="shared" si="2016"/>
        <v>2000</v>
      </c>
      <c r="I2188" s="166">
        <f t="shared" si="2017"/>
        <v>10000</v>
      </c>
      <c r="J2188" s="371" t="str">
        <f t="shared" si="2018"/>
        <v>MESU/DEP-DP</v>
      </c>
      <c r="K2188" s="350" t="str">
        <f t="shared" si="2019"/>
        <v>GVT</v>
      </c>
      <c r="L2188" s="167">
        <f t="shared" ref="L2188:T2188" si="2031">L955</f>
        <v>2000000</v>
      </c>
      <c r="M2188" s="168">
        <f t="shared" si="2031"/>
        <v>2000000</v>
      </c>
      <c r="N2188" s="168">
        <f t="shared" si="2031"/>
        <v>2000000</v>
      </c>
      <c r="O2188" s="168">
        <f t="shared" si="2031"/>
        <v>2000000</v>
      </c>
      <c r="P2188" s="168">
        <f t="shared" si="2031"/>
        <v>2000000</v>
      </c>
      <c r="Q2188" s="165">
        <f t="shared" si="2031"/>
        <v>10000000</v>
      </c>
      <c r="R2188" s="205" t="str">
        <f t="shared" ref="R2188:S2188" si="2032">R955</f>
        <v>MESU/DEP-DP</v>
      </c>
      <c r="S2188" s="183" t="str">
        <f t="shared" si="2032"/>
        <v>GVT</v>
      </c>
      <c r="T2188" s="51">
        <f t="shared" si="2031"/>
        <v>0</v>
      </c>
      <c r="W2188" s="608">
        <f t="shared" si="2021"/>
        <v>10000000</v>
      </c>
      <c r="X2188" s="608">
        <f t="shared" si="2022"/>
        <v>0</v>
      </c>
      <c r="Z2188" s="572">
        <f t="shared" si="2027"/>
        <v>0</v>
      </c>
      <c r="AA2188" s="1">
        <f t="shared" si="2028"/>
        <v>0</v>
      </c>
    </row>
    <row r="2189" spans="1:27" x14ac:dyDescent="0.2">
      <c r="A2189" s="123" t="str">
        <f>A957</f>
        <v>7.3.2.3 Réhabilitation des laboratoires et ateliers</v>
      </c>
      <c r="B2189" s="46"/>
      <c r="C2189" s="386">
        <f>C957</f>
        <v>0</v>
      </c>
      <c r="D2189" s="168">
        <f t="shared" si="2012"/>
        <v>4000</v>
      </c>
      <c r="E2189" s="168">
        <f t="shared" si="2013"/>
        <v>3750</v>
      </c>
      <c r="F2189" s="168">
        <f t="shared" si="2014"/>
        <v>4750</v>
      </c>
      <c r="G2189" s="168">
        <f t="shared" si="2015"/>
        <v>0</v>
      </c>
      <c r="H2189" s="168">
        <f t="shared" si="2016"/>
        <v>0</v>
      </c>
      <c r="I2189" s="166">
        <f t="shared" si="2017"/>
        <v>12500</v>
      </c>
      <c r="J2189" s="371" t="str">
        <f t="shared" si="2018"/>
        <v>MESU/DEP-DP</v>
      </c>
      <c r="K2189" s="350" t="str">
        <f t="shared" si="2019"/>
        <v>GVT/BM/BAD</v>
      </c>
      <c r="L2189" s="167">
        <f t="shared" ref="L2189:T2189" si="2033">L957</f>
        <v>4000000</v>
      </c>
      <c r="M2189" s="168">
        <f t="shared" si="2033"/>
        <v>3750000</v>
      </c>
      <c r="N2189" s="168">
        <f t="shared" si="2033"/>
        <v>4750000</v>
      </c>
      <c r="O2189" s="168">
        <f t="shared" si="2033"/>
        <v>0</v>
      </c>
      <c r="P2189" s="168">
        <f t="shared" si="2033"/>
        <v>0</v>
      </c>
      <c r="Q2189" s="165">
        <f t="shared" si="2033"/>
        <v>12500000</v>
      </c>
      <c r="R2189" s="205" t="str">
        <f t="shared" ref="R2189:S2189" si="2034">R957</f>
        <v>MESU/DEP-DP</v>
      </c>
      <c r="S2189" s="183" t="str">
        <f t="shared" si="2034"/>
        <v>GVT/BM/BAD</v>
      </c>
      <c r="T2189" s="51">
        <f t="shared" si="2033"/>
        <v>0</v>
      </c>
      <c r="W2189" s="608">
        <f t="shared" si="2021"/>
        <v>12500000</v>
      </c>
      <c r="X2189" s="608">
        <f t="shared" si="2022"/>
        <v>0</v>
      </c>
      <c r="Z2189" s="572">
        <f t="shared" si="2027"/>
        <v>0</v>
      </c>
      <c r="AA2189" s="1">
        <f t="shared" si="2028"/>
        <v>0</v>
      </c>
    </row>
    <row r="2190" spans="1:27" x14ac:dyDescent="0.2">
      <c r="A2190" s="14" t="str">
        <f>A960</f>
        <v>7.4 Promotion de l’Assurance-Qualité : Établir les standards de qualité et assurer la conformité des programme et des institutions à ces normes</v>
      </c>
      <c r="B2190" s="44"/>
      <c r="C2190" s="385">
        <f>C960</f>
        <v>0</v>
      </c>
      <c r="D2190" s="217">
        <f t="shared" si="2012"/>
        <v>2513</v>
      </c>
      <c r="E2190" s="217">
        <f t="shared" si="2013"/>
        <v>2340</v>
      </c>
      <c r="F2190" s="217">
        <f t="shared" si="2014"/>
        <v>1800</v>
      </c>
      <c r="G2190" s="217">
        <f t="shared" si="2015"/>
        <v>1800</v>
      </c>
      <c r="H2190" s="217">
        <f t="shared" si="2016"/>
        <v>1800</v>
      </c>
      <c r="I2190" s="220">
        <f t="shared" si="2017"/>
        <v>10253</v>
      </c>
      <c r="J2190" s="373">
        <f t="shared" si="2018"/>
        <v>0</v>
      </c>
      <c r="K2190" s="346">
        <f t="shared" si="2019"/>
        <v>0</v>
      </c>
      <c r="L2190" s="33">
        <f t="shared" ref="L2190:Q2190" si="2035">L2191+L2195</f>
        <v>2513000</v>
      </c>
      <c r="M2190" s="32">
        <f t="shared" si="2035"/>
        <v>2340000</v>
      </c>
      <c r="N2190" s="32">
        <f t="shared" si="2035"/>
        <v>1800000</v>
      </c>
      <c r="O2190" s="32">
        <f t="shared" si="2035"/>
        <v>1800000</v>
      </c>
      <c r="P2190" s="32">
        <f t="shared" si="2035"/>
        <v>1800000</v>
      </c>
      <c r="Q2190" s="25">
        <f t="shared" si="2035"/>
        <v>10253000</v>
      </c>
      <c r="R2190" s="16">
        <f t="shared" ref="R2190:S2190" si="2036">R2191+R2195</f>
        <v>0</v>
      </c>
      <c r="S2190" s="15">
        <f t="shared" si="2036"/>
        <v>0</v>
      </c>
      <c r="T2190" s="112">
        <f>T960</f>
        <v>2</v>
      </c>
      <c r="W2190" s="608">
        <f t="shared" si="2021"/>
        <v>10253000</v>
      </c>
      <c r="X2190" s="608">
        <f t="shared" si="2022"/>
        <v>0</v>
      </c>
      <c r="Z2190" s="572">
        <f t="shared" si="2027"/>
        <v>0</v>
      </c>
      <c r="AA2190" s="1">
        <f t="shared" si="2028"/>
        <v>0</v>
      </c>
    </row>
    <row r="2191" spans="1:27" x14ac:dyDescent="0.2">
      <c r="A2191" s="17" t="str">
        <f>A961</f>
        <v>7.4.1 Mise en place des Cellules de l’Assurance-Qualité/Autoévaluation</v>
      </c>
      <c r="B2191" s="45"/>
      <c r="C2191" s="386" t="str">
        <f>C961</f>
        <v>En 2025, tous les EES disposent d'une cellule assurance qualité opérationnelle</v>
      </c>
      <c r="D2191" s="157">
        <f t="shared" si="2012"/>
        <v>2442.5</v>
      </c>
      <c r="E2191" s="157">
        <f t="shared" si="2013"/>
        <v>440</v>
      </c>
      <c r="F2191" s="157">
        <f t="shared" si="2014"/>
        <v>0</v>
      </c>
      <c r="G2191" s="157">
        <f t="shared" si="2015"/>
        <v>0</v>
      </c>
      <c r="H2191" s="157">
        <f t="shared" si="2016"/>
        <v>0</v>
      </c>
      <c r="I2191" s="160">
        <f t="shared" si="2017"/>
        <v>2882.5</v>
      </c>
      <c r="J2191" s="374">
        <f t="shared" si="2018"/>
        <v>0</v>
      </c>
      <c r="K2191" s="348">
        <f t="shared" si="2019"/>
        <v>0</v>
      </c>
      <c r="L2191" s="35">
        <f t="shared" ref="L2191:Q2191" si="2037">SUM(L2192:L2194)</f>
        <v>2442500</v>
      </c>
      <c r="M2191" s="34">
        <f t="shared" si="2037"/>
        <v>440000</v>
      </c>
      <c r="N2191" s="34">
        <f t="shared" si="2037"/>
        <v>0</v>
      </c>
      <c r="O2191" s="34">
        <f t="shared" si="2037"/>
        <v>0</v>
      </c>
      <c r="P2191" s="34">
        <f t="shared" si="2037"/>
        <v>0</v>
      </c>
      <c r="Q2191" s="26">
        <f t="shared" si="2037"/>
        <v>2882500</v>
      </c>
      <c r="R2191" s="19">
        <f t="shared" ref="R2191:S2191" si="2038">SUM(R2192:R2194)</f>
        <v>0</v>
      </c>
      <c r="S2191" s="18">
        <f t="shared" si="2038"/>
        <v>0</v>
      </c>
      <c r="T2191" s="51">
        <f>T961</f>
        <v>0</v>
      </c>
      <c r="W2191" s="608">
        <f t="shared" si="2021"/>
        <v>2882500</v>
      </c>
      <c r="X2191" s="608">
        <f t="shared" si="2022"/>
        <v>0</v>
      </c>
      <c r="Z2191" s="572">
        <f t="shared" si="2027"/>
        <v>0</v>
      </c>
      <c r="AA2191" s="1">
        <f t="shared" si="2028"/>
        <v>0</v>
      </c>
    </row>
    <row r="2192" spans="1:27" x14ac:dyDescent="0.2">
      <c r="A2192" s="20" t="str">
        <f>A962</f>
        <v>7.4.1.1 Actualisation des textes régissant les cellules d'assurance qualité (CAQ)</v>
      </c>
      <c r="B2192" s="46"/>
      <c r="C2192" s="386">
        <f>C962</f>
        <v>0</v>
      </c>
      <c r="D2192" s="168">
        <f t="shared" si="2012"/>
        <v>2.5</v>
      </c>
      <c r="E2192" s="168">
        <f t="shared" si="2013"/>
        <v>0</v>
      </c>
      <c r="F2192" s="168">
        <f t="shared" si="2014"/>
        <v>0</v>
      </c>
      <c r="G2192" s="168">
        <f t="shared" si="2015"/>
        <v>0</v>
      </c>
      <c r="H2192" s="168">
        <f t="shared" si="2016"/>
        <v>0</v>
      </c>
      <c r="I2192" s="166">
        <f t="shared" si="2017"/>
        <v>2.5</v>
      </c>
      <c r="J2192" s="371" t="str">
        <f t="shared" si="2018"/>
        <v>MESU/DEP</v>
      </c>
      <c r="K2192" s="350" t="str">
        <f t="shared" si="2019"/>
        <v>VLIR/BM</v>
      </c>
      <c r="L2192" s="167">
        <f t="shared" ref="L2192:Q2192" si="2039">L962</f>
        <v>2500</v>
      </c>
      <c r="M2192" s="168">
        <f t="shared" si="2039"/>
        <v>0</v>
      </c>
      <c r="N2192" s="168">
        <f t="shared" si="2039"/>
        <v>0</v>
      </c>
      <c r="O2192" s="168">
        <f t="shared" si="2039"/>
        <v>0</v>
      </c>
      <c r="P2192" s="168">
        <f t="shared" si="2039"/>
        <v>0</v>
      </c>
      <c r="Q2192" s="165">
        <f t="shared" si="2039"/>
        <v>2500</v>
      </c>
      <c r="R2192" s="198" t="str">
        <f t="shared" ref="R2192:S2192" si="2040">R962</f>
        <v>MESU/DEP</v>
      </c>
      <c r="S2192" s="197" t="str">
        <f t="shared" si="2040"/>
        <v>VLIR/BM</v>
      </c>
      <c r="T2192" s="51">
        <f>T962</f>
        <v>0</v>
      </c>
      <c r="W2192" s="608">
        <f t="shared" si="2021"/>
        <v>2500</v>
      </c>
      <c r="X2192" s="608">
        <f t="shared" si="2022"/>
        <v>0</v>
      </c>
      <c r="Z2192" s="572">
        <f t="shared" si="2027"/>
        <v>0</v>
      </c>
      <c r="AA2192" s="1">
        <f t="shared" si="2028"/>
        <v>0</v>
      </c>
    </row>
    <row r="2193" spans="1:27" x14ac:dyDescent="0.2">
      <c r="A2193" s="20" t="str">
        <f>A964</f>
        <v>7.4.1.2 Formation et renforcement des membres des CAQ</v>
      </c>
      <c r="B2193" s="46"/>
      <c r="C2193" s="386">
        <f>C964</f>
        <v>0</v>
      </c>
      <c r="D2193" s="168">
        <f t="shared" si="2012"/>
        <v>440</v>
      </c>
      <c r="E2193" s="168">
        <f t="shared" si="2013"/>
        <v>440</v>
      </c>
      <c r="F2193" s="168">
        <f t="shared" si="2014"/>
        <v>0</v>
      </c>
      <c r="G2193" s="168">
        <f t="shared" si="2015"/>
        <v>0</v>
      </c>
      <c r="H2193" s="168">
        <f t="shared" si="2016"/>
        <v>0</v>
      </c>
      <c r="I2193" s="166">
        <f t="shared" si="2017"/>
        <v>880</v>
      </c>
      <c r="J2193" s="371" t="str">
        <f t="shared" si="2018"/>
        <v>MESU/DEP</v>
      </c>
      <c r="K2193" s="350" t="str">
        <f t="shared" si="2019"/>
        <v>VLIR/BM</v>
      </c>
      <c r="L2193" s="167">
        <f t="shared" ref="L2193:T2193" si="2041">L964</f>
        <v>440000</v>
      </c>
      <c r="M2193" s="168">
        <f t="shared" si="2041"/>
        <v>440000</v>
      </c>
      <c r="N2193" s="168">
        <f t="shared" si="2041"/>
        <v>0</v>
      </c>
      <c r="O2193" s="168">
        <f t="shared" si="2041"/>
        <v>0</v>
      </c>
      <c r="P2193" s="168">
        <f t="shared" si="2041"/>
        <v>0</v>
      </c>
      <c r="Q2193" s="165">
        <f t="shared" si="2041"/>
        <v>880000</v>
      </c>
      <c r="R2193" s="198" t="str">
        <f t="shared" ref="R2193:S2193" si="2042">R964</f>
        <v>MESU/DEP</v>
      </c>
      <c r="S2193" s="197" t="str">
        <f t="shared" si="2042"/>
        <v>VLIR/BM</v>
      </c>
      <c r="T2193" s="51">
        <f t="shared" si="2041"/>
        <v>0</v>
      </c>
      <c r="W2193" s="608">
        <f t="shared" si="2021"/>
        <v>880000</v>
      </c>
      <c r="X2193" s="608">
        <f t="shared" si="2022"/>
        <v>0</v>
      </c>
      <c r="Z2193" s="572">
        <f t="shared" si="2027"/>
        <v>0</v>
      </c>
      <c r="AA2193" s="1">
        <f t="shared" si="2028"/>
        <v>0</v>
      </c>
    </row>
    <row r="2194" spans="1:27" x14ac:dyDescent="0.2">
      <c r="A2194" s="20" t="str">
        <f>A966</f>
        <v>7.4.1.3 Réhabilitation et équipement des CAQ</v>
      </c>
      <c r="B2194" s="46"/>
      <c r="C2194" s="386">
        <f>C966</f>
        <v>0</v>
      </c>
      <c r="D2194" s="168">
        <f t="shared" si="2012"/>
        <v>2000</v>
      </c>
      <c r="E2194" s="168">
        <f t="shared" si="2013"/>
        <v>0</v>
      </c>
      <c r="F2194" s="168">
        <f t="shared" si="2014"/>
        <v>0</v>
      </c>
      <c r="G2194" s="168">
        <f t="shared" si="2015"/>
        <v>0</v>
      </c>
      <c r="H2194" s="168">
        <f t="shared" si="2016"/>
        <v>0</v>
      </c>
      <c r="I2194" s="166">
        <f t="shared" si="2017"/>
        <v>2000</v>
      </c>
      <c r="J2194" s="371" t="str">
        <f t="shared" si="2018"/>
        <v>MESU/DEP</v>
      </c>
      <c r="K2194" s="350" t="str">
        <f t="shared" si="2019"/>
        <v>BM</v>
      </c>
      <c r="L2194" s="167">
        <f t="shared" ref="L2194:T2194" si="2043">L966</f>
        <v>2000000</v>
      </c>
      <c r="M2194" s="168">
        <f t="shared" si="2043"/>
        <v>0</v>
      </c>
      <c r="N2194" s="168">
        <f t="shared" si="2043"/>
        <v>0</v>
      </c>
      <c r="O2194" s="168">
        <f t="shared" si="2043"/>
        <v>0</v>
      </c>
      <c r="P2194" s="168">
        <f t="shared" si="2043"/>
        <v>0</v>
      </c>
      <c r="Q2194" s="165">
        <f t="shared" si="2043"/>
        <v>2000000</v>
      </c>
      <c r="R2194" s="198" t="str">
        <f t="shared" ref="R2194:S2194" si="2044">R966</f>
        <v>MESU/DEP</v>
      </c>
      <c r="S2194" s="197" t="str">
        <f t="shared" si="2044"/>
        <v>BM</v>
      </c>
      <c r="T2194" s="51">
        <f t="shared" si="2043"/>
        <v>0</v>
      </c>
      <c r="W2194" s="608">
        <f t="shared" si="2021"/>
        <v>2000000</v>
      </c>
      <c r="X2194" s="608">
        <f t="shared" si="2022"/>
        <v>0</v>
      </c>
      <c r="Z2194" s="572">
        <f t="shared" si="2027"/>
        <v>0</v>
      </c>
      <c r="AA2194" s="1">
        <f t="shared" si="2028"/>
        <v>0</v>
      </c>
    </row>
    <row r="2195" spans="1:27" x14ac:dyDescent="0.2">
      <c r="A2195" s="17" t="str">
        <f>A968</f>
        <v>7.4.2 Établir une Agence nationale indépendante d’Assurance-Qualité</v>
      </c>
      <c r="B2195" s="45"/>
      <c r="C2195" s="386" t="str">
        <f>C968</f>
        <v>L'agence est établie en 2018</v>
      </c>
      <c r="D2195" s="157">
        <f t="shared" si="2012"/>
        <v>70.5</v>
      </c>
      <c r="E2195" s="157">
        <f t="shared" si="2013"/>
        <v>1900</v>
      </c>
      <c r="F2195" s="157">
        <f t="shared" si="2014"/>
        <v>1800</v>
      </c>
      <c r="G2195" s="157">
        <f t="shared" si="2015"/>
        <v>1800</v>
      </c>
      <c r="H2195" s="157">
        <f t="shared" si="2016"/>
        <v>1800</v>
      </c>
      <c r="I2195" s="160">
        <f t="shared" si="2017"/>
        <v>7370.5</v>
      </c>
      <c r="J2195" s="374">
        <f t="shared" si="2018"/>
        <v>0</v>
      </c>
      <c r="K2195" s="348">
        <f t="shared" si="2019"/>
        <v>0</v>
      </c>
      <c r="L2195" s="35">
        <f t="shared" ref="L2195:Q2195" si="2045">SUM(L2196:L2197)</f>
        <v>70500</v>
      </c>
      <c r="M2195" s="34">
        <f t="shared" si="2045"/>
        <v>1900000</v>
      </c>
      <c r="N2195" s="34">
        <f t="shared" si="2045"/>
        <v>1800000</v>
      </c>
      <c r="O2195" s="34">
        <f t="shared" si="2045"/>
        <v>1800000</v>
      </c>
      <c r="P2195" s="34">
        <f t="shared" si="2045"/>
        <v>1800000</v>
      </c>
      <c r="Q2195" s="26">
        <f t="shared" si="2045"/>
        <v>7370500</v>
      </c>
      <c r="R2195" s="19">
        <f t="shared" ref="R2195:S2195" si="2046">SUM(R2196:R2197)</f>
        <v>0</v>
      </c>
      <c r="S2195" s="18">
        <f t="shared" si="2046"/>
        <v>0</v>
      </c>
      <c r="T2195" s="51">
        <f>T968</f>
        <v>0</v>
      </c>
      <c r="W2195" s="608">
        <f t="shared" si="2021"/>
        <v>7370500</v>
      </c>
      <c r="X2195" s="608">
        <f t="shared" si="2022"/>
        <v>0</v>
      </c>
      <c r="Z2195" s="572">
        <f t="shared" si="2027"/>
        <v>0</v>
      </c>
      <c r="AA2195" s="1">
        <f t="shared" si="2028"/>
        <v>0</v>
      </c>
    </row>
    <row r="2196" spans="1:27" x14ac:dyDescent="0.2">
      <c r="A2196" s="20" t="str">
        <f>A969</f>
        <v>7.4.2.1 Définition du statut et du modèle de fonctionnement de l'ANIAQ</v>
      </c>
      <c r="B2196" s="46"/>
      <c r="C2196" s="386">
        <f>C969</f>
        <v>0</v>
      </c>
      <c r="D2196" s="168">
        <f t="shared" si="2012"/>
        <v>70.5</v>
      </c>
      <c r="E2196" s="168">
        <f t="shared" si="2013"/>
        <v>0</v>
      </c>
      <c r="F2196" s="168">
        <f t="shared" si="2014"/>
        <v>0</v>
      </c>
      <c r="G2196" s="168">
        <f t="shared" si="2015"/>
        <v>0</v>
      </c>
      <c r="H2196" s="168">
        <f t="shared" si="2016"/>
        <v>0</v>
      </c>
      <c r="I2196" s="166">
        <f t="shared" si="2017"/>
        <v>70.5</v>
      </c>
      <c r="J2196" s="371" t="str">
        <f t="shared" si="2018"/>
        <v>MESU/DEP</v>
      </c>
      <c r="K2196" s="350" t="str">
        <f t="shared" si="2019"/>
        <v>BM</v>
      </c>
      <c r="L2196" s="167">
        <f t="shared" ref="L2196:Q2196" si="2047">L969</f>
        <v>70500</v>
      </c>
      <c r="M2196" s="168">
        <f t="shared" si="2047"/>
        <v>0</v>
      </c>
      <c r="N2196" s="168">
        <f t="shared" si="2047"/>
        <v>0</v>
      </c>
      <c r="O2196" s="168">
        <f t="shared" si="2047"/>
        <v>0</v>
      </c>
      <c r="P2196" s="168">
        <f t="shared" si="2047"/>
        <v>0</v>
      </c>
      <c r="Q2196" s="165">
        <f t="shared" si="2047"/>
        <v>70500</v>
      </c>
      <c r="R2196" s="198" t="str">
        <f t="shared" ref="R2196:S2196" si="2048">R969</f>
        <v>MESU/DEP</v>
      </c>
      <c r="S2196" s="197" t="str">
        <f t="shared" si="2048"/>
        <v>BM</v>
      </c>
      <c r="T2196" s="51">
        <f>T969</f>
        <v>0</v>
      </c>
      <c r="W2196" s="608">
        <f t="shared" si="2021"/>
        <v>70500</v>
      </c>
      <c r="X2196" s="608">
        <f t="shared" si="2022"/>
        <v>0</v>
      </c>
      <c r="Z2196" s="572">
        <f t="shared" si="2027"/>
        <v>0</v>
      </c>
      <c r="AA2196" s="1">
        <f t="shared" si="2028"/>
        <v>0</v>
      </c>
    </row>
    <row r="2197" spans="1:27" x14ac:dyDescent="0.2">
      <c r="A2197" s="20" t="str">
        <f>A972</f>
        <v>7.4.2.2 Mise en place de l'ANIAQ</v>
      </c>
      <c r="B2197" s="46"/>
      <c r="C2197" s="386">
        <f>C972</f>
        <v>0</v>
      </c>
      <c r="D2197" s="168">
        <f t="shared" si="2012"/>
        <v>0</v>
      </c>
      <c r="E2197" s="168">
        <f t="shared" si="2013"/>
        <v>1900</v>
      </c>
      <c r="F2197" s="168">
        <f t="shared" si="2014"/>
        <v>1800</v>
      </c>
      <c r="G2197" s="168">
        <f t="shared" si="2015"/>
        <v>1800</v>
      </c>
      <c r="H2197" s="168">
        <f t="shared" si="2016"/>
        <v>1800</v>
      </c>
      <c r="I2197" s="166">
        <f t="shared" si="2017"/>
        <v>7300</v>
      </c>
      <c r="J2197" s="371" t="str">
        <f t="shared" si="2018"/>
        <v>MESU/DEP</v>
      </c>
      <c r="K2197" s="350" t="str">
        <f t="shared" si="2019"/>
        <v>GVT/BM</v>
      </c>
      <c r="L2197" s="167">
        <f t="shared" ref="L2197:T2197" si="2049">L972</f>
        <v>0</v>
      </c>
      <c r="M2197" s="168">
        <f t="shared" si="2049"/>
        <v>1900000</v>
      </c>
      <c r="N2197" s="168">
        <f t="shared" si="2049"/>
        <v>1800000</v>
      </c>
      <c r="O2197" s="168">
        <f t="shared" si="2049"/>
        <v>1800000</v>
      </c>
      <c r="P2197" s="168">
        <f t="shared" si="2049"/>
        <v>1800000</v>
      </c>
      <c r="Q2197" s="165">
        <f t="shared" si="2049"/>
        <v>7300000</v>
      </c>
      <c r="R2197" s="198" t="str">
        <f t="shared" ref="R2197:S2197" si="2050">R972</f>
        <v>MESU/DEP</v>
      </c>
      <c r="S2197" s="197" t="str">
        <f t="shared" si="2050"/>
        <v>GVT/BM</v>
      </c>
      <c r="T2197" s="51">
        <f t="shared" si="2049"/>
        <v>0</v>
      </c>
      <c r="W2197" s="608">
        <f t="shared" si="2021"/>
        <v>7300000</v>
      </c>
      <c r="X2197" s="608">
        <f t="shared" si="2022"/>
        <v>0</v>
      </c>
      <c r="Z2197" s="572">
        <f t="shared" si="2027"/>
        <v>0</v>
      </c>
      <c r="AA2197" s="1">
        <f t="shared" si="2028"/>
        <v>0</v>
      </c>
    </row>
    <row r="2198" spans="1:27" x14ac:dyDescent="0.2">
      <c r="A2198" s="14" t="str">
        <f>A975</f>
        <v>7.5 Développement des filières techniques, technologiques et professionnelles dans les pôles et secteurs de croissance : Adapter le système de formation aux besoin de l'économie</v>
      </c>
      <c r="B2198" s="44"/>
      <c r="C2198" s="385">
        <f>C975</f>
        <v>0</v>
      </c>
      <c r="D2198" s="217">
        <f t="shared" si="2012"/>
        <v>179</v>
      </c>
      <c r="E2198" s="217">
        <f t="shared" si="2013"/>
        <v>6412</v>
      </c>
      <c r="F2198" s="217">
        <f t="shared" si="2014"/>
        <v>8398</v>
      </c>
      <c r="G2198" s="217">
        <f t="shared" si="2015"/>
        <v>3150</v>
      </c>
      <c r="H2198" s="217">
        <f t="shared" si="2016"/>
        <v>0</v>
      </c>
      <c r="I2198" s="220">
        <f t="shared" si="2017"/>
        <v>18139</v>
      </c>
      <c r="J2198" s="373">
        <f t="shared" si="2018"/>
        <v>0</v>
      </c>
      <c r="K2198" s="346">
        <f t="shared" si="2019"/>
        <v>0</v>
      </c>
      <c r="L2198" s="33">
        <f t="shared" ref="L2198:Q2198" si="2051">L2199+L2202</f>
        <v>179000</v>
      </c>
      <c r="M2198" s="32">
        <f t="shared" si="2051"/>
        <v>6412000</v>
      </c>
      <c r="N2198" s="32">
        <f t="shared" si="2051"/>
        <v>8398000</v>
      </c>
      <c r="O2198" s="32">
        <f t="shared" si="2051"/>
        <v>3150000</v>
      </c>
      <c r="P2198" s="32">
        <f t="shared" si="2051"/>
        <v>0</v>
      </c>
      <c r="Q2198" s="25">
        <f t="shared" si="2051"/>
        <v>18139000</v>
      </c>
      <c r="R2198" s="16">
        <f t="shared" ref="R2198:S2198" si="2052">R2199+R2202</f>
        <v>0</v>
      </c>
      <c r="S2198" s="15">
        <f t="shared" si="2052"/>
        <v>0</v>
      </c>
      <c r="T2198" s="112">
        <f>T975</f>
        <v>2</v>
      </c>
      <c r="W2198" s="608">
        <f t="shared" si="2021"/>
        <v>18139000</v>
      </c>
      <c r="X2198" s="608">
        <f t="shared" si="2022"/>
        <v>0</v>
      </c>
      <c r="Z2198" s="572">
        <f t="shared" si="2027"/>
        <v>0</v>
      </c>
      <c r="AA2198" s="1">
        <f t="shared" si="2028"/>
        <v>0</v>
      </c>
    </row>
    <row r="2199" spans="1:27" x14ac:dyDescent="0.2">
      <c r="A2199" s="17" t="str">
        <f>A976</f>
        <v xml:space="preserve">7.5.1 Développement/Restructuration des Institutions spécifiques pour les filières techniques et technologiques dans les pôles et secteurs de croissance </v>
      </c>
      <c r="B2199" s="45"/>
      <c r="C2199" s="386">
        <f>C976</f>
        <v>0</v>
      </c>
      <c r="D2199" s="157">
        <f t="shared" si="2012"/>
        <v>145.5</v>
      </c>
      <c r="E2199" s="157">
        <f t="shared" si="2013"/>
        <v>5512</v>
      </c>
      <c r="F2199" s="157">
        <f t="shared" si="2014"/>
        <v>5398</v>
      </c>
      <c r="G2199" s="157">
        <f t="shared" si="2015"/>
        <v>0</v>
      </c>
      <c r="H2199" s="157">
        <f t="shared" si="2016"/>
        <v>0</v>
      </c>
      <c r="I2199" s="160">
        <f t="shared" si="2017"/>
        <v>11055.5</v>
      </c>
      <c r="J2199" s="374">
        <f t="shared" si="2018"/>
        <v>0</v>
      </c>
      <c r="K2199" s="348">
        <f t="shared" si="2019"/>
        <v>0</v>
      </c>
      <c r="L2199" s="35">
        <f t="shared" ref="L2199:Q2199" si="2053">SUM(L2200:L2201)</f>
        <v>145500</v>
      </c>
      <c r="M2199" s="34">
        <f t="shared" si="2053"/>
        <v>5512000</v>
      </c>
      <c r="N2199" s="34">
        <f t="shared" si="2053"/>
        <v>5398000</v>
      </c>
      <c r="O2199" s="34">
        <f t="shared" si="2053"/>
        <v>0</v>
      </c>
      <c r="P2199" s="34">
        <f t="shared" si="2053"/>
        <v>0</v>
      </c>
      <c r="Q2199" s="26">
        <f t="shared" si="2053"/>
        <v>11055500</v>
      </c>
      <c r="R2199" s="19">
        <f t="shared" ref="R2199:S2199" si="2054">SUM(R2200:R2201)</f>
        <v>0</v>
      </c>
      <c r="S2199" s="18">
        <f t="shared" si="2054"/>
        <v>0</v>
      </c>
      <c r="T2199" s="51">
        <f>T976</f>
        <v>0</v>
      </c>
      <c r="W2199" s="608">
        <f t="shared" si="2021"/>
        <v>11055500</v>
      </c>
      <c r="X2199" s="608">
        <f t="shared" si="2022"/>
        <v>0</v>
      </c>
      <c r="Z2199" s="572">
        <f t="shared" si="2027"/>
        <v>0</v>
      </c>
      <c r="AA2199" s="1">
        <f t="shared" si="2028"/>
        <v>0</v>
      </c>
    </row>
    <row r="2200" spans="1:27" x14ac:dyDescent="0.2">
      <c r="A2200" s="20" t="str">
        <f>A977</f>
        <v>7.5.1.1 Définition / révision des programmes</v>
      </c>
      <c r="B2200" s="46"/>
      <c r="C2200" s="386">
        <f>C977</f>
        <v>0</v>
      </c>
      <c r="D2200" s="168">
        <f t="shared" si="2012"/>
        <v>145.5</v>
      </c>
      <c r="E2200" s="168">
        <f t="shared" si="2013"/>
        <v>145.5</v>
      </c>
      <c r="F2200" s="168">
        <f t="shared" si="2014"/>
        <v>0</v>
      </c>
      <c r="G2200" s="168">
        <f t="shared" si="2015"/>
        <v>0</v>
      </c>
      <c r="H2200" s="168">
        <f t="shared" si="2016"/>
        <v>0</v>
      </c>
      <c r="I2200" s="166">
        <f t="shared" si="2017"/>
        <v>291</v>
      </c>
      <c r="J2200" s="371" t="str">
        <f t="shared" si="2018"/>
        <v>MESU/DEP-CPE</v>
      </c>
      <c r="K2200" s="350" t="str">
        <f t="shared" si="2019"/>
        <v>BM</v>
      </c>
      <c r="L2200" s="167">
        <f t="shared" ref="L2200:Q2200" si="2055">L977</f>
        <v>145500</v>
      </c>
      <c r="M2200" s="168">
        <f t="shared" si="2055"/>
        <v>145500</v>
      </c>
      <c r="N2200" s="168">
        <f t="shared" si="2055"/>
        <v>0</v>
      </c>
      <c r="O2200" s="168">
        <f t="shared" si="2055"/>
        <v>0</v>
      </c>
      <c r="P2200" s="168">
        <f t="shared" si="2055"/>
        <v>0</v>
      </c>
      <c r="Q2200" s="165">
        <f t="shared" si="2055"/>
        <v>291000</v>
      </c>
      <c r="R2200" s="198" t="str">
        <f t="shared" ref="R2200:S2200" si="2056">R977</f>
        <v>MESU/DEP-CPE</v>
      </c>
      <c r="S2200" s="197" t="str">
        <f t="shared" si="2056"/>
        <v>BM</v>
      </c>
      <c r="T2200" s="51">
        <f>T977</f>
        <v>0</v>
      </c>
      <c r="W2200" s="608">
        <f t="shared" si="2021"/>
        <v>291000</v>
      </c>
      <c r="X2200" s="608">
        <f t="shared" si="2022"/>
        <v>0</v>
      </c>
      <c r="Z2200" s="572">
        <f t="shared" si="2027"/>
        <v>0</v>
      </c>
      <c r="AA2200" s="1">
        <f t="shared" si="2028"/>
        <v>0</v>
      </c>
    </row>
    <row r="2201" spans="1:27" x14ac:dyDescent="0.2">
      <c r="A2201" s="20" t="str">
        <f>A981</f>
        <v>7.5.1.2 Formation sur les nouveaux programmes</v>
      </c>
      <c r="B2201" s="46"/>
      <c r="C2201" s="386">
        <f>C981</f>
        <v>0</v>
      </c>
      <c r="D2201" s="168">
        <f t="shared" si="2012"/>
        <v>0</v>
      </c>
      <c r="E2201" s="168">
        <f t="shared" si="2013"/>
        <v>5366.5</v>
      </c>
      <c r="F2201" s="168">
        <f t="shared" si="2014"/>
        <v>5398</v>
      </c>
      <c r="G2201" s="168">
        <f t="shared" si="2015"/>
        <v>0</v>
      </c>
      <c r="H2201" s="168">
        <f t="shared" si="2016"/>
        <v>0</v>
      </c>
      <c r="I2201" s="166">
        <f t="shared" si="2017"/>
        <v>10764.5</v>
      </c>
      <c r="J2201" s="371" t="str">
        <f t="shared" si="2018"/>
        <v>MESU/DEP-CPE</v>
      </c>
      <c r="K2201" s="350" t="str">
        <f t="shared" si="2019"/>
        <v>BM</v>
      </c>
      <c r="L2201" s="167">
        <f t="shared" ref="L2201:T2201" si="2057">L981</f>
        <v>0</v>
      </c>
      <c r="M2201" s="168">
        <f t="shared" si="2057"/>
        <v>5366500</v>
      </c>
      <c r="N2201" s="168">
        <f t="shared" si="2057"/>
        <v>5398000</v>
      </c>
      <c r="O2201" s="168">
        <f t="shared" si="2057"/>
        <v>0</v>
      </c>
      <c r="P2201" s="168">
        <f t="shared" si="2057"/>
        <v>0</v>
      </c>
      <c r="Q2201" s="165">
        <f t="shared" si="2057"/>
        <v>10764500</v>
      </c>
      <c r="R2201" s="198" t="str">
        <f t="shared" ref="R2201:S2201" si="2058">R981</f>
        <v>MESU/DEP-CPE</v>
      </c>
      <c r="S2201" s="197" t="str">
        <f t="shared" si="2058"/>
        <v>BM</v>
      </c>
      <c r="T2201" s="51">
        <f t="shared" si="2057"/>
        <v>0</v>
      </c>
      <c r="W2201" s="608">
        <f t="shared" si="2021"/>
        <v>10764500</v>
      </c>
      <c r="X2201" s="608">
        <f t="shared" si="2022"/>
        <v>0</v>
      </c>
      <c r="Z2201" s="572">
        <f t="shared" si="2027"/>
        <v>0</v>
      </c>
      <c r="AA2201" s="1">
        <f t="shared" si="2028"/>
        <v>0</v>
      </c>
    </row>
    <row r="2202" spans="1:27" x14ac:dyDescent="0.2">
      <c r="A2202" s="17" t="str">
        <f>A984</f>
        <v>7.5.2 Développement des établissements d’Arts et Métiers</v>
      </c>
      <c r="B2202" s="45"/>
      <c r="C2202" s="386">
        <f>C984</f>
        <v>0</v>
      </c>
      <c r="D2202" s="157">
        <f t="shared" si="2012"/>
        <v>33.5</v>
      </c>
      <c r="E2202" s="157">
        <f t="shared" si="2013"/>
        <v>900</v>
      </c>
      <c r="F2202" s="157">
        <f t="shared" si="2014"/>
        <v>3000</v>
      </c>
      <c r="G2202" s="157">
        <f t="shared" si="2015"/>
        <v>3150</v>
      </c>
      <c r="H2202" s="157">
        <f t="shared" si="2016"/>
        <v>0</v>
      </c>
      <c r="I2202" s="160">
        <f t="shared" si="2017"/>
        <v>7083.5</v>
      </c>
      <c r="J2202" s="374">
        <f t="shared" si="2018"/>
        <v>0</v>
      </c>
      <c r="K2202" s="348">
        <f t="shared" si="2019"/>
        <v>0</v>
      </c>
      <c r="L2202" s="35">
        <f t="shared" ref="L2202:Q2202" si="2059">SUM(L2203:L2204)</f>
        <v>33500</v>
      </c>
      <c r="M2202" s="34">
        <f t="shared" si="2059"/>
        <v>900000</v>
      </c>
      <c r="N2202" s="34">
        <f t="shared" si="2059"/>
        <v>3000000</v>
      </c>
      <c r="O2202" s="34">
        <f t="shared" si="2059"/>
        <v>3150000</v>
      </c>
      <c r="P2202" s="34">
        <f t="shared" si="2059"/>
        <v>0</v>
      </c>
      <c r="Q2202" s="26">
        <f t="shared" si="2059"/>
        <v>7083500</v>
      </c>
      <c r="R2202" s="19">
        <f t="shared" ref="R2202:S2202" si="2060">SUM(R2203:R2204)</f>
        <v>0</v>
      </c>
      <c r="S2202" s="18">
        <f t="shared" si="2060"/>
        <v>0</v>
      </c>
      <c r="T2202" s="51">
        <f>T984</f>
        <v>0</v>
      </c>
      <c r="W2202" s="608">
        <f t="shared" si="2021"/>
        <v>7083500</v>
      </c>
      <c r="X2202" s="608">
        <f t="shared" si="2022"/>
        <v>0</v>
      </c>
      <c r="Z2202" s="572">
        <f t="shared" si="2027"/>
        <v>0</v>
      </c>
      <c r="AA2202" s="1">
        <f t="shared" si="2028"/>
        <v>0</v>
      </c>
    </row>
    <row r="2203" spans="1:27" x14ac:dyDescent="0.2">
      <c r="A2203" s="20" t="str">
        <f>A985</f>
        <v xml:space="preserve">7.5.2.1 Élaboration du programme de développement des établissements existants </v>
      </c>
      <c r="B2203" s="46"/>
      <c r="C2203" s="386">
        <f>C985</f>
        <v>0</v>
      </c>
      <c r="D2203" s="168">
        <f t="shared" si="2012"/>
        <v>33.5</v>
      </c>
      <c r="E2203" s="168">
        <f t="shared" si="2013"/>
        <v>0</v>
      </c>
      <c r="F2203" s="168">
        <f t="shared" si="2014"/>
        <v>0</v>
      </c>
      <c r="G2203" s="168">
        <f t="shared" si="2015"/>
        <v>0</v>
      </c>
      <c r="H2203" s="168">
        <f t="shared" si="2016"/>
        <v>0</v>
      </c>
      <c r="I2203" s="166">
        <f t="shared" si="2017"/>
        <v>33.5</v>
      </c>
      <c r="J2203" s="371" t="str">
        <f t="shared" si="2018"/>
        <v>MESU/DEP</v>
      </c>
      <c r="K2203" s="350" t="str">
        <f t="shared" si="2019"/>
        <v>A Rechercher</v>
      </c>
      <c r="L2203" s="167">
        <f t="shared" ref="L2203:Q2203" si="2061">L985</f>
        <v>33500</v>
      </c>
      <c r="M2203" s="168">
        <f t="shared" si="2061"/>
        <v>0</v>
      </c>
      <c r="N2203" s="168">
        <f t="shared" si="2061"/>
        <v>0</v>
      </c>
      <c r="O2203" s="168">
        <f t="shared" si="2061"/>
        <v>0</v>
      </c>
      <c r="P2203" s="168">
        <f t="shared" si="2061"/>
        <v>0</v>
      </c>
      <c r="Q2203" s="165">
        <f t="shared" si="2061"/>
        <v>33500</v>
      </c>
      <c r="R2203" s="198" t="str">
        <f t="shared" ref="R2203:S2203" si="2062">R985</f>
        <v>MESU/DEP</v>
      </c>
      <c r="S2203" s="197" t="str">
        <f t="shared" si="2062"/>
        <v>A Rechercher</v>
      </c>
      <c r="T2203" s="51">
        <f>T985</f>
        <v>0</v>
      </c>
      <c r="W2203" s="608">
        <f t="shared" si="2021"/>
        <v>33500</v>
      </c>
      <c r="X2203" s="608">
        <f t="shared" si="2022"/>
        <v>0</v>
      </c>
      <c r="Z2203" s="572">
        <f t="shared" si="2027"/>
        <v>0</v>
      </c>
      <c r="AA2203" s="1">
        <f t="shared" si="2028"/>
        <v>0</v>
      </c>
    </row>
    <row r="2204" spans="1:27" x14ac:dyDescent="0.2">
      <c r="A2204" s="20" t="str">
        <f>A989</f>
        <v>7.5.2.2 Mise en œuvre du programme de développement</v>
      </c>
      <c r="B2204" s="46"/>
      <c r="C2204" s="386">
        <f>C989</f>
        <v>0</v>
      </c>
      <c r="D2204" s="168">
        <f t="shared" si="2012"/>
        <v>0</v>
      </c>
      <c r="E2204" s="168">
        <f t="shared" si="2013"/>
        <v>900</v>
      </c>
      <c r="F2204" s="168">
        <f t="shared" si="2014"/>
        <v>3000</v>
      </c>
      <c r="G2204" s="168">
        <f t="shared" si="2015"/>
        <v>3150</v>
      </c>
      <c r="H2204" s="168">
        <f t="shared" si="2016"/>
        <v>0</v>
      </c>
      <c r="I2204" s="166">
        <f t="shared" si="2017"/>
        <v>7050</v>
      </c>
      <c r="J2204" s="371" t="str">
        <f t="shared" si="2018"/>
        <v>MESU/DEP</v>
      </c>
      <c r="K2204" s="350" t="str">
        <f t="shared" si="2019"/>
        <v>A Rechercher</v>
      </c>
      <c r="L2204" s="167">
        <f t="shared" ref="L2204:T2204" si="2063">L989</f>
        <v>0</v>
      </c>
      <c r="M2204" s="168">
        <f t="shared" si="2063"/>
        <v>900000</v>
      </c>
      <c r="N2204" s="168">
        <f t="shared" si="2063"/>
        <v>3000000</v>
      </c>
      <c r="O2204" s="168">
        <f t="shared" si="2063"/>
        <v>3150000</v>
      </c>
      <c r="P2204" s="168">
        <f t="shared" si="2063"/>
        <v>0</v>
      </c>
      <c r="Q2204" s="165">
        <f t="shared" si="2063"/>
        <v>7050000</v>
      </c>
      <c r="R2204" s="198" t="str">
        <f t="shared" ref="R2204:S2204" si="2064">R989</f>
        <v>MESU/DEP</v>
      </c>
      <c r="S2204" s="197" t="str">
        <f t="shared" si="2064"/>
        <v>A Rechercher</v>
      </c>
      <c r="T2204" s="51">
        <f t="shared" si="2063"/>
        <v>0</v>
      </c>
      <c r="W2204" s="608">
        <f t="shared" si="2021"/>
        <v>7050000</v>
      </c>
      <c r="X2204" s="608">
        <f t="shared" si="2022"/>
        <v>0</v>
      </c>
      <c r="Z2204" s="572">
        <f t="shared" si="2027"/>
        <v>0</v>
      </c>
      <c r="AA2204" s="1">
        <f t="shared" si="2028"/>
        <v>0</v>
      </c>
    </row>
    <row r="2205" spans="1:27" x14ac:dyDescent="0.2">
      <c r="A2205" s="14" t="str">
        <f>A993</f>
        <v xml:space="preserve">7.6 Inscription du Système Congolais d’Enseignement Supérieur dans la mouvance mondiale : Promouvoir la participation des EES de la RDC aux partenariats régionaux et internationaux d'enseignement supérieur et de recherche </v>
      </c>
      <c r="B2205" s="44"/>
      <c r="C2205" s="385">
        <f>C993</f>
        <v>0</v>
      </c>
      <c r="D2205" s="217">
        <f t="shared" si="2012"/>
        <v>157.5</v>
      </c>
      <c r="E2205" s="217">
        <f t="shared" si="2013"/>
        <v>5037.25</v>
      </c>
      <c r="F2205" s="217">
        <f t="shared" si="2014"/>
        <v>5037.25</v>
      </c>
      <c r="G2205" s="217">
        <f t="shared" si="2015"/>
        <v>740</v>
      </c>
      <c r="H2205" s="217">
        <f t="shared" si="2016"/>
        <v>740</v>
      </c>
      <c r="I2205" s="220">
        <f t="shared" si="2017"/>
        <v>11712</v>
      </c>
      <c r="J2205" s="373">
        <f t="shared" si="2018"/>
        <v>0</v>
      </c>
      <c r="K2205" s="346">
        <f t="shared" si="2019"/>
        <v>0</v>
      </c>
      <c r="L2205" s="33">
        <f t="shared" ref="L2205:Q2205" si="2065">L2206+L2211+L2213</f>
        <v>157500</v>
      </c>
      <c r="M2205" s="32">
        <f t="shared" si="2065"/>
        <v>5037250</v>
      </c>
      <c r="N2205" s="32">
        <f t="shared" si="2065"/>
        <v>5037250</v>
      </c>
      <c r="O2205" s="32">
        <f t="shared" si="2065"/>
        <v>740000</v>
      </c>
      <c r="P2205" s="32">
        <f t="shared" si="2065"/>
        <v>740000</v>
      </c>
      <c r="Q2205" s="25">
        <f t="shared" si="2065"/>
        <v>11712000</v>
      </c>
      <c r="R2205" s="16">
        <f t="shared" ref="R2205:S2205" si="2066">R2206+R2211+R2213</f>
        <v>0</v>
      </c>
      <c r="S2205" s="15">
        <f t="shared" si="2066"/>
        <v>0</v>
      </c>
      <c r="T2205" s="112">
        <f>T993</f>
        <v>2</v>
      </c>
      <c r="W2205" s="608">
        <f t="shared" si="2021"/>
        <v>11712000</v>
      </c>
      <c r="X2205" s="608">
        <f t="shared" si="2022"/>
        <v>0</v>
      </c>
      <c r="Z2205" s="572">
        <f t="shared" si="2027"/>
        <v>0</v>
      </c>
      <c r="AA2205" s="1">
        <f t="shared" si="2028"/>
        <v>0</v>
      </c>
    </row>
    <row r="2206" spans="1:27" x14ac:dyDescent="0.2">
      <c r="A2206" s="17" t="str">
        <f>A994</f>
        <v>7.6.1 Arrimage progressif au processus de Bologne (Système LMD)</v>
      </c>
      <c r="B2206" s="45"/>
      <c r="C2206" s="386">
        <f>C994</f>
        <v>0</v>
      </c>
      <c r="D2206" s="157">
        <f t="shared" si="2012"/>
        <v>147.5</v>
      </c>
      <c r="E2206" s="157">
        <f t="shared" si="2013"/>
        <v>4297.25</v>
      </c>
      <c r="F2206" s="157">
        <f t="shared" si="2014"/>
        <v>4297.25</v>
      </c>
      <c r="G2206" s="157">
        <f t="shared" si="2015"/>
        <v>0</v>
      </c>
      <c r="H2206" s="157">
        <f t="shared" si="2016"/>
        <v>0</v>
      </c>
      <c r="I2206" s="160">
        <f t="shared" si="2017"/>
        <v>8742</v>
      </c>
      <c r="J2206" s="374">
        <f t="shared" si="2018"/>
        <v>0</v>
      </c>
      <c r="K2206" s="348">
        <f t="shared" si="2019"/>
        <v>0</v>
      </c>
      <c r="L2206" s="35">
        <f t="shared" ref="L2206:Q2206" si="2067">SUM(L2207:L2210)</f>
        <v>147500</v>
      </c>
      <c r="M2206" s="34">
        <f t="shared" si="2067"/>
        <v>4297250</v>
      </c>
      <c r="N2206" s="34">
        <f t="shared" si="2067"/>
        <v>4297250</v>
      </c>
      <c r="O2206" s="34">
        <f t="shared" si="2067"/>
        <v>0</v>
      </c>
      <c r="P2206" s="34">
        <f t="shared" si="2067"/>
        <v>0</v>
      </c>
      <c r="Q2206" s="26">
        <f t="shared" si="2067"/>
        <v>8742000</v>
      </c>
      <c r="R2206" s="19">
        <f t="shared" ref="R2206:S2206" si="2068">SUM(R2207:R2210)</f>
        <v>0</v>
      </c>
      <c r="S2206" s="18">
        <f t="shared" si="2068"/>
        <v>0</v>
      </c>
      <c r="T2206" s="51">
        <f>T994</f>
        <v>0</v>
      </c>
      <c r="W2206" s="608">
        <f t="shared" si="2021"/>
        <v>8742000</v>
      </c>
      <c r="X2206" s="608">
        <f t="shared" si="2022"/>
        <v>0</v>
      </c>
      <c r="Z2206" s="572">
        <f t="shared" si="2027"/>
        <v>0</v>
      </c>
      <c r="AA2206" s="1">
        <f t="shared" si="2028"/>
        <v>0</v>
      </c>
    </row>
    <row r="2207" spans="1:27" x14ac:dyDescent="0.2">
      <c r="A2207" s="20" t="str">
        <f>A995</f>
        <v>7.6.1.1 Définition du programme de mise en place du système LMD</v>
      </c>
      <c r="B2207" s="46"/>
      <c r="C2207" s="386">
        <f>C995</f>
        <v>0</v>
      </c>
      <c r="D2207" s="168">
        <f t="shared" si="2012"/>
        <v>147.5</v>
      </c>
      <c r="E2207" s="168">
        <f t="shared" si="2013"/>
        <v>0</v>
      </c>
      <c r="F2207" s="168">
        <f t="shared" si="2014"/>
        <v>0</v>
      </c>
      <c r="G2207" s="168">
        <f t="shared" si="2015"/>
        <v>0</v>
      </c>
      <c r="H2207" s="168">
        <f t="shared" si="2016"/>
        <v>0</v>
      </c>
      <c r="I2207" s="166">
        <f t="shared" si="2017"/>
        <v>147.5</v>
      </c>
      <c r="J2207" s="371" t="str">
        <f t="shared" si="2018"/>
        <v>MESU/DEP</v>
      </c>
      <c r="K2207" s="350" t="str">
        <f t="shared" si="2019"/>
        <v>BM</v>
      </c>
      <c r="L2207" s="167">
        <f t="shared" ref="L2207:Q2207" si="2069">L995</f>
        <v>147500</v>
      </c>
      <c r="M2207" s="168">
        <f t="shared" si="2069"/>
        <v>0</v>
      </c>
      <c r="N2207" s="168">
        <f t="shared" si="2069"/>
        <v>0</v>
      </c>
      <c r="O2207" s="168">
        <f t="shared" si="2069"/>
        <v>0</v>
      </c>
      <c r="P2207" s="168">
        <f t="shared" si="2069"/>
        <v>0</v>
      </c>
      <c r="Q2207" s="165">
        <f t="shared" si="2069"/>
        <v>147500</v>
      </c>
      <c r="R2207" s="198" t="str">
        <f t="shared" ref="R2207:S2207" si="2070">R995</f>
        <v>MESU/DEP</v>
      </c>
      <c r="S2207" s="197" t="str">
        <f t="shared" si="2070"/>
        <v>BM</v>
      </c>
      <c r="T2207" s="51">
        <f>T995</f>
        <v>0</v>
      </c>
      <c r="W2207" s="608">
        <f t="shared" si="2021"/>
        <v>147500</v>
      </c>
      <c r="X2207" s="608">
        <f t="shared" si="2022"/>
        <v>0</v>
      </c>
      <c r="Z2207" s="572">
        <f t="shared" si="2027"/>
        <v>0</v>
      </c>
      <c r="AA2207" s="1">
        <f t="shared" si="2028"/>
        <v>0</v>
      </c>
    </row>
    <row r="2208" spans="1:27" x14ac:dyDescent="0.2">
      <c r="A2208" s="20" t="str">
        <f>A1001</f>
        <v>7.6.1.2 Révision des programmes selon le système LMD</v>
      </c>
      <c r="B2208" s="46"/>
      <c r="C2208" s="386">
        <f>C1001</f>
        <v>0</v>
      </c>
      <c r="D2208" s="168">
        <f t="shared" si="2012"/>
        <v>0</v>
      </c>
      <c r="E2208" s="168">
        <f t="shared" si="2013"/>
        <v>152.25</v>
      </c>
      <c r="F2208" s="168">
        <f t="shared" si="2014"/>
        <v>152.25</v>
      </c>
      <c r="G2208" s="168">
        <f t="shared" si="2015"/>
        <v>0</v>
      </c>
      <c r="H2208" s="168">
        <f t="shared" si="2016"/>
        <v>0</v>
      </c>
      <c r="I2208" s="166">
        <f t="shared" si="2017"/>
        <v>304.5</v>
      </c>
      <c r="J2208" s="371" t="str">
        <f t="shared" si="2018"/>
        <v>MESU/DEP-CPE</v>
      </c>
      <c r="K2208" s="350" t="str">
        <f t="shared" si="2019"/>
        <v>GVT/BM</v>
      </c>
      <c r="L2208" s="167">
        <f t="shared" ref="L2208:T2208" si="2071">L1001</f>
        <v>0</v>
      </c>
      <c r="M2208" s="36">
        <f t="shared" si="2071"/>
        <v>152250</v>
      </c>
      <c r="N2208" s="36">
        <f t="shared" si="2071"/>
        <v>152250</v>
      </c>
      <c r="O2208" s="36">
        <f t="shared" si="2071"/>
        <v>0</v>
      </c>
      <c r="P2208" s="36">
        <f t="shared" si="2071"/>
        <v>0</v>
      </c>
      <c r="Q2208" s="27">
        <f t="shared" si="2071"/>
        <v>304500</v>
      </c>
      <c r="R2208" s="198" t="str">
        <f t="shared" ref="R2208:S2208" si="2072">R1001</f>
        <v>MESU/DEP-CPE</v>
      </c>
      <c r="S2208" s="197" t="str">
        <f t="shared" si="2072"/>
        <v>GVT/BM</v>
      </c>
      <c r="T2208" s="51">
        <f t="shared" si="2071"/>
        <v>0</v>
      </c>
      <c r="W2208" s="608">
        <f t="shared" si="2021"/>
        <v>304500</v>
      </c>
      <c r="X2208" s="608">
        <f t="shared" si="2022"/>
        <v>0</v>
      </c>
      <c r="Z2208" s="572">
        <f t="shared" si="2027"/>
        <v>0</v>
      </c>
      <c r="AA2208" s="1">
        <f t="shared" si="2028"/>
        <v>0</v>
      </c>
    </row>
    <row r="2209" spans="1:27" x14ac:dyDescent="0.2">
      <c r="A2209" s="20" t="str">
        <f>A1006</f>
        <v>7.6.1.3 Édition et distribution des nouveaux programmes</v>
      </c>
      <c r="B2209" s="46"/>
      <c r="C2209" s="386">
        <f>C1006</f>
        <v>0</v>
      </c>
      <c r="D2209" s="168">
        <f t="shared" si="2012"/>
        <v>0</v>
      </c>
      <c r="E2209" s="168">
        <f t="shared" si="2013"/>
        <v>500</v>
      </c>
      <c r="F2209" s="168">
        <f t="shared" si="2014"/>
        <v>500</v>
      </c>
      <c r="G2209" s="168">
        <f t="shared" si="2015"/>
        <v>0</v>
      </c>
      <c r="H2209" s="168">
        <f t="shared" si="2016"/>
        <v>0</v>
      </c>
      <c r="I2209" s="166">
        <f t="shared" si="2017"/>
        <v>1000</v>
      </c>
      <c r="J2209" s="371" t="str">
        <f t="shared" si="2018"/>
        <v>MESU/DEP-CPE</v>
      </c>
      <c r="K2209" s="350" t="str">
        <f t="shared" si="2019"/>
        <v>BM</v>
      </c>
      <c r="L2209" s="167">
        <f t="shared" ref="L2209:T2209" si="2073">L1006</f>
        <v>0</v>
      </c>
      <c r="M2209" s="168">
        <f t="shared" si="2073"/>
        <v>500000</v>
      </c>
      <c r="N2209" s="168">
        <f t="shared" si="2073"/>
        <v>500000</v>
      </c>
      <c r="O2209" s="168">
        <f t="shared" si="2073"/>
        <v>0</v>
      </c>
      <c r="P2209" s="168">
        <f t="shared" si="2073"/>
        <v>0</v>
      </c>
      <c r="Q2209" s="165">
        <f t="shared" si="2073"/>
        <v>1000000</v>
      </c>
      <c r="R2209" s="198" t="str">
        <f t="shared" ref="R2209:S2209" si="2074">R1006</f>
        <v>MESU/DEP-CPE</v>
      </c>
      <c r="S2209" s="197" t="str">
        <f t="shared" si="2074"/>
        <v>BM</v>
      </c>
      <c r="T2209" s="51">
        <f t="shared" si="2073"/>
        <v>0</v>
      </c>
      <c r="W2209" s="608">
        <f t="shared" si="2021"/>
        <v>1000000</v>
      </c>
      <c r="X2209" s="608">
        <f t="shared" si="2022"/>
        <v>0</v>
      </c>
      <c r="Z2209" s="572">
        <f t="shared" si="2027"/>
        <v>0</v>
      </c>
      <c r="AA2209" s="1">
        <f t="shared" si="2028"/>
        <v>0</v>
      </c>
    </row>
    <row r="2210" spans="1:27" x14ac:dyDescent="0.2">
      <c r="A2210" s="20" t="str">
        <f>A1008</f>
        <v>7.6.1.4 Formation aux nouveaux programmes</v>
      </c>
      <c r="B2210" s="46"/>
      <c r="C2210" s="386">
        <f>C1008</f>
        <v>0</v>
      </c>
      <c r="D2210" s="168">
        <f t="shared" si="2012"/>
        <v>0</v>
      </c>
      <c r="E2210" s="168">
        <f t="shared" si="2013"/>
        <v>3645</v>
      </c>
      <c r="F2210" s="168">
        <f t="shared" si="2014"/>
        <v>3645</v>
      </c>
      <c r="G2210" s="168">
        <f t="shared" si="2015"/>
        <v>0</v>
      </c>
      <c r="H2210" s="168">
        <f t="shared" si="2016"/>
        <v>0</v>
      </c>
      <c r="I2210" s="166">
        <f t="shared" si="2017"/>
        <v>7290</v>
      </c>
      <c r="J2210" s="371" t="str">
        <f t="shared" si="2018"/>
        <v>MESU/DEP-CPE</v>
      </c>
      <c r="K2210" s="350" t="str">
        <f t="shared" si="2019"/>
        <v>BM</v>
      </c>
      <c r="L2210" s="167">
        <f t="shared" ref="L2210:T2210" si="2075">L1008</f>
        <v>0</v>
      </c>
      <c r="M2210" s="36">
        <f t="shared" si="2075"/>
        <v>3645000</v>
      </c>
      <c r="N2210" s="36">
        <f t="shared" si="2075"/>
        <v>3645000</v>
      </c>
      <c r="O2210" s="36">
        <f t="shared" si="2075"/>
        <v>0</v>
      </c>
      <c r="P2210" s="36">
        <f t="shared" si="2075"/>
        <v>0</v>
      </c>
      <c r="Q2210" s="27">
        <f t="shared" si="2075"/>
        <v>7290000</v>
      </c>
      <c r="R2210" s="198" t="str">
        <f t="shared" ref="R2210:S2210" si="2076">R1008</f>
        <v>MESU/DEP-CPE</v>
      </c>
      <c r="S2210" s="197" t="str">
        <f t="shared" si="2076"/>
        <v>BM</v>
      </c>
      <c r="T2210" s="51">
        <f t="shared" si="2075"/>
        <v>0</v>
      </c>
      <c r="W2210" s="608">
        <f t="shared" si="2021"/>
        <v>7290000</v>
      </c>
      <c r="X2210" s="608">
        <f t="shared" si="2022"/>
        <v>0</v>
      </c>
      <c r="Z2210" s="572">
        <f t="shared" si="2027"/>
        <v>0</v>
      </c>
      <c r="AA2210" s="1">
        <f t="shared" si="2028"/>
        <v>0</v>
      </c>
    </row>
    <row r="2211" spans="1:27" x14ac:dyDescent="0.2">
      <c r="A2211" s="17" t="str">
        <f>A1011</f>
        <v>7.6.2 Renforcement des capacités institutionnelle de la Commission permanente des études (CPE)</v>
      </c>
      <c r="B2211" s="45"/>
      <c r="C2211" s="386" t="str">
        <f>C1011</f>
        <v xml:space="preserve">En 2025, un fonds annuel de 500 000$ pour faciliter la mobilité des enseignants et des chercheurs </v>
      </c>
      <c r="D2211" s="157">
        <f t="shared" si="2012"/>
        <v>10</v>
      </c>
      <c r="E2211" s="157">
        <f t="shared" si="2013"/>
        <v>240</v>
      </c>
      <c r="F2211" s="157">
        <f t="shared" si="2014"/>
        <v>240</v>
      </c>
      <c r="G2211" s="157">
        <f t="shared" si="2015"/>
        <v>240</v>
      </c>
      <c r="H2211" s="157">
        <f t="shared" si="2016"/>
        <v>240</v>
      </c>
      <c r="I2211" s="160">
        <f t="shared" si="2017"/>
        <v>970</v>
      </c>
      <c r="J2211" s="374">
        <f t="shared" si="2018"/>
        <v>0</v>
      </c>
      <c r="K2211" s="348">
        <f t="shared" si="2019"/>
        <v>0</v>
      </c>
      <c r="L2211" s="35">
        <f t="shared" ref="L2211:S2211" si="2077">SUM(L2212:L2212)</f>
        <v>10000</v>
      </c>
      <c r="M2211" s="34">
        <f t="shared" si="2077"/>
        <v>240000</v>
      </c>
      <c r="N2211" s="34">
        <f t="shared" si="2077"/>
        <v>240000</v>
      </c>
      <c r="O2211" s="34">
        <f t="shared" si="2077"/>
        <v>240000</v>
      </c>
      <c r="P2211" s="34">
        <f t="shared" si="2077"/>
        <v>240000</v>
      </c>
      <c r="Q2211" s="26">
        <f t="shared" si="2077"/>
        <v>970000</v>
      </c>
      <c r="R2211" s="514">
        <f t="shared" si="2077"/>
        <v>0</v>
      </c>
      <c r="S2211" s="143">
        <f t="shared" si="2077"/>
        <v>0</v>
      </c>
      <c r="T2211" s="51">
        <f>T1011</f>
        <v>0</v>
      </c>
      <c r="W2211" s="608">
        <f t="shared" si="2021"/>
        <v>970000</v>
      </c>
      <c r="Y2211" s="608" t="s">
        <v>1512</v>
      </c>
      <c r="Z2211" s="572">
        <f t="shared" si="2027"/>
        <v>970</v>
      </c>
      <c r="AA2211" s="1">
        <f t="shared" si="2028"/>
        <v>0</v>
      </c>
    </row>
    <row r="2212" spans="1:27" x14ac:dyDescent="0.2">
      <c r="A2212" s="20" t="str">
        <f>A1012</f>
        <v>7.6.2.1 Mise à niveau et fonctionnement de la CPE</v>
      </c>
      <c r="B2212" s="46"/>
      <c r="C2212" s="386">
        <f>C1012</f>
        <v>0</v>
      </c>
      <c r="D2212" s="168">
        <f t="shared" si="2012"/>
        <v>10</v>
      </c>
      <c r="E2212" s="168">
        <f t="shared" si="2013"/>
        <v>240</v>
      </c>
      <c r="F2212" s="168">
        <f t="shared" si="2014"/>
        <v>240</v>
      </c>
      <c r="G2212" s="168">
        <f t="shared" si="2015"/>
        <v>240</v>
      </c>
      <c r="H2212" s="168">
        <f t="shared" si="2016"/>
        <v>240</v>
      </c>
      <c r="I2212" s="166">
        <f t="shared" si="2017"/>
        <v>970</v>
      </c>
      <c r="J2212" s="371" t="str">
        <f t="shared" si="2018"/>
        <v>MESU/CPE</v>
      </c>
      <c r="K2212" s="350" t="str">
        <f t="shared" si="2019"/>
        <v>GVT</v>
      </c>
      <c r="L2212" s="167">
        <f t="shared" ref="L2212:Q2212" si="2078">L1012</f>
        <v>10000</v>
      </c>
      <c r="M2212" s="36">
        <f t="shared" si="2078"/>
        <v>240000</v>
      </c>
      <c r="N2212" s="36">
        <f t="shared" si="2078"/>
        <v>240000</v>
      </c>
      <c r="O2212" s="36">
        <f t="shared" si="2078"/>
        <v>240000</v>
      </c>
      <c r="P2212" s="36">
        <f t="shared" si="2078"/>
        <v>240000</v>
      </c>
      <c r="Q2212" s="27">
        <f t="shared" si="2078"/>
        <v>970000</v>
      </c>
      <c r="R2212" s="198" t="str">
        <f t="shared" ref="R2212:S2212" si="2079">R1012</f>
        <v>MESU/CPE</v>
      </c>
      <c r="S2212" s="197" t="str">
        <f t="shared" si="2079"/>
        <v>GVT</v>
      </c>
      <c r="T2212" s="51">
        <f>T1012</f>
        <v>0</v>
      </c>
      <c r="W2212" s="608">
        <f t="shared" si="2021"/>
        <v>970000</v>
      </c>
      <c r="X2212" s="608">
        <f t="shared" si="2022"/>
        <v>0</v>
      </c>
      <c r="Y2212" s="572" t="s">
        <v>1512</v>
      </c>
      <c r="Z2212" s="572">
        <f t="shared" si="2027"/>
        <v>970</v>
      </c>
      <c r="AA2212" s="1">
        <f t="shared" si="2028"/>
        <v>0</v>
      </c>
    </row>
    <row r="2213" spans="1:27" x14ac:dyDescent="0.2">
      <c r="A2213" s="17" t="str">
        <f>A1015</f>
        <v>7.6.3 Promotion de la mobilité des Enseignants et Étudiants des EES</v>
      </c>
      <c r="B2213" s="45"/>
      <c r="C2213" s="386" t="str">
        <f>C1015</f>
        <v xml:space="preserve">En 2025, un fonds annuel de 500 000$ pour faciliter la mobilité des enseignants et des chercheurs </v>
      </c>
      <c r="D2213" s="157">
        <f t="shared" si="2012"/>
        <v>0</v>
      </c>
      <c r="E2213" s="157">
        <f t="shared" si="2013"/>
        <v>500</v>
      </c>
      <c r="F2213" s="157">
        <f t="shared" si="2014"/>
        <v>500</v>
      </c>
      <c r="G2213" s="157">
        <f t="shared" si="2015"/>
        <v>500</v>
      </c>
      <c r="H2213" s="157">
        <f t="shared" si="2016"/>
        <v>500</v>
      </c>
      <c r="I2213" s="160">
        <f t="shared" si="2017"/>
        <v>2000</v>
      </c>
      <c r="J2213" s="374">
        <f t="shared" si="2018"/>
        <v>0</v>
      </c>
      <c r="K2213" s="348">
        <f t="shared" si="2019"/>
        <v>0</v>
      </c>
      <c r="L2213" s="35">
        <f t="shared" ref="L2213:S2213" si="2080">SUM(L2214:L2214)</f>
        <v>0</v>
      </c>
      <c r="M2213" s="34">
        <f t="shared" si="2080"/>
        <v>500000</v>
      </c>
      <c r="N2213" s="34">
        <f t="shared" si="2080"/>
        <v>500000</v>
      </c>
      <c r="O2213" s="34">
        <f t="shared" si="2080"/>
        <v>500000</v>
      </c>
      <c r="P2213" s="34">
        <f t="shared" si="2080"/>
        <v>500000</v>
      </c>
      <c r="Q2213" s="26">
        <f t="shared" si="2080"/>
        <v>2000000</v>
      </c>
      <c r="R2213" s="19">
        <f t="shared" si="2080"/>
        <v>0</v>
      </c>
      <c r="S2213" s="18">
        <f t="shared" si="2080"/>
        <v>0</v>
      </c>
      <c r="T2213" s="51">
        <f>T1015</f>
        <v>0</v>
      </c>
      <c r="W2213" s="608">
        <f t="shared" si="2021"/>
        <v>2000000</v>
      </c>
      <c r="X2213" s="608">
        <f t="shared" si="2022"/>
        <v>0</v>
      </c>
      <c r="Z2213" s="572">
        <f t="shared" si="2027"/>
        <v>0</v>
      </c>
      <c r="AA2213" s="1">
        <f t="shared" si="2028"/>
        <v>0</v>
      </c>
    </row>
    <row r="2214" spans="1:27" x14ac:dyDescent="0.2">
      <c r="A2214" s="20" t="str">
        <f>A1016</f>
        <v>7.6.3.2 Subvention de la mobilité</v>
      </c>
      <c r="B2214" s="46"/>
      <c r="C2214" s="386">
        <f>C1016</f>
        <v>0</v>
      </c>
      <c r="D2214" s="168">
        <f t="shared" si="2012"/>
        <v>0</v>
      </c>
      <c r="E2214" s="168">
        <f t="shared" si="2013"/>
        <v>500</v>
      </c>
      <c r="F2214" s="168">
        <f t="shared" si="2014"/>
        <v>500</v>
      </c>
      <c r="G2214" s="168">
        <f t="shared" si="2015"/>
        <v>500</v>
      </c>
      <c r="H2214" s="168">
        <f t="shared" si="2016"/>
        <v>500</v>
      </c>
      <c r="I2214" s="166">
        <f t="shared" si="2017"/>
        <v>2000</v>
      </c>
      <c r="J2214" s="371" t="str">
        <f t="shared" si="2018"/>
        <v>MESU/DEP</v>
      </c>
      <c r="K2214" s="350" t="str">
        <f t="shared" si="2019"/>
        <v>GVT/BM</v>
      </c>
      <c r="L2214" s="167">
        <f t="shared" ref="L2214:Q2214" si="2081">L1016</f>
        <v>0</v>
      </c>
      <c r="M2214" s="168">
        <f t="shared" si="2081"/>
        <v>500000</v>
      </c>
      <c r="N2214" s="168">
        <f t="shared" si="2081"/>
        <v>500000</v>
      </c>
      <c r="O2214" s="168">
        <f t="shared" si="2081"/>
        <v>500000</v>
      </c>
      <c r="P2214" s="168">
        <f t="shared" si="2081"/>
        <v>500000</v>
      </c>
      <c r="Q2214" s="165">
        <f t="shared" si="2081"/>
        <v>2000000</v>
      </c>
      <c r="R2214" s="198" t="str">
        <f t="shared" ref="R2214:S2214" si="2082">R1016</f>
        <v>MESU/DEP</v>
      </c>
      <c r="S2214" s="197" t="str">
        <f t="shared" si="2082"/>
        <v>GVT/BM</v>
      </c>
      <c r="T2214" s="51">
        <f>T1016</f>
        <v>0</v>
      </c>
      <c r="W2214" s="608">
        <f t="shared" si="2021"/>
        <v>2000000</v>
      </c>
      <c r="X2214" s="608">
        <f t="shared" si="2022"/>
        <v>0</v>
      </c>
      <c r="Z2214" s="572">
        <f t="shared" si="2027"/>
        <v>0</v>
      </c>
      <c r="AA2214" s="1">
        <f t="shared" si="2028"/>
        <v>0</v>
      </c>
    </row>
    <row r="2215" spans="1:27" x14ac:dyDescent="0.2">
      <c r="A2215" s="14" t="str">
        <f>A1018</f>
        <v>7.7 Implantation des TIC : Promouvoir l'utilisation des TIC dans l'enseignement, l'apprentissage, la recherche et la gouvernance</v>
      </c>
      <c r="B2215" s="44"/>
      <c r="C2215" s="385">
        <f>C1018</f>
        <v>0</v>
      </c>
      <c r="D2215" s="217">
        <f t="shared" si="2012"/>
        <v>253</v>
      </c>
      <c r="E2215" s="217">
        <f t="shared" si="2013"/>
        <v>41795</v>
      </c>
      <c r="F2215" s="217">
        <f t="shared" si="2014"/>
        <v>40695</v>
      </c>
      <c r="G2215" s="217">
        <f t="shared" si="2015"/>
        <v>40695</v>
      </c>
      <c r="H2215" s="217">
        <f t="shared" si="2016"/>
        <v>40695</v>
      </c>
      <c r="I2215" s="220">
        <f t="shared" si="2017"/>
        <v>164133</v>
      </c>
      <c r="J2215" s="373">
        <f t="shared" si="2018"/>
        <v>0</v>
      </c>
      <c r="K2215" s="346">
        <f t="shared" si="2019"/>
        <v>0</v>
      </c>
      <c r="L2215" s="33">
        <f t="shared" ref="L2215:Q2215" si="2083">L2216+L2220</f>
        <v>253000</v>
      </c>
      <c r="M2215" s="32">
        <f t="shared" si="2083"/>
        <v>41795000</v>
      </c>
      <c r="N2215" s="32">
        <f t="shared" si="2083"/>
        <v>40695000</v>
      </c>
      <c r="O2215" s="32">
        <f t="shared" si="2083"/>
        <v>40695000</v>
      </c>
      <c r="P2215" s="32">
        <f t="shared" si="2083"/>
        <v>40695000</v>
      </c>
      <c r="Q2215" s="25">
        <f t="shared" si="2083"/>
        <v>164133000</v>
      </c>
      <c r="R2215" s="16">
        <f t="shared" ref="R2215:S2215" si="2084">R2216+R2220</f>
        <v>0</v>
      </c>
      <c r="S2215" s="15">
        <f t="shared" si="2084"/>
        <v>0</v>
      </c>
      <c r="T2215" s="112">
        <f>T1018</f>
        <v>2</v>
      </c>
      <c r="W2215" s="608">
        <f t="shared" si="2021"/>
        <v>164133000</v>
      </c>
      <c r="X2215" s="608">
        <f t="shared" si="2022"/>
        <v>0</v>
      </c>
      <c r="Z2215" s="572">
        <f t="shared" si="2027"/>
        <v>0</v>
      </c>
      <c r="AA2215" s="1">
        <f t="shared" si="2028"/>
        <v>0</v>
      </c>
    </row>
    <row r="2216" spans="1:27" x14ac:dyDescent="0.2">
      <c r="A2216" s="17" t="str">
        <f>A1019</f>
        <v>7.7.1 Renforcement de l’utilisation des TIC</v>
      </c>
      <c r="B2216" s="45"/>
      <c r="C2216" s="386">
        <f>C1019</f>
        <v>0</v>
      </c>
      <c r="D2216" s="157">
        <f t="shared" si="2012"/>
        <v>190.5</v>
      </c>
      <c r="E2216" s="157">
        <f t="shared" si="2013"/>
        <v>40295</v>
      </c>
      <c r="F2216" s="157">
        <f t="shared" si="2014"/>
        <v>40195</v>
      </c>
      <c r="G2216" s="157">
        <f t="shared" si="2015"/>
        <v>40195</v>
      </c>
      <c r="H2216" s="157">
        <f t="shared" si="2016"/>
        <v>40195</v>
      </c>
      <c r="I2216" s="160">
        <f t="shared" si="2017"/>
        <v>161070.5</v>
      </c>
      <c r="J2216" s="374">
        <f t="shared" si="2018"/>
        <v>0</v>
      </c>
      <c r="K2216" s="348">
        <f t="shared" si="2019"/>
        <v>0</v>
      </c>
      <c r="L2216" s="35">
        <f t="shared" ref="L2216:Q2216" si="2085">SUM(L2217:L2219)</f>
        <v>190500</v>
      </c>
      <c r="M2216" s="34">
        <f t="shared" si="2085"/>
        <v>40295000</v>
      </c>
      <c r="N2216" s="34">
        <f t="shared" si="2085"/>
        <v>40195000</v>
      </c>
      <c r="O2216" s="34">
        <f t="shared" si="2085"/>
        <v>40195000</v>
      </c>
      <c r="P2216" s="34">
        <f t="shared" si="2085"/>
        <v>40195000</v>
      </c>
      <c r="Q2216" s="26">
        <f t="shared" si="2085"/>
        <v>161070500</v>
      </c>
      <c r="R2216" s="19">
        <f t="shared" ref="R2216:S2216" si="2086">SUM(R2217:R2219)</f>
        <v>0</v>
      </c>
      <c r="S2216" s="18">
        <f t="shared" si="2086"/>
        <v>0</v>
      </c>
      <c r="T2216" s="51"/>
      <c r="W2216" s="608">
        <f t="shared" si="2021"/>
        <v>161070500</v>
      </c>
      <c r="X2216" s="608">
        <f t="shared" si="2022"/>
        <v>0</v>
      </c>
      <c r="Z2216" s="572">
        <f t="shared" si="2027"/>
        <v>0</v>
      </c>
      <c r="AA2216" s="1">
        <f t="shared" si="2028"/>
        <v>0</v>
      </c>
    </row>
    <row r="2217" spans="1:27" x14ac:dyDescent="0.2">
      <c r="A2217" s="20" t="str">
        <f>A1020</f>
        <v>7.7.1.1 Définition du Plan numérique des universités</v>
      </c>
      <c r="B2217" s="46"/>
      <c r="C2217" s="386">
        <f>C1020</f>
        <v>0</v>
      </c>
      <c r="D2217" s="168">
        <f t="shared" si="2012"/>
        <v>167.5</v>
      </c>
      <c r="E2217" s="168">
        <f t="shared" si="2013"/>
        <v>0</v>
      </c>
      <c r="F2217" s="168">
        <f t="shared" si="2014"/>
        <v>0</v>
      </c>
      <c r="G2217" s="168">
        <f t="shared" si="2015"/>
        <v>0</v>
      </c>
      <c r="H2217" s="168">
        <f t="shared" si="2016"/>
        <v>0</v>
      </c>
      <c r="I2217" s="166">
        <f t="shared" si="2017"/>
        <v>167.5</v>
      </c>
      <c r="J2217" s="371" t="str">
        <f t="shared" si="2018"/>
        <v>MESU/DEP-DI</v>
      </c>
      <c r="K2217" s="350" t="str">
        <f t="shared" si="2019"/>
        <v>GVT/BM</v>
      </c>
      <c r="L2217" s="167">
        <f t="shared" ref="L2217:Q2217" si="2087">L1020</f>
        <v>167500</v>
      </c>
      <c r="M2217" s="36">
        <f t="shared" si="2087"/>
        <v>0</v>
      </c>
      <c r="N2217" s="36">
        <f t="shared" si="2087"/>
        <v>0</v>
      </c>
      <c r="O2217" s="36">
        <f t="shared" si="2087"/>
        <v>0</v>
      </c>
      <c r="P2217" s="36">
        <f t="shared" si="2087"/>
        <v>0</v>
      </c>
      <c r="Q2217" s="27">
        <f t="shared" si="2087"/>
        <v>167500</v>
      </c>
      <c r="R2217" s="198" t="str">
        <f t="shared" ref="R2217:S2217" si="2088">R1020</f>
        <v>MESU/DEP-DI</v>
      </c>
      <c r="S2217" s="197" t="str">
        <f t="shared" si="2088"/>
        <v>GVT/BM</v>
      </c>
      <c r="T2217" s="51"/>
      <c r="W2217" s="608">
        <f t="shared" si="2021"/>
        <v>167500</v>
      </c>
      <c r="X2217" s="608">
        <f t="shared" si="2022"/>
        <v>0</v>
      </c>
      <c r="Z2217" s="572">
        <f t="shared" si="2027"/>
        <v>0</v>
      </c>
      <c r="AA2217" s="1">
        <f t="shared" si="2028"/>
        <v>0</v>
      </c>
    </row>
    <row r="2218" spans="1:27" x14ac:dyDescent="0.2">
      <c r="A2218" s="20" t="str">
        <f>A1024</f>
        <v>7.7.1.2 Mise en place du Plan numérique</v>
      </c>
      <c r="B2218" s="46"/>
      <c r="C2218" s="386">
        <f>C1024</f>
        <v>0</v>
      </c>
      <c r="D2218" s="168">
        <f t="shared" si="2012"/>
        <v>0</v>
      </c>
      <c r="E2218" s="168">
        <f t="shared" si="2013"/>
        <v>40075</v>
      </c>
      <c r="F2218" s="168">
        <f t="shared" si="2014"/>
        <v>40075</v>
      </c>
      <c r="G2218" s="168">
        <f t="shared" si="2015"/>
        <v>40075</v>
      </c>
      <c r="H2218" s="168">
        <f t="shared" si="2016"/>
        <v>40075</v>
      </c>
      <c r="I2218" s="166">
        <f t="shared" si="2017"/>
        <v>160300</v>
      </c>
      <c r="J2218" s="371" t="str">
        <f t="shared" si="2018"/>
        <v>MESU/DEP-DI</v>
      </c>
      <c r="K2218" s="350" t="str">
        <f t="shared" si="2019"/>
        <v>GVT/BM</v>
      </c>
      <c r="L2218" s="167">
        <f t="shared" ref="L2218:Q2218" si="2089">L1024</f>
        <v>0</v>
      </c>
      <c r="M2218" s="36">
        <f t="shared" si="2089"/>
        <v>40075000</v>
      </c>
      <c r="N2218" s="36">
        <f t="shared" si="2089"/>
        <v>40075000</v>
      </c>
      <c r="O2218" s="36">
        <f t="shared" si="2089"/>
        <v>40075000</v>
      </c>
      <c r="P2218" s="36">
        <f t="shared" si="2089"/>
        <v>40075000</v>
      </c>
      <c r="Q2218" s="27">
        <f t="shared" si="2089"/>
        <v>160300000</v>
      </c>
      <c r="R2218" s="198" t="str">
        <f t="shared" ref="R2218:S2218" si="2090">R1024</f>
        <v>MESU/DEP-DI</v>
      </c>
      <c r="S2218" s="197" t="str">
        <f t="shared" si="2090"/>
        <v>GVT/BM</v>
      </c>
      <c r="T2218" s="51"/>
      <c r="W2218" s="608">
        <f t="shared" si="2021"/>
        <v>160300000</v>
      </c>
      <c r="X2218" s="608">
        <f t="shared" si="2022"/>
        <v>0</v>
      </c>
      <c r="Z2218" s="572">
        <f t="shared" si="2027"/>
        <v>0</v>
      </c>
      <c r="AA2218" s="1">
        <f t="shared" si="2028"/>
        <v>0</v>
      </c>
    </row>
    <row r="2219" spans="1:27" x14ac:dyDescent="0.2">
      <c r="A2219" s="20" t="str">
        <f>A1027</f>
        <v>7.7.1.3 Mise en place d'un centre universitaire informatique</v>
      </c>
      <c r="B2219" s="46"/>
      <c r="C2219" s="386">
        <f>C1027</f>
        <v>0</v>
      </c>
      <c r="D2219" s="168">
        <f t="shared" si="2012"/>
        <v>23</v>
      </c>
      <c r="E2219" s="168">
        <f t="shared" si="2013"/>
        <v>220</v>
      </c>
      <c r="F2219" s="168">
        <f t="shared" si="2014"/>
        <v>120</v>
      </c>
      <c r="G2219" s="168">
        <f t="shared" si="2015"/>
        <v>120</v>
      </c>
      <c r="H2219" s="168">
        <f t="shared" si="2016"/>
        <v>120</v>
      </c>
      <c r="I2219" s="166">
        <f t="shared" si="2017"/>
        <v>603</v>
      </c>
      <c r="J2219" s="371" t="str">
        <f t="shared" si="2018"/>
        <v>MESU/DEP-DI</v>
      </c>
      <c r="K2219" s="350" t="str">
        <f t="shared" si="2019"/>
        <v>GVT/BM</v>
      </c>
      <c r="L2219" s="167">
        <f t="shared" ref="L2219:Q2219" si="2091">L1027</f>
        <v>23000</v>
      </c>
      <c r="M2219" s="36">
        <f t="shared" si="2091"/>
        <v>220000</v>
      </c>
      <c r="N2219" s="36">
        <f t="shared" si="2091"/>
        <v>120000</v>
      </c>
      <c r="O2219" s="36">
        <f t="shared" si="2091"/>
        <v>120000</v>
      </c>
      <c r="P2219" s="36">
        <f t="shared" si="2091"/>
        <v>120000</v>
      </c>
      <c r="Q2219" s="27">
        <f t="shared" si="2091"/>
        <v>603000</v>
      </c>
      <c r="R2219" s="198" t="str">
        <f t="shared" ref="R2219:S2219" si="2092">R1027</f>
        <v>MESU/DEP-DI</v>
      </c>
      <c r="S2219" s="197" t="str">
        <f t="shared" si="2092"/>
        <v>GVT/BM</v>
      </c>
      <c r="T2219" s="51"/>
      <c r="W2219" s="608">
        <f t="shared" si="2021"/>
        <v>603000</v>
      </c>
      <c r="X2219" s="608">
        <f t="shared" si="2022"/>
        <v>0</v>
      </c>
      <c r="Z2219" s="572">
        <f t="shared" si="2027"/>
        <v>0</v>
      </c>
      <c r="AA2219" s="1">
        <f t="shared" si="2028"/>
        <v>0</v>
      </c>
    </row>
    <row r="2220" spans="1:27" x14ac:dyDescent="0.2">
      <c r="A2220" s="17" t="str">
        <f>A1031</f>
        <v>7.7.2 Développement d'une bibliothèque virtuelle nationale</v>
      </c>
      <c r="B2220" s="45"/>
      <c r="C2220" s="386">
        <f>C1031</f>
        <v>0</v>
      </c>
      <c r="D2220" s="157">
        <f t="shared" si="2012"/>
        <v>62.5</v>
      </c>
      <c r="E2220" s="157">
        <f t="shared" si="2013"/>
        <v>1500</v>
      </c>
      <c r="F2220" s="157">
        <f t="shared" si="2014"/>
        <v>500</v>
      </c>
      <c r="G2220" s="157">
        <f t="shared" si="2015"/>
        <v>500</v>
      </c>
      <c r="H2220" s="157">
        <f t="shared" si="2016"/>
        <v>500</v>
      </c>
      <c r="I2220" s="160">
        <f t="shared" si="2017"/>
        <v>3062.5</v>
      </c>
      <c r="J2220" s="374">
        <f t="shared" si="2018"/>
        <v>0</v>
      </c>
      <c r="K2220" s="348">
        <f t="shared" si="2019"/>
        <v>0</v>
      </c>
      <c r="L2220" s="35">
        <f t="shared" ref="L2220:Q2220" si="2093">SUM(L2221:L2222)</f>
        <v>62500</v>
      </c>
      <c r="M2220" s="34">
        <f t="shared" si="2093"/>
        <v>1500000</v>
      </c>
      <c r="N2220" s="34">
        <f t="shared" si="2093"/>
        <v>500000</v>
      </c>
      <c r="O2220" s="34">
        <f t="shared" si="2093"/>
        <v>500000</v>
      </c>
      <c r="P2220" s="34">
        <f t="shared" si="2093"/>
        <v>500000</v>
      </c>
      <c r="Q2220" s="26">
        <f t="shared" si="2093"/>
        <v>3062500</v>
      </c>
      <c r="R2220" s="19">
        <f t="shared" ref="R2220:S2220" si="2094">SUM(R2221:R2222)</f>
        <v>0</v>
      </c>
      <c r="S2220" s="18">
        <f t="shared" si="2094"/>
        <v>0</v>
      </c>
      <c r="T2220" s="51"/>
      <c r="W2220" s="608">
        <f t="shared" si="2021"/>
        <v>3062500</v>
      </c>
      <c r="X2220" s="608">
        <f t="shared" si="2022"/>
        <v>0</v>
      </c>
      <c r="Z2220" s="572">
        <f t="shared" si="2027"/>
        <v>0</v>
      </c>
      <c r="AA2220" s="1">
        <f t="shared" si="2028"/>
        <v>0</v>
      </c>
    </row>
    <row r="2221" spans="1:27" x14ac:dyDescent="0.2">
      <c r="A2221" s="20" t="str">
        <f>A1032</f>
        <v>7.7.2.1 Définir l'architecture de la BVN</v>
      </c>
      <c r="B2221" s="46"/>
      <c r="C2221" s="386">
        <f>C1032</f>
        <v>0</v>
      </c>
      <c r="D2221" s="168">
        <f t="shared" si="2012"/>
        <v>62.5</v>
      </c>
      <c r="E2221" s="168">
        <f t="shared" si="2013"/>
        <v>0</v>
      </c>
      <c r="F2221" s="168">
        <f t="shared" si="2014"/>
        <v>0</v>
      </c>
      <c r="G2221" s="168">
        <f t="shared" si="2015"/>
        <v>0</v>
      </c>
      <c r="H2221" s="168">
        <f t="shared" si="2016"/>
        <v>0</v>
      </c>
      <c r="I2221" s="166">
        <f t="shared" si="2017"/>
        <v>62.5</v>
      </c>
      <c r="J2221" s="371" t="str">
        <f t="shared" si="2018"/>
        <v>MESU/DEP-DI</v>
      </c>
      <c r="K2221" s="350" t="str">
        <f t="shared" si="2019"/>
        <v>GVT/BM</v>
      </c>
      <c r="L2221" s="167">
        <f t="shared" ref="L2221:Q2221" si="2095">L1032</f>
        <v>62500</v>
      </c>
      <c r="M2221" s="168">
        <f t="shared" si="2095"/>
        <v>0</v>
      </c>
      <c r="N2221" s="168">
        <f t="shared" si="2095"/>
        <v>0</v>
      </c>
      <c r="O2221" s="168">
        <f t="shared" si="2095"/>
        <v>0</v>
      </c>
      <c r="P2221" s="168">
        <f t="shared" si="2095"/>
        <v>0</v>
      </c>
      <c r="Q2221" s="165">
        <f t="shared" si="2095"/>
        <v>62500</v>
      </c>
      <c r="R2221" s="198" t="str">
        <f t="shared" ref="R2221:S2221" si="2096">R1032</f>
        <v>MESU/DEP-DI</v>
      </c>
      <c r="S2221" s="197" t="str">
        <f t="shared" si="2096"/>
        <v>GVT/BM</v>
      </c>
      <c r="T2221" s="51">
        <f>T1032</f>
        <v>0</v>
      </c>
      <c r="W2221" s="608">
        <f t="shared" si="2021"/>
        <v>62500</v>
      </c>
      <c r="X2221" s="608">
        <f t="shared" si="2022"/>
        <v>0</v>
      </c>
      <c r="Z2221" s="572">
        <f t="shared" si="2027"/>
        <v>0</v>
      </c>
      <c r="AA2221" s="1">
        <f t="shared" si="2028"/>
        <v>0</v>
      </c>
    </row>
    <row r="2222" spans="1:27" x14ac:dyDescent="0.2">
      <c r="A2222" s="20" t="str">
        <f>A1035</f>
        <v>7.7.2.2 Mise en place et fonctionnement de la BVN</v>
      </c>
      <c r="B2222" s="46"/>
      <c r="C2222" s="386">
        <f>C1035</f>
        <v>0</v>
      </c>
      <c r="D2222" s="168">
        <f t="shared" si="2012"/>
        <v>0</v>
      </c>
      <c r="E2222" s="168">
        <f t="shared" si="2013"/>
        <v>1500</v>
      </c>
      <c r="F2222" s="168">
        <f t="shared" si="2014"/>
        <v>500</v>
      </c>
      <c r="G2222" s="168">
        <f t="shared" si="2015"/>
        <v>500</v>
      </c>
      <c r="H2222" s="168">
        <f t="shared" si="2016"/>
        <v>500</v>
      </c>
      <c r="I2222" s="166">
        <f t="shared" si="2017"/>
        <v>3000</v>
      </c>
      <c r="J2222" s="371" t="str">
        <f t="shared" si="2018"/>
        <v>MESU/DEP-DI</v>
      </c>
      <c r="K2222" s="350" t="str">
        <f t="shared" si="2019"/>
        <v>GVT/BM</v>
      </c>
      <c r="L2222" s="167">
        <f t="shared" ref="L2222:T2222" si="2097">L1035</f>
        <v>0</v>
      </c>
      <c r="M2222" s="168">
        <f t="shared" si="2097"/>
        <v>1500000</v>
      </c>
      <c r="N2222" s="168">
        <f t="shared" si="2097"/>
        <v>500000</v>
      </c>
      <c r="O2222" s="168">
        <f t="shared" si="2097"/>
        <v>500000</v>
      </c>
      <c r="P2222" s="168">
        <f t="shared" si="2097"/>
        <v>500000</v>
      </c>
      <c r="Q2222" s="165">
        <f t="shared" si="2097"/>
        <v>3000000</v>
      </c>
      <c r="R2222" s="198" t="str">
        <f t="shared" ref="R2222:S2222" si="2098">R1035</f>
        <v>MESU/DEP-DI</v>
      </c>
      <c r="S2222" s="197" t="str">
        <f t="shared" si="2098"/>
        <v>GVT/BM</v>
      </c>
      <c r="T2222" s="51">
        <f t="shared" si="2097"/>
        <v>0</v>
      </c>
      <c r="W2222" s="608">
        <f t="shared" si="2021"/>
        <v>3000000</v>
      </c>
      <c r="X2222" s="608">
        <f t="shared" si="2022"/>
        <v>0</v>
      </c>
      <c r="Z2222" s="572">
        <f t="shared" si="2027"/>
        <v>0</v>
      </c>
      <c r="AA2222" s="1">
        <f t="shared" si="2028"/>
        <v>0</v>
      </c>
    </row>
    <row r="2223" spans="1:27" x14ac:dyDescent="0.2">
      <c r="A2223" s="14" t="str">
        <f>A1038</f>
        <v>7.8 Désenclavement numérique des EES : Promouvoir l'utilisation des TIC dans l'enseignement, l'apprentissage, la recherche et la gouvernance de l'enseignement supérieur</v>
      </c>
      <c r="B2223" s="44"/>
      <c r="C2223" s="385">
        <f>C1038</f>
        <v>0</v>
      </c>
      <c r="D2223" s="217">
        <f t="shared" si="2012"/>
        <v>5169</v>
      </c>
      <c r="E2223" s="217">
        <f t="shared" si="2013"/>
        <v>5844</v>
      </c>
      <c r="F2223" s="217">
        <f t="shared" si="2014"/>
        <v>8066</v>
      </c>
      <c r="G2223" s="217">
        <f t="shared" si="2015"/>
        <v>8000</v>
      </c>
      <c r="H2223" s="217">
        <f t="shared" si="2016"/>
        <v>5500</v>
      </c>
      <c r="I2223" s="220">
        <f t="shared" si="2017"/>
        <v>32579</v>
      </c>
      <c r="J2223" s="373">
        <f t="shared" si="2018"/>
        <v>0</v>
      </c>
      <c r="K2223" s="346">
        <f t="shared" si="2019"/>
        <v>0</v>
      </c>
      <c r="L2223" s="33">
        <f t="shared" ref="L2223:Q2223" si="2099">L2224+L2227</f>
        <v>5169000</v>
      </c>
      <c r="M2223" s="32">
        <f t="shared" si="2099"/>
        <v>5844000</v>
      </c>
      <c r="N2223" s="32">
        <f t="shared" si="2099"/>
        <v>8066000</v>
      </c>
      <c r="O2223" s="32">
        <f t="shared" si="2099"/>
        <v>8000000</v>
      </c>
      <c r="P2223" s="32">
        <f t="shared" si="2099"/>
        <v>5500000</v>
      </c>
      <c r="Q2223" s="25">
        <f t="shared" si="2099"/>
        <v>32579000</v>
      </c>
      <c r="R2223" s="16">
        <f t="shared" ref="R2223:S2223" si="2100">R2224+R2227</f>
        <v>0</v>
      </c>
      <c r="S2223" s="15">
        <f t="shared" si="2100"/>
        <v>0</v>
      </c>
      <c r="T2223" s="112">
        <f>T1038</f>
        <v>2</v>
      </c>
      <c r="W2223" s="608">
        <f t="shared" si="2021"/>
        <v>32579000</v>
      </c>
      <c r="X2223" s="608">
        <f t="shared" si="2022"/>
        <v>0</v>
      </c>
      <c r="Z2223" s="572">
        <f t="shared" si="2027"/>
        <v>0</v>
      </c>
      <c r="AA2223" s="1">
        <f t="shared" si="2028"/>
        <v>0</v>
      </c>
    </row>
    <row r="2224" spans="1:27" x14ac:dyDescent="0.2">
      <c r="A2224" s="17" t="str">
        <f>A1039</f>
        <v xml:space="preserve">7.8.1 Interconnectivité des EES </v>
      </c>
      <c r="B2224" s="45"/>
      <c r="C2224" s="386">
        <f>C1039</f>
        <v>0</v>
      </c>
      <c r="D2224" s="157">
        <f t="shared" si="2012"/>
        <v>62.5</v>
      </c>
      <c r="E2224" s="157">
        <f t="shared" si="2013"/>
        <v>800</v>
      </c>
      <c r="F2224" s="157">
        <f t="shared" si="2014"/>
        <v>2500</v>
      </c>
      <c r="G2224" s="157">
        <f t="shared" si="2015"/>
        <v>2500</v>
      </c>
      <c r="H2224" s="157">
        <f t="shared" si="2016"/>
        <v>5000</v>
      </c>
      <c r="I2224" s="160">
        <f t="shared" si="2017"/>
        <v>10862.5</v>
      </c>
      <c r="J2224" s="374">
        <f t="shared" si="2018"/>
        <v>0</v>
      </c>
      <c r="K2224" s="348">
        <f t="shared" si="2019"/>
        <v>0</v>
      </c>
      <c r="L2224" s="35">
        <f t="shared" ref="L2224:Q2224" si="2101">SUM(L2225:L2226)</f>
        <v>62500</v>
      </c>
      <c r="M2224" s="34">
        <f t="shared" si="2101"/>
        <v>800000</v>
      </c>
      <c r="N2224" s="34">
        <f t="shared" si="2101"/>
        <v>2500000</v>
      </c>
      <c r="O2224" s="34">
        <f t="shared" si="2101"/>
        <v>2500000</v>
      </c>
      <c r="P2224" s="34">
        <f t="shared" si="2101"/>
        <v>5000000</v>
      </c>
      <c r="Q2224" s="26">
        <f t="shared" si="2101"/>
        <v>10862500</v>
      </c>
      <c r="R2224" s="19">
        <f t="shared" ref="R2224:S2224" si="2102">SUM(R2225:R2226)</f>
        <v>0</v>
      </c>
      <c r="S2224" s="18">
        <f t="shared" si="2102"/>
        <v>0</v>
      </c>
      <c r="T2224" s="51">
        <f>T1039</f>
        <v>0</v>
      </c>
      <c r="W2224" s="608">
        <f t="shared" si="2021"/>
        <v>10862500</v>
      </c>
      <c r="X2224" s="608">
        <f t="shared" si="2022"/>
        <v>0</v>
      </c>
      <c r="Z2224" s="572">
        <f t="shared" si="2027"/>
        <v>0</v>
      </c>
      <c r="AA2224" s="1">
        <f t="shared" si="2028"/>
        <v>0</v>
      </c>
    </row>
    <row r="2225" spans="1:27" x14ac:dyDescent="0.2">
      <c r="A2225" s="20" t="str">
        <f>A1040</f>
        <v>7.8.1.1 Définition du réseau numérique</v>
      </c>
      <c r="B2225" s="46"/>
      <c r="C2225" s="386">
        <f>C1040</f>
        <v>0</v>
      </c>
      <c r="D2225" s="168">
        <f t="shared" si="2012"/>
        <v>62.5</v>
      </c>
      <c r="E2225" s="168">
        <f t="shared" si="2013"/>
        <v>0</v>
      </c>
      <c r="F2225" s="168">
        <f t="shared" si="2014"/>
        <v>0</v>
      </c>
      <c r="G2225" s="168">
        <f t="shared" si="2015"/>
        <v>0</v>
      </c>
      <c r="H2225" s="168">
        <f t="shared" si="2016"/>
        <v>0</v>
      </c>
      <c r="I2225" s="166">
        <f t="shared" si="2017"/>
        <v>62.5</v>
      </c>
      <c r="J2225" s="371" t="str">
        <f t="shared" si="2018"/>
        <v>MESU/DEP-DI</v>
      </c>
      <c r="K2225" s="350" t="str">
        <f t="shared" si="2019"/>
        <v>GVT/BM</v>
      </c>
      <c r="L2225" s="167">
        <f t="shared" ref="L2225:Q2225" si="2103">L1040</f>
        <v>62500</v>
      </c>
      <c r="M2225" s="168">
        <f t="shared" si="2103"/>
        <v>0</v>
      </c>
      <c r="N2225" s="168">
        <f t="shared" si="2103"/>
        <v>0</v>
      </c>
      <c r="O2225" s="168">
        <f t="shared" si="2103"/>
        <v>0</v>
      </c>
      <c r="P2225" s="168">
        <f t="shared" si="2103"/>
        <v>0</v>
      </c>
      <c r="Q2225" s="165">
        <f t="shared" si="2103"/>
        <v>62500</v>
      </c>
      <c r="R2225" s="198" t="str">
        <f t="shared" ref="R2225:S2225" si="2104">R1040</f>
        <v>MESU/DEP-DI</v>
      </c>
      <c r="S2225" s="197" t="str">
        <f t="shared" si="2104"/>
        <v>GVT/BM</v>
      </c>
      <c r="T2225" s="51">
        <f>T1040</f>
        <v>0</v>
      </c>
      <c r="W2225" s="608">
        <f t="shared" si="2021"/>
        <v>62500</v>
      </c>
      <c r="X2225" s="608">
        <f t="shared" si="2022"/>
        <v>0</v>
      </c>
      <c r="Z2225" s="572">
        <f t="shared" si="2027"/>
        <v>0</v>
      </c>
      <c r="AA2225" s="1">
        <f t="shared" si="2028"/>
        <v>0</v>
      </c>
    </row>
    <row r="2226" spans="1:27" x14ac:dyDescent="0.2">
      <c r="A2226" s="20" t="str">
        <f>A1043</f>
        <v>7.8.1.2 Mise en place et fonctionnement du réseau numérique des EES</v>
      </c>
      <c r="B2226" s="46"/>
      <c r="C2226" s="386">
        <f>C1043</f>
        <v>0</v>
      </c>
      <c r="D2226" s="168">
        <f t="shared" si="2012"/>
        <v>0</v>
      </c>
      <c r="E2226" s="168">
        <f t="shared" si="2013"/>
        <v>800</v>
      </c>
      <c r="F2226" s="168">
        <f t="shared" si="2014"/>
        <v>2500</v>
      </c>
      <c r="G2226" s="168">
        <f t="shared" si="2015"/>
        <v>2500</v>
      </c>
      <c r="H2226" s="168">
        <f t="shared" si="2016"/>
        <v>5000</v>
      </c>
      <c r="I2226" s="166">
        <f t="shared" si="2017"/>
        <v>10800</v>
      </c>
      <c r="J2226" s="371" t="str">
        <f t="shared" si="2018"/>
        <v>MESU/DEP-DI</v>
      </c>
      <c r="K2226" s="350" t="str">
        <f t="shared" si="2019"/>
        <v>GVT/BM</v>
      </c>
      <c r="L2226" s="167">
        <f t="shared" ref="L2226:T2226" si="2105">L1043</f>
        <v>0</v>
      </c>
      <c r="M2226" s="168">
        <f t="shared" si="2105"/>
        <v>800000</v>
      </c>
      <c r="N2226" s="168">
        <f t="shared" si="2105"/>
        <v>2500000</v>
      </c>
      <c r="O2226" s="168">
        <f t="shared" si="2105"/>
        <v>2500000</v>
      </c>
      <c r="P2226" s="168">
        <f t="shared" si="2105"/>
        <v>5000000</v>
      </c>
      <c r="Q2226" s="165">
        <f t="shared" si="2105"/>
        <v>10800000</v>
      </c>
      <c r="R2226" s="198" t="str">
        <f t="shared" ref="R2226:S2226" si="2106">R1043</f>
        <v>MESU/DEP-DI</v>
      </c>
      <c r="S2226" s="197" t="str">
        <f t="shared" si="2106"/>
        <v>GVT/BM</v>
      </c>
      <c r="T2226" s="51">
        <f t="shared" si="2105"/>
        <v>0</v>
      </c>
      <c r="W2226" s="608">
        <f t="shared" si="2021"/>
        <v>10800000</v>
      </c>
      <c r="X2226" s="608">
        <f t="shared" si="2022"/>
        <v>0</v>
      </c>
      <c r="Z2226" s="572">
        <f t="shared" si="2027"/>
        <v>0</v>
      </c>
      <c r="AA2226" s="1">
        <f t="shared" si="2028"/>
        <v>0</v>
      </c>
    </row>
    <row r="2227" spans="1:27" x14ac:dyDescent="0.2">
      <c r="A2227" s="17" t="str">
        <f>A1046</f>
        <v>7.8.2 Développement de la formation ouverte, à distance et e-learning</v>
      </c>
      <c r="B2227" s="45"/>
      <c r="C2227" s="386">
        <f>C1046</f>
        <v>0</v>
      </c>
      <c r="D2227" s="157">
        <f t="shared" si="2012"/>
        <v>5106.5</v>
      </c>
      <c r="E2227" s="157">
        <f t="shared" si="2013"/>
        <v>5044</v>
      </c>
      <c r="F2227" s="157">
        <f t="shared" si="2014"/>
        <v>5566</v>
      </c>
      <c r="G2227" s="157">
        <f t="shared" si="2015"/>
        <v>5500</v>
      </c>
      <c r="H2227" s="157">
        <f t="shared" si="2016"/>
        <v>500</v>
      </c>
      <c r="I2227" s="160">
        <f t="shared" si="2017"/>
        <v>21716.5</v>
      </c>
      <c r="J2227" s="374">
        <f t="shared" si="2018"/>
        <v>0</v>
      </c>
      <c r="K2227" s="348">
        <f t="shared" si="2019"/>
        <v>0</v>
      </c>
      <c r="L2227" s="35">
        <f t="shared" ref="L2227:Q2227" si="2107">SUM(L2228:L2231)</f>
        <v>5106500</v>
      </c>
      <c r="M2227" s="34">
        <f t="shared" si="2107"/>
        <v>5044000</v>
      </c>
      <c r="N2227" s="34">
        <f t="shared" si="2107"/>
        <v>5566000</v>
      </c>
      <c r="O2227" s="34">
        <f t="shared" si="2107"/>
        <v>5500000</v>
      </c>
      <c r="P2227" s="34">
        <f t="shared" si="2107"/>
        <v>500000</v>
      </c>
      <c r="Q2227" s="26">
        <f t="shared" si="2107"/>
        <v>21716500</v>
      </c>
      <c r="R2227" s="19">
        <f t="shared" ref="R2227:S2227" si="2108">SUM(R2228:R2231)</f>
        <v>0</v>
      </c>
      <c r="S2227" s="18">
        <f t="shared" si="2108"/>
        <v>0</v>
      </c>
      <c r="T2227" s="51">
        <f>T1046</f>
        <v>0</v>
      </c>
      <c r="W2227" s="608">
        <f t="shared" si="2021"/>
        <v>21716500</v>
      </c>
      <c r="X2227" s="608">
        <f t="shared" si="2022"/>
        <v>0</v>
      </c>
      <c r="Z2227" s="572">
        <f t="shared" si="2027"/>
        <v>0</v>
      </c>
      <c r="AA2227" s="1">
        <f t="shared" si="2028"/>
        <v>0</v>
      </c>
    </row>
    <row r="2228" spans="1:27" x14ac:dyDescent="0.2">
      <c r="A2228" s="20" t="str">
        <f>A1047</f>
        <v>7.8.2.1 Définition du concept et du mécanisme de fonctionnement</v>
      </c>
      <c r="B2228" s="46"/>
      <c r="C2228" s="386">
        <f>C1047</f>
        <v>0</v>
      </c>
      <c r="D2228" s="168">
        <f t="shared" si="2012"/>
        <v>62.5</v>
      </c>
      <c r="E2228" s="168">
        <f t="shared" si="2013"/>
        <v>0</v>
      </c>
      <c r="F2228" s="168">
        <f t="shared" si="2014"/>
        <v>0</v>
      </c>
      <c r="G2228" s="168">
        <f t="shared" si="2015"/>
        <v>0</v>
      </c>
      <c r="H2228" s="168">
        <f t="shared" si="2016"/>
        <v>0</v>
      </c>
      <c r="I2228" s="166">
        <f t="shared" si="2017"/>
        <v>62.5</v>
      </c>
      <c r="J2228" s="371" t="str">
        <f t="shared" si="2018"/>
        <v>MESU/DEOD</v>
      </c>
      <c r="K2228" s="350" t="str">
        <f t="shared" si="2019"/>
        <v>GVT/BM</v>
      </c>
      <c r="L2228" s="167">
        <f t="shared" ref="L2228:Q2228" si="2109">L1047</f>
        <v>62500</v>
      </c>
      <c r="M2228" s="168">
        <f t="shared" si="2109"/>
        <v>0</v>
      </c>
      <c r="N2228" s="168">
        <f t="shared" si="2109"/>
        <v>0</v>
      </c>
      <c r="O2228" s="168">
        <f t="shared" si="2109"/>
        <v>0</v>
      </c>
      <c r="P2228" s="168">
        <f t="shared" si="2109"/>
        <v>0</v>
      </c>
      <c r="Q2228" s="165">
        <f t="shared" si="2109"/>
        <v>62500</v>
      </c>
      <c r="R2228" s="198" t="str">
        <f t="shared" ref="R2228:S2228" si="2110">R1047</f>
        <v>MESU/DEOD</v>
      </c>
      <c r="S2228" s="197" t="str">
        <f t="shared" si="2110"/>
        <v>GVT/BM</v>
      </c>
      <c r="T2228" s="51">
        <f>T1047</f>
        <v>0</v>
      </c>
      <c r="W2228" s="608">
        <f t="shared" si="2021"/>
        <v>62500</v>
      </c>
      <c r="X2228" s="608">
        <f t="shared" si="2022"/>
        <v>0</v>
      </c>
      <c r="Z2228" s="572">
        <f t="shared" si="2027"/>
        <v>0</v>
      </c>
      <c r="AA2228" s="1">
        <f t="shared" si="2028"/>
        <v>0</v>
      </c>
    </row>
    <row r="2229" spans="1:27" x14ac:dyDescent="0.2">
      <c r="A2229" s="20" t="str">
        <f>A1050</f>
        <v>7.8.2.2 Développement de la formation à distance</v>
      </c>
      <c r="B2229" s="46"/>
      <c r="C2229" s="386">
        <f>C1050</f>
        <v>0</v>
      </c>
      <c r="D2229" s="168">
        <f t="shared" si="2012"/>
        <v>0</v>
      </c>
      <c r="E2229" s="168">
        <f t="shared" si="2013"/>
        <v>0</v>
      </c>
      <c r="F2229" s="168">
        <f t="shared" si="2014"/>
        <v>500</v>
      </c>
      <c r="G2229" s="168">
        <f t="shared" si="2015"/>
        <v>500</v>
      </c>
      <c r="H2229" s="168">
        <f t="shared" si="2016"/>
        <v>500</v>
      </c>
      <c r="I2229" s="166">
        <f t="shared" si="2017"/>
        <v>1500</v>
      </c>
      <c r="J2229" s="371" t="str">
        <f t="shared" si="2018"/>
        <v>MESU/DEOD</v>
      </c>
      <c r="K2229" s="350" t="str">
        <f t="shared" si="2019"/>
        <v>GVT/BM</v>
      </c>
      <c r="L2229" s="167">
        <f t="shared" ref="L2229:T2229" si="2111">L1050</f>
        <v>0</v>
      </c>
      <c r="M2229" s="168">
        <f t="shared" si="2111"/>
        <v>0</v>
      </c>
      <c r="N2229" s="168">
        <f t="shared" si="2111"/>
        <v>500000</v>
      </c>
      <c r="O2229" s="168">
        <f t="shared" si="2111"/>
        <v>500000</v>
      </c>
      <c r="P2229" s="168">
        <f t="shared" si="2111"/>
        <v>500000</v>
      </c>
      <c r="Q2229" s="165">
        <f t="shared" si="2111"/>
        <v>1500000</v>
      </c>
      <c r="R2229" s="198" t="str">
        <f t="shared" ref="R2229:S2229" si="2112">R1050</f>
        <v>MESU/DEOD</v>
      </c>
      <c r="S2229" s="197" t="str">
        <f t="shared" si="2112"/>
        <v>GVT/BM</v>
      </c>
      <c r="T2229" s="51">
        <f t="shared" si="2111"/>
        <v>0</v>
      </c>
      <c r="W2229" s="608">
        <f t="shared" si="2021"/>
        <v>1500000</v>
      </c>
      <c r="X2229" s="608">
        <f t="shared" si="2022"/>
        <v>0</v>
      </c>
      <c r="Z2229" s="572">
        <f t="shared" si="2027"/>
        <v>0</v>
      </c>
      <c r="AA2229" s="1">
        <f t="shared" si="2028"/>
        <v>0</v>
      </c>
    </row>
    <row r="2230" spans="1:27" x14ac:dyDescent="0.2">
      <c r="A2230" s="20" t="str">
        <f>A1052</f>
        <v xml:space="preserve">7.8.2.3 Dotation des enseignants et étudiants en ordinateurs portables </v>
      </c>
      <c r="B2230" s="46"/>
      <c r="C2230" s="386">
        <f>C1052</f>
        <v>0</v>
      </c>
      <c r="D2230" s="168">
        <f t="shared" si="2012"/>
        <v>5000</v>
      </c>
      <c r="E2230" s="168">
        <f t="shared" si="2013"/>
        <v>5000</v>
      </c>
      <c r="F2230" s="168">
        <f t="shared" si="2014"/>
        <v>5000</v>
      </c>
      <c r="G2230" s="168">
        <f t="shared" si="2015"/>
        <v>5000</v>
      </c>
      <c r="H2230" s="168">
        <f t="shared" si="2016"/>
        <v>0</v>
      </c>
      <c r="I2230" s="166">
        <f t="shared" si="2017"/>
        <v>20000</v>
      </c>
      <c r="J2230" s="371" t="str">
        <f t="shared" si="2018"/>
        <v>MESU/DEP</v>
      </c>
      <c r="K2230" s="350" t="str">
        <f t="shared" si="2019"/>
        <v>BM</v>
      </c>
      <c r="L2230" s="167">
        <f t="shared" ref="L2230:T2230" si="2113">L1052</f>
        <v>5000000</v>
      </c>
      <c r="M2230" s="168">
        <f t="shared" si="2113"/>
        <v>5000000</v>
      </c>
      <c r="N2230" s="168">
        <f t="shared" si="2113"/>
        <v>5000000</v>
      </c>
      <c r="O2230" s="168">
        <f t="shared" si="2113"/>
        <v>5000000</v>
      </c>
      <c r="P2230" s="168">
        <f t="shared" si="2113"/>
        <v>0</v>
      </c>
      <c r="Q2230" s="165">
        <f t="shared" si="2113"/>
        <v>20000000</v>
      </c>
      <c r="R2230" s="198" t="str">
        <f t="shared" ref="R2230:S2230" si="2114">R1052</f>
        <v>MESU/DEP</v>
      </c>
      <c r="S2230" s="197" t="str">
        <f t="shared" si="2114"/>
        <v>BM</v>
      </c>
      <c r="T2230" s="51">
        <f t="shared" si="2113"/>
        <v>0</v>
      </c>
      <c r="W2230" s="608">
        <f t="shared" si="2021"/>
        <v>20000000</v>
      </c>
      <c r="X2230" s="608">
        <f t="shared" si="2022"/>
        <v>0</v>
      </c>
      <c r="Z2230" s="572">
        <f t="shared" si="2027"/>
        <v>0</v>
      </c>
      <c r="AA2230" s="1">
        <f t="shared" si="2028"/>
        <v>0</v>
      </c>
    </row>
    <row r="2231" spans="1:27" x14ac:dyDescent="0.2">
      <c r="A2231" s="20" t="str">
        <f>A1054</f>
        <v>7.8.2.4 Formation des enseignants aux TIC dans les enseignements</v>
      </c>
      <c r="B2231" s="46"/>
      <c r="C2231" s="386">
        <f>C1054</f>
        <v>0</v>
      </c>
      <c r="D2231" s="168">
        <f t="shared" si="2012"/>
        <v>44</v>
      </c>
      <c r="E2231" s="168">
        <f t="shared" si="2013"/>
        <v>44</v>
      </c>
      <c r="F2231" s="168">
        <f t="shared" si="2014"/>
        <v>66</v>
      </c>
      <c r="G2231" s="168">
        <f t="shared" si="2015"/>
        <v>0</v>
      </c>
      <c r="H2231" s="168">
        <f t="shared" si="2016"/>
        <v>0</v>
      </c>
      <c r="I2231" s="166">
        <f t="shared" si="2017"/>
        <v>154</v>
      </c>
      <c r="J2231" s="371" t="str">
        <f t="shared" si="2018"/>
        <v>MESU/DEP</v>
      </c>
      <c r="K2231" s="350" t="str">
        <f t="shared" si="2019"/>
        <v>BM</v>
      </c>
      <c r="L2231" s="167">
        <f t="shared" ref="L2231:T2231" si="2115">L1054</f>
        <v>44000</v>
      </c>
      <c r="M2231" s="168">
        <f t="shared" si="2115"/>
        <v>44000</v>
      </c>
      <c r="N2231" s="168">
        <f t="shared" si="2115"/>
        <v>66000</v>
      </c>
      <c r="O2231" s="168">
        <f t="shared" si="2115"/>
        <v>0</v>
      </c>
      <c r="P2231" s="168">
        <f t="shared" si="2115"/>
        <v>0</v>
      </c>
      <c r="Q2231" s="165">
        <f t="shared" si="2115"/>
        <v>154000</v>
      </c>
      <c r="R2231" s="198" t="str">
        <f t="shared" ref="R2231:S2231" si="2116">R1054</f>
        <v>MESU/DEP</v>
      </c>
      <c r="S2231" s="197" t="str">
        <f t="shared" si="2116"/>
        <v>BM</v>
      </c>
      <c r="T2231" s="51">
        <f t="shared" si="2115"/>
        <v>0</v>
      </c>
      <c r="W2231" s="608">
        <f t="shared" si="2021"/>
        <v>154000</v>
      </c>
      <c r="X2231" s="608">
        <f t="shared" si="2022"/>
        <v>0</v>
      </c>
      <c r="Z2231" s="572">
        <f t="shared" si="2027"/>
        <v>0</v>
      </c>
      <c r="AA2231" s="1">
        <f t="shared" si="2028"/>
        <v>0</v>
      </c>
    </row>
    <row r="2232" spans="1:27" x14ac:dyDescent="0.2">
      <c r="A2232" s="14" t="str">
        <f>A1056</f>
        <v xml:space="preserve">7.9 Revitalisation de la Recherche : Promouvoir la recherche dans le cadre de la mise en œuvre de la réforme LMD </v>
      </c>
      <c r="B2232" s="44"/>
      <c r="C2232" s="385">
        <f>C1056</f>
        <v>0</v>
      </c>
      <c r="D2232" s="217">
        <f t="shared" si="2012"/>
        <v>578</v>
      </c>
      <c r="E2232" s="217">
        <f t="shared" si="2013"/>
        <v>1681</v>
      </c>
      <c r="F2232" s="217">
        <f t="shared" si="2014"/>
        <v>1834</v>
      </c>
      <c r="G2232" s="217">
        <f t="shared" si="2015"/>
        <v>2642.5</v>
      </c>
      <c r="H2232" s="217">
        <f t="shared" si="2016"/>
        <v>3502.5</v>
      </c>
      <c r="I2232" s="220">
        <f t="shared" si="2017"/>
        <v>10238</v>
      </c>
      <c r="J2232" s="373">
        <f t="shared" si="2018"/>
        <v>0</v>
      </c>
      <c r="K2232" s="346">
        <f t="shared" si="2019"/>
        <v>0</v>
      </c>
      <c r="L2232" s="33">
        <f t="shared" ref="L2232:Q2232" si="2117">L2233+L2236+L2239+L2242</f>
        <v>578000</v>
      </c>
      <c r="M2232" s="32">
        <f t="shared" si="2117"/>
        <v>1681000</v>
      </c>
      <c r="N2232" s="32">
        <f t="shared" si="2117"/>
        <v>1834000</v>
      </c>
      <c r="O2232" s="32">
        <f t="shared" si="2117"/>
        <v>2642500</v>
      </c>
      <c r="P2232" s="32">
        <f t="shared" si="2117"/>
        <v>3502500</v>
      </c>
      <c r="Q2232" s="25">
        <f t="shared" si="2117"/>
        <v>10238000</v>
      </c>
      <c r="R2232" s="16">
        <f t="shared" ref="R2232:S2232" si="2118">R2233+R2236+R2239+R2242</f>
        <v>0</v>
      </c>
      <c r="S2232" s="15">
        <f t="shared" si="2118"/>
        <v>0</v>
      </c>
      <c r="T2232" s="112">
        <f>T1056</f>
        <v>2</v>
      </c>
      <c r="W2232" s="608">
        <f t="shared" si="2021"/>
        <v>10238000</v>
      </c>
      <c r="X2232" s="608">
        <f t="shared" si="2022"/>
        <v>0</v>
      </c>
      <c r="Z2232" s="572">
        <f t="shared" si="2027"/>
        <v>0</v>
      </c>
      <c r="AA2232" s="1">
        <f t="shared" si="2028"/>
        <v>0</v>
      </c>
    </row>
    <row r="2233" spans="1:27" x14ac:dyDescent="0.2">
      <c r="A2233" s="17" t="str">
        <f>A1057</f>
        <v>7.9.1 Valorisation des résultats de la recherche au niveau provincial et national</v>
      </c>
      <c r="B2233" s="45"/>
      <c r="C2233" s="386">
        <f>C1057</f>
        <v>0</v>
      </c>
      <c r="D2233" s="157">
        <f t="shared" si="2012"/>
        <v>475</v>
      </c>
      <c r="E2233" s="157">
        <f t="shared" si="2013"/>
        <v>475</v>
      </c>
      <c r="F2233" s="157">
        <f t="shared" si="2014"/>
        <v>475</v>
      </c>
      <c r="G2233" s="157">
        <f t="shared" si="2015"/>
        <v>475</v>
      </c>
      <c r="H2233" s="157">
        <f t="shared" si="2016"/>
        <v>475</v>
      </c>
      <c r="I2233" s="160">
        <f t="shared" si="2017"/>
        <v>2375</v>
      </c>
      <c r="J2233" s="374">
        <f t="shared" si="2018"/>
        <v>0</v>
      </c>
      <c r="K2233" s="348">
        <f t="shared" si="2019"/>
        <v>0</v>
      </c>
      <c r="L2233" s="35">
        <f t="shared" ref="L2233:Q2233" si="2119">SUM(L2234:L2235)</f>
        <v>475000</v>
      </c>
      <c r="M2233" s="34">
        <f t="shared" si="2119"/>
        <v>475000</v>
      </c>
      <c r="N2233" s="34">
        <f t="shared" si="2119"/>
        <v>475000</v>
      </c>
      <c r="O2233" s="34">
        <f t="shared" si="2119"/>
        <v>475000</v>
      </c>
      <c r="P2233" s="34">
        <f t="shared" si="2119"/>
        <v>475000</v>
      </c>
      <c r="Q2233" s="26">
        <f t="shared" si="2119"/>
        <v>2375000</v>
      </c>
      <c r="R2233" s="19">
        <f t="shared" ref="R2233:S2233" si="2120">SUM(R2234:R2235)</f>
        <v>0</v>
      </c>
      <c r="S2233" s="18">
        <f t="shared" si="2120"/>
        <v>0</v>
      </c>
      <c r="T2233" s="51">
        <f>T1057</f>
        <v>0</v>
      </c>
      <c r="W2233" s="608">
        <f t="shared" si="2021"/>
        <v>2375000</v>
      </c>
      <c r="X2233" s="608">
        <f t="shared" si="2022"/>
        <v>0</v>
      </c>
      <c r="Z2233" s="572">
        <f t="shared" si="2027"/>
        <v>0</v>
      </c>
      <c r="AA2233" s="1">
        <f t="shared" si="2028"/>
        <v>0</v>
      </c>
    </row>
    <row r="2234" spans="1:27" x14ac:dyDescent="0.2">
      <c r="A2234" s="20" t="str">
        <f>A1058</f>
        <v>7.9.1.1 Assurer la tenue des exposition régionales et nationales</v>
      </c>
      <c r="B2234" s="46"/>
      <c r="C2234" s="386">
        <f>C1058</f>
        <v>0</v>
      </c>
      <c r="D2234" s="168">
        <f t="shared" si="2012"/>
        <v>400</v>
      </c>
      <c r="E2234" s="168">
        <f t="shared" si="2013"/>
        <v>400</v>
      </c>
      <c r="F2234" s="168">
        <f t="shared" si="2014"/>
        <v>400</v>
      </c>
      <c r="G2234" s="168">
        <f t="shared" si="2015"/>
        <v>400</v>
      </c>
      <c r="H2234" s="168">
        <f t="shared" si="2016"/>
        <v>400</v>
      </c>
      <c r="I2234" s="166">
        <f t="shared" si="2017"/>
        <v>2000</v>
      </c>
      <c r="J2234" s="371" t="str">
        <f t="shared" si="2018"/>
        <v>MESU</v>
      </c>
      <c r="K2234" s="350" t="str">
        <f t="shared" si="2019"/>
        <v>GVT</v>
      </c>
      <c r="L2234" s="167">
        <f t="shared" ref="L2234:Q2234" si="2121">L1058</f>
        <v>400000</v>
      </c>
      <c r="M2234" s="168">
        <f t="shared" si="2121"/>
        <v>400000</v>
      </c>
      <c r="N2234" s="168">
        <f t="shared" si="2121"/>
        <v>400000</v>
      </c>
      <c r="O2234" s="168">
        <f t="shared" si="2121"/>
        <v>400000</v>
      </c>
      <c r="P2234" s="168">
        <f t="shared" si="2121"/>
        <v>400000</v>
      </c>
      <c r="Q2234" s="165">
        <f t="shared" si="2121"/>
        <v>2000000</v>
      </c>
      <c r="R2234" s="198" t="str">
        <f t="shared" ref="R2234:S2234" si="2122">R1058</f>
        <v>MESU</v>
      </c>
      <c r="S2234" s="197" t="str">
        <f t="shared" si="2122"/>
        <v>GVT</v>
      </c>
      <c r="T2234" s="51">
        <f>T1058</f>
        <v>0</v>
      </c>
      <c r="W2234" s="608">
        <f t="shared" si="2021"/>
        <v>2000000</v>
      </c>
      <c r="X2234" s="608">
        <f t="shared" si="2022"/>
        <v>0</v>
      </c>
      <c r="Z2234" s="572">
        <f t="shared" si="2027"/>
        <v>0</v>
      </c>
      <c r="AA2234" s="1">
        <f t="shared" si="2028"/>
        <v>0</v>
      </c>
    </row>
    <row r="2235" spans="1:27" x14ac:dyDescent="0.2">
      <c r="A2235" s="20" t="str">
        <f>A1060</f>
        <v>7.9.1.2 Octroi des prix aux œuvres porteuses</v>
      </c>
      <c r="B2235" s="46"/>
      <c r="C2235" s="386">
        <f>C1060</f>
        <v>0</v>
      </c>
      <c r="D2235" s="168">
        <f t="shared" si="2012"/>
        <v>75</v>
      </c>
      <c r="E2235" s="168">
        <f t="shared" si="2013"/>
        <v>75</v>
      </c>
      <c r="F2235" s="168">
        <f t="shared" si="2014"/>
        <v>75</v>
      </c>
      <c r="G2235" s="168">
        <f t="shared" si="2015"/>
        <v>75</v>
      </c>
      <c r="H2235" s="168">
        <f t="shared" si="2016"/>
        <v>75</v>
      </c>
      <c r="I2235" s="166">
        <f t="shared" si="2017"/>
        <v>375</v>
      </c>
      <c r="J2235" s="371" t="str">
        <f t="shared" si="2018"/>
        <v>MESU/DEP</v>
      </c>
      <c r="K2235" s="350" t="str">
        <f t="shared" si="2019"/>
        <v>SADEC</v>
      </c>
      <c r="L2235" s="167">
        <f t="shared" ref="L2235:T2235" si="2123">L1060</f>
        <v>75000</v>
      </c>
      <c r="M2235" s="168">
        <f t="shared" si="2123"/>
        <v>75000</v>
      </c>
      <c r="N2235" s="168">
        <f t="shared" si="2123"/>
        <v>75000</v>
      </c>
      <c r="O2235" s="168">
        <f t="shared" si="2123"/>
        <v>75000</v>
      </c>
      <c r="P2235" s="168">
        <f t="shared" si="2123"/>
        <v>75000</v>
      </c>
      <c r="Q2235" s="165">
        <f t="shared" si="2123"/>
        <v>375000</v>
      </c>
      <c r="R2235" s="198" t="str">
        <f t="shared" ref="R2235:S2235" si="2124">R1060</f>
        <v>MESU/DEP</v>
      </c>
      <c r="S2235" s="197" t="str">
        <f t="shared" si="2124"/>
        <v>SADEC</v>
      </c>
      <c r="T2235" s="51">
        <f t="shared" si="2123"/>
        <v>0</v>
      </c>
      <c r="W2235" s="608">
        <f t="shared" si="2021"/>
        <v>375000</v>
      </c>
      <c r="X2235" s="608">
        <f t="shared" si="2022"/>
        <v>0</v>
      </c>
      <c r="Z2235" s="572">
        <f t="shared" si="2027"/>
        <v>0</v>
      </c>
      <c r="AA2235" s="1">
        <f t="shared" si="2028"/>
        <v>0</v>
      </c>
    </row>
    <row r="2236" spans="1:27" x14ac:dyDescent="0.2">
      <c r="A2236" s="17" t="str">
        <f>A1062</f>
        <v>7.9.2 Mise en place d’un fonds compétitif pour la Recherche</v>
      </c>
      <c r="B2236" s="45"/>
      <c r="C2236" s="386">
        <f>C1062</f>
        <v>0</v>
      </c>
      <c r="D2236" s="157">
        <f t="shared" si="2012"/>
        <v>51.5</v>
      </c>
      <c r="E2236" s="157">
        <f t="shared" si="2013"/>
        <v>806</v>
      </c>
      <c r="F2236" s="157">
        <f t="shared" si="2014"/>
        <v>1007.5</v>
      </c>
      <c r="G2236" s="157">
        <f t="shared" si="2015"/>
        <v>1007.5</v>
      </c>
      <c r="H2236" s="157">
        <f t="shared" si="2016"/>
        <v>1007.5</v>
      </c>
      <c r="I2236" s="160">
        <f t="shared" si="2017"/>
        <v>3880</v>
      </c>
      <c r="J2236" s="374">
        <f t="shared" si="2018"/>
        <v>0</v>
      </c>
      <c r="K2236" s="348">
        <f t="shared" si="2019"/>
        <v>0</v>
      </c>
      <c r="L2236" s="35">
        <f t="shared" ref="L2236:Q2236" si="2125">SUM(L2237:L2238)</f>
        <v>51500</v>
      </c>
      <c r="M2236" s="34">
        <f t="shared" si="2125"/>
        <v>806000</v>
      </c>
      <c r="N2236" s="34">
        <f t="shared" si="2125"/>
        <v>1007500</v>
      </c>
      <c r="O2236" s="34">
        <f t="shared" si="2125"/>
        <v>1007500</v>
      </c>
      <c r="P2236" s="34">
        <f t="shared" si="2125"/>
        <v>1007500</v>
      </c>
      <c r="Q2236" s="26">
        <f t="shared" si="2125"/>
        <v>3880000</v>
      </c>
      <c r="R2236" s="19">
        <f t="shared" ref="R2236:S2236" si="2126">SUM(R2237:R2238)</f>
        <v>0</v>
      </c>
      <c r="S2236" s="18">
        <f t="shared" si="2126"/>
        <v>0</v>
      </c>
      <c r="T2236" s="51">
        <f>T1062</f>
        <v>0</v>
      </c>
      <c r="W2236" s="608">
        <f t="shared" si="2021"/>
        <v>3880000</v>
      </c>
      <c r="X2236" s="608">
        <f t="shared" si="2022"/>
        <v>0</v>
      </c>
      <c r="Z2236" s="572">
        <f t="shared" si="2027"/>
        <v>0</v>
      </c>
      <c r="AA2236" s="1">
        <f t="shared" si="2028"/>
        <v>0</v>
      </c>
    </row>
    <row r="2237" spans="1:27" x14ac:dyDescent="0.2">
      <c r="A2237" s="20" t="str">
        <f>A1063</f>
        <v>7.9.2.1 Définition du concept et du mode de fonctionnement</v>
      </c>
      <c r="B2237" s="46"/>
      <c r="C2237" s="386">
        <f>C1063</f>
        <v>0</v>
      </c>
      <c r="D2237" s="168">
        <f t="shared" si="2012"/>
        <v>51.5</v>
      </c>
      <c r="E2237" s="168">
        <f t="shared" si="2013"/>
        <v>0</v>
      </c>
      <c r="F2237" s="168">
        <f t="shared" si="2014"/>
        <v>0</v>
      </c>
      <c r="G2237" s="168">
        <f t="shared" si="2015"/>
        <v>0</v>
      </c>
      <c r="H2237" s="168">
        <f t="shared" si="2016"/>
        <v>0</v>
      </c>
      <c r="I2237" s="166">
        <f t="shared" si="2017"/>
        <v>51.5</v>
      </c>
      <c r="J2237" s="371" t="str">
        <f t="shared" si="2018"/>
        <v>MESU/DEP</v>
      </c>
      <c r="K2237" s="350" t="str">
        <f t="shared" si="2019"/>
        <v>ND</v>
      </c>
      <c r="L2237" s="167">
        <f t="shared" ref="L2237:Q2237" si="2127">L1063</f>
        <v>51500</v>
      </c>
      <c r="M2237" s="36">
        <f t="shared" si="2127"/>
        <v>0</v>
      </c>
      <c r="N2237" s="36">
        <f t="shared" si="2127"/>
        <v>0</v>
      </c>
      <c r="O2237" s="36">
        <f t="shared" si="2127"/>
        <v>0</v>
      </c>
      <c r="P2237" s="36">
        <f t="shared" si="2127"/>
        <v>0</v>
      </c>
      <c r="Q2237" s="27">
        <f t="shared" si="2127"/>
        <v>51500</v>
      </c>
      <c r="R2237" s="198" t="str">
        <f t="shared" ref="R2237:S2237" si="2128">R1063</f>
        <v>MESU/DEP</v>
      </c>
      <c r="S2237" s="197" t="str">
        <f t="shared" si="2128"/>
        <v>ND</v>
      </c>
      <c r="T2237" s="51">
        <f>T1063</f>
        <v>0</v>
      </c>
      <c r="W2237" s="608">
        <f t="shared" si="2021"/>
        <v>51500</v>
      </c>
      <c r="X2237" s="608">
        <f t="shared" si="2022"/>
        <v>0</v>
      </c>
      <c r="Z2237" s="572">
        <f t="shared" si="2027"/>
        <v>0</v>
      </c>
      <c r="AA2237" s="1">
        <f t="shared" si="2028"/>
        <v>0</v>
      </c>
    </row>
    <row r="2238" spans="1:27" x14ac:dyDescent="0.2">
      <c r="A2238" s="20" t="str">
        <f>A1067</f>
        <v>7.9.2.2 Fonctionnement du fonds compétitif</v>
      </c>
      <c r="B2238" s="46"/>
      <c r="C2238" s="386">
        <f>C1067</f>
        <v>0</v>
      </c>
      <c r="D2238" s="168">
        <f t="shared" si="2012"/>
        <v>0</v>
      </c>
      <c r="E2238" s="168">
        <f t="shared" si="2013"/>
        <v>806</v>
      </c>
      <c r="F2238" s="168">
        <f t="shared" si="2014"/>
        <v>1007.5</v>
      </c>
      <c r="G2238" s="168">
        <f t="shared" si="2015"/>
        <v>1007.5</v>
      </c>
      <c r="H2238" s="168">
        <f t="shared" si="2016"/>
        <v>1007.5</v>
      </c>
      <c r="I2238" s="166">
        <f t="shared" si="2017"/>
        <v>3828.5</v>
      </c>
      <c r="J2238" s="371" t="str">
        <f t="shared" si="2018"/>
        <v>MESU</v>
      </c>
      <c r="K2238" s="350" t="str">
        <f t="shared" si="2019"/>
        <v>ND</v>
      </c>
      <c r="L2238" s="167">
        <f t="shared" ref="L2238:T2238" si="2129">L1067</f>
        <v>0</v>
      </c>
      <c r="M2238" s="168">
        <f t="shared" si="2129"/>
        <v>806000</v>
      </c>
      <c r="N2238" s="168">
        <f t="shared" si="2129"/>
        <v>1007500</v>
      </c>
      <c r="O2238" s="168">
        <f t="shared" si="2129"/>
        <v>1007500</v>
      </c>
      <c r="P2238" s="168">
        <f t="shared" si="2129"/>
        <v>1007500</v>
      </c>
      <c r="Q2238" s="165">
        <f t="shared" si="2129"/>
        <v>3828500</v>
      </c>
      <c r="R2238" s="198" t="str">
        <f t="shared" ref="R2238:S2238" si="2130">R1067</f>
        <v>MESU</v>
      </c>
      <c r="S2238" s="197" t="str">
        <f t="shared" si="2130"/>
        <v>ND</v>
      </c>
      <c r="T2238" s="51">
        <f t="shared" si="2129"/>
        <v>0</v>
      </c>
      <c r="W2238" s="608">
        <f t="shared" si="2021"/>
        <v>3828500</v>
      </c>
      <c r="X2238" s="608">
        <f t="shared" si="2022"/>
        <v>0</v>
      </c>
      <c r="Z2238" s="572">
        <f t="shared" si="2027"/>
        <v>0</v>
      </c>
      <c r="AA2238" s="1">
        <f t="shared" si="2028"/>
        <v>0</v>
      </c>
    </row>
    <row r="2239" spans="1:27" x14ac:dyDescent="0.2">
      <c r="A2239" s="17" t="str">
        <f>A1070</f>
        <v>7.9.3 Renforcement des capacités des PUC</v>
      </c>
      <c r="B2239" s="45"/>
      <c r="C2239" s="386">
        <f>C1070</f>
        <v>0</v>
      </c>
      <c r="D2239" s="157">
        <f t="shared" si="2012"/>
        <v>51.5</v>
      </c>
      <c r="E2239" s="157">
        <f t="shared" si="2013"/>
        <v>400</v>
      </c>
      <c r="F2239" s="157">
        <f t="shared" si="2014"/>
        <v>300</v>
      </c>
      <c r="G2239" s="157">
        <f t="shared" si="2015"/>
        <v>300</v>
      </c>
      <c r="H2239" s="157">
        <f t="shared" si="2016"/>
        <v>300</v>
      </c>
      <c r="I2239" s="160">
        <f t="shared" si="2017"/>
        <v>1351.5</v>
      </c>
      <c r="J2239" s="374">
        <f t="shared" si="2018"/>
        <v>0</v>
      </c>
      <c r="K2239" s="348">
        <f t="shared" si="2019"/>
        <v>0</v>
      </c>
      <c r="L2239" s="35">
        <f t="shared" ref="L2239:Q2239" si="2131">SUM(L2240:L2241)</f>
        <v>51500</v>
      </c>
      <c r="M2239" s="34">
        <f t="shared" si="2131"/>
        <v>400000</v>
      </c>
      <c r="N2239" s="34">
        <f t="shared" si="2131"/>
        <v>300000</v>
      </c>
      <c r="O2239" s="34">
        <f t="shared" si="2131"/>
        <v>300000</v>
      </c>
      <c r="P2239" s="34">
        <f t="shared" si="2131"/>
        <v>300000</v>
      </c>
      <c r="Q2239" s="26">
        <f t="shared" si="2131"/>
        <v>1351500</v>
      </c>
      <c r="R2239" s="19">
        <f t="shared" ref="R2239:S2239" si="2132">SUM(R2240:R2241)</f>
        <v>0</v>
      </c>
      <c r="S2239" s="18">
        <f t="shared" si="2132"/>
        <v>0</v>
      </c>
      <c r="T2239" s="51">
        <f>T1070</f>
        <v>0</v>
      </c>
      <c r="W2239" s="608">
        <f t="shared" si="2021"/>
        <v>1351500</v>
      </c>
      <c r="X2239" s="608">
        <f t="shared" si="2022"/>
        <v>0</v>
      </c>
      <c r="Y2239" s="572" t="s">
        <v>1512</v>
      </c>
      <c r="Z2239" s="572">
        <f t="shared" si="2027"/>
        <v>1351.5</v>
      </c>
      <c r="AA2239" s="1">
        <f t="shared" si="2028"/>
        <v>0</v>
      </c>
    </row>
    <row r="2240" spans="1:27" x14ac:dyDescent="0.2">
      <c r="A2240" s="20" t="str">
        <f>A1071</f>
        <v>7.9.3.1 Définition du programme de mise à niveau</v>
      </c>
      <c r="B2240" s="46"/>
      <c r="C2240" s="386">
        <f>C1071</f>
        <v>0</v>
      </c>
      <c r="D2240" s="168">
        <f t="shared" si="2012"/>
        <v>51.5</v>
      </c>
      <c r="E2240" s="168">
        <f t="shared" si="2013"/>
        <v>0</v>
      </c>
      <c r="F2240" s="168">
        <f t="shared" si="2014"/>
        <v>0</v>
      </c>
      <c r="G2240" s="168">
        <f t="shared" si="2015"/>
        <v>0</v>
      </c>
      <c r="H2240" s="168">
        <f t="shared" si="2016"/>
        <v>0</v>
      </c>
      <c r="I2240" s="166">
        <f t="shared" si="2017"/>
        <v>51.5</v>
      </c>
      <c r="J2240" s="371" t="str">
        <f t="shared" si="2018"/>
        <v>MESU/PUC</v>
      </c>
      <c r="K2240" s="350" t="str">
        <f t="shared" si="2019"/>
        <v>GVT</v>
      </c>
      <c r="L2240" s="167">
        <f t="shared" ref="L2240:Q2240" si="2133">L1071</f>
        <v>51500</v>
      </c>
      <c r="M2240" s="36">
        <f t="shared" si="2133"/>
        <v>0</v>
      </c>
      <c r="N2240" s="36">
        <f t="shared" si="2133"/>
        <v>0</v>
      </c>
      <c r="O2240" s="36">
        <f t="shared" si="2133"/>
        <v>0</v>
      </c>
      <c r="P2240" s="36">
        <f t="shared" si="2133"/>
        <v>0</v>
      </c>
      <c r="Q2240" s="27">
        <f t="shared" si="2133"/>
        <v>51500</v>
      </c>
      <c r="R2240" s="198" t="str">
        <f t="shared" ref="R2240:S2240" si="2134">R1071</f>
        <v>MESU/PUC</v>
      </c>
      <c r="S2240" s="197" t="str">
        <f t="shared" si="2134"/>
        <v>GVT</v>
      </c>
      <c r="T2240" s="51">
        <f>T1071</f>
        <v>0</v>
      </c>
      <c r="W2240" s="608">
        <f t="shared" si="2021"/>
        <v>51500</v>
      </c>
      <c r="X2240" s="608">
        <f t="shared" si="2022"/>
        <v>0</v>
      </c>
      <c r="Y2240" s="572" t="s">
        <v>1512</v>
      </c>
      <c r="Z2240" s="572">
        <f t="shared" si="2027"/>
        <v>51.5</v>
      </c>
      <c r="AA2240" s="1">
        <f t="shared" si="2028"/>
        <v>0</v>
      </c>
    </row>
    <row r="2241" spans="1:27" x14ac:dyDescent="0.2">
      <c r="A2241" s="20" t="str">
        <f>A1075</f>
        <v>7.9.3.2 Réhabilitation et équipement du PUC</v>
      </c>
      <c r="B2241" s="46"/>
      <c r="C2241" s="386">
        <f>C1075</f>
        <v>0</v>
      </c>
      <c r="D2241" s="168">
        <f t="shared" si="2012"/>
        <v>0</v>
      </c>
      <c r="E2241" s="168">
        <f t="shared" si="2013"/>
        <v>400</v>
      </c>
      <c r="F2241" s="168">
        <f t="shared" si="2014"/>
        <v>300</v>
      </c>
      <c r="G2241" s="168">
        <f t="shared" si="2015"/>
        <v>300</v>
      </c>
      <c r="H2241" s="168">
        <f t="shared" si="2016"/>
        <v>300</v>
      </c>
      <c r="I2241" s="166">
        <f t="shared" si="2017"/>
        <v>1300</v>
      </c>
      <c r="J2241" s="371" t="str">
        <f t="shared" si="2018"/>
        <v>MESU/PUC</v>
      </c>
      <c r="K2241" s="350" t="str">
        <f t="shared" si="2019"/>
        <v>GVT</v>
      </c>
      <c r="L2241" s="167">
        <f t="shared" ref="L2241:T2241" si="2135">L1075</f>
        <v>0</v>
      </c>
      <c r="M2241" s="168">
        <f t="shared" si="2135"/>
        <v>400000</v>
      </c>
      <c r="N2241" s="168">
        <f t="shared" si="2135"/>
        <v>300000</v>
      </c>
      <c r="O2241" s="168">
        <f t="shared" si="2135"/>
        <v>300000</v>
      </c>
      <c r="P2241" s="168">
        <f t="shared" si="2135"/>
        <v>300000</v>
      </c>
      <c r="Q2241" s="165">
        <f t="shared" si="2135"/>
        <v>1300000</v>
      </c>
      <c r="R2241" s="198" t="str">
        <f t="shared" ref="R2241:S2241" si="2136">R1075</f>
        <v>MESU/PUC</v>
      </c>
      <c r="S2241" s="197" t="str">
        <f t="shared" si="2136"/>
        <v>GVT</v>
      </c>
      <c r="T2241" s="51">
        <f t="shared" si="2135"/>
        <v>0</v>
      </c>
      <c r="W2241" s="608">
        <f t="shared" si="2021"/>
        <v>1300000</v>
      </c>
      <c r="X2241" s="608">
        <f t="shared" si="2022"/>
        <v>0</v>
      </c>
      <c r="Y2241" s="572" t="s">
        <v>1512</v>
      </c>
      <c r="Z2241" s="572">
        <f t="shared" si="2027"/>
        <v>1300</v>
      </c>
      <c r="AA2241" s="1">
        <f t="shared" si="2028"/>
        <v>0</v>
      </c>
    </row>
    <row r="2242" spans="1:27" x14ac:dyDescent="0.2">
      <c r="A2242" s="17" t="str">
        <f>A1078</f>
        <v>7.9.4 Création des écoles doctorales</v>
      </c>
      <c r="B2242" s="45"/>
      <c r="C2242" s="386">
        <f>C1078</f>
        <v>0</v>
      </c>
      <c r="D2242" s="157">
        <f t="shared" si="2012"/>
        <v>0</v>
      </c>
      <c r="E2242" s="157">
        <f t="shared" si="2013"/>
        <v>0</v>
      </c>
      <c r="F2242" s="157">
        <f t="shared" si="2014"/>
        <v>51.5</v>
      </c>
      <c r="G2242" s="157">
        <f t="shared" si="2015"/>
        <v>860</v>
      </c>
      <c r="H2242" s="157">
        <f t="shared" si="2016"/>
        <v>1720</v>
      </c>
      <c r="I2242" s="160">
        <f t="shared" si="2017"/>
        <v>2631.5</v>
      </c>
      <c r="J2242" s="374">
        <f t="shared" si="2018"/>
        <v>0</v>
      </c>
      <c r="K2242" s="348">
        <f t="shared" si="2019"/>
        <v>0</v>
      </c>
      <c r="L2242" s="35">
        <f t="shared" ref="L2242:Q2242" si="2137">SUM(L2243:L2245)</f>
        <v>0</v>
      </c>
      <c r="M2242" s="34">
        <f t="shared" si="2137"/>
        <v>0</v>
      </c>
      <c r="N2242" s="34">
        <f t="shared" si="2137"/>
        <v>51500</v>
      </c>
      <c r="O2242" s="34">
        <f t="shared" si="2137"/>
        <v>860000</v>
      </c>
      <c r="P2242" s="34">
        <f t="shared" si="2137"/>
        <v>1720000</v>
      </c>
      <c r="Q2242" s="26">
        <f t="shared" si="2137"/>
        <v>2631500</v>
      </c>
      <c r="R2242" s="19">
        <f t="shared" ref="R2242:S2242" si="2138">SUM(R2243:R2245)</f>
        <v>0</v>
      </c>
      <c r="S2242" s="18">
        <f t="shared" si="2138"/>
        <v>0</v>
      </c>
      <c r="T2242" s="51">
        <f>T1078</f>
        <v>0</v>
      </c>
      <c r="W2242" s="608">
        <f t="shared" si="2021"/>
        <v>2631500</v>
      </c>
      <c r="X2242" s="608">
        <f t="shared" si="2022"/>
        <v>0</v>
      </c>
      <c r="Z2242" s="572">
        <f t="shared" si="2027"/>
        <v>0</v>
      </c>
      <c r="AA2242" s="1">
        <f t="shared" si="2028"/>
        <v>0</v>
      </c>
    </row>
    <row r="2243" spans="1:27" x14ac:dyDescent="0.2">
      <c r="A2243" s="20" t="str">
        <f>A1079</f>
        <v>7.9.4.1 Étude de faisabilité de création des ED</v>
      </c>
      <c r="B2243" s="46"/>
      <c r="C2243" s="386">
        <f>C1079</f>
        <v>0</v>
      </c>
      <c r="D2243" s="168">
        <f t="shared" si="2012"/>
        <v>0</v>
      </c>
      <c r="E2243" s="168">
        <f t="shared" si="2013"/>
        <v>0</v>
      </c>
      <c r="F2243" s="168">
        <f t="shared" si="2014"/>
        <v>51.5</v>
      </c>
      <c r="G2243" s="168">
        <f t="shared" si="2015"/>
        <v>0</v>
      </c>
      <c r="H2243" s="168">
        <f t="shared" si="2016"/>
        <v>0</v>
      </c>
      <c r="I2243" s="166">
        <f t="shared" si="2017"/>
        <v>51.5</v>
      </c>
      <c r="J2243" s="371" t="str">
        <f t="shared" si="2018"/>
        <v>MESU/DEP-CA</v>
      </c>
      <c r="K2243" s="350" t="str">
        <f t="shared" si="2019"/>
        <v>GVT</v>
      </c>
      <c r="L2243" s="167">
        <f t="shared" ref="L2243:Q2243" si="2139">L1079</f>
        <v>0</v>
      </c>
      <c r="M2243" s="36">
        <f t="shared" si="2139"/>
        <v>0</v>
      </c>
      <c r="N2243" s="36">
        <f t="shared" si="2139"/>
        <v>51500</v>
      </c>
      <c r="O2243" s="36">
        <f t="shared" si="2139"/>
        <v>0</v>
      </c>
      <c r="P2243" s="36">
        <f t="shared" si="2139"/>
        <v>0</v>
      </c>
      <c r="Q2243" s="27">
        <f t="shared" si="2139"/>
        <v>51500</v>
      </c>
      <c r="R2243" s="198" t="str">
        <f t="shared" ref="R2243:S2243" si="2140">R1079</f>
        <v>MESU/DEP-CA</v>
      </c>
      <c r="S2243" s="197" t="str">
        <f t="shared" si="2140"/>
        <v>GVT</v>
      </c>
      <c r="T2243" s="51">
        <f>T1079</f>
        <v>0</v>
      </c>
      <c r="W2243" s="608">
        <f t="shared" si="2021"/>
        <v>51500</v>
      </c>
      <c r="X2243" s="608">
        <f t="shared" si="2022"/>
        <v>0</v>
      </c>
      <c r="Z2243" s="572">
        <f t="shared" si="2027"/>
        <v>0</v>
      </c>
      <c r="AA2243" s="1">
        <f t="shared" si="2028"/>
        <v>0</v>
      </c>
    </row>
    <row r="2244" spans="1:27" x14ac:dyDescent="0.2">
      <c r="A2244" s="20" t="str">
        <f>A1083</f>
        <v>7.9.4.2 Mise en place des ED</v>
      </c>
      <c r="B2244" s="46"/>
      <c r="C2244" s="386">
        <f>C1083</f>
        <v>0</v>
      </c>
      <c r="D2244" s="168">
        <f t="shared" si="2012"/>
        <v>0</v>
      </c>
      <c r="E2244" s="168">
        <f t="shared" si="2013"/>
        <v>0</v>
      </c>
      <c r="F2244" s="168">
        <f t="shared" si="2014"/>
        <v>0</v>
      </c>
      <c r="G2244" s="168">
        <f t="shared" si="2015"/>
        <v>800</v>
      </c>
      <c r="H2244" s="168">
        <f t="shared" si="2016"/>
        <v>1600</v>
      </c>
      <c r="I2244" s="166">
        <f t="shared" si="2017"/>
        <v>2400</v>
      </c>
      <c r="J2244" s="371" t="str">
        <f t="shared" si="2018"/>
        <v>MESU/DEP-CA</v>
      </c>
      <c r="K2244" s="350" t="str">
        <f t="shared" si="2019"/>
        <v>GVT</v>
      </c>
      <c r="L2244" s="167">
        <f t="shared" ref="L2244:T2244" si="2141">L1083</f>
        <v>0</v>
      </c>
      <c r="M2244" s="168">
        <f t="shared" si="2141"/>
        <v>0</v>
      </c>
      <c r="N2244" s="168">
        <f t="shared" si="2141"/>
        <v>0</v>
      </c>
      <c r="O2244" s="168">
        <f t="shared" si="2141"/>
        <v>800000</v>
      </c>
      <c r="P2244" s="168">
        <f t="shared" si="2141"/>
        <v>1600000</v>
      </c>
      <c r="Q2244" s="165">
        <f t="shared" si="2141"/>
        <v>2400000</v>
      </c>
      <c r="R2244" s="198" t="str">
        <f t="shared" ref="R2244:S2244" si="2142">R1083</f>
        <v>MESU/DEP-CA</v>
      </c>
      <c r="S2244" s="197" t="str">
        <f t="shared" si="2142"/>
        <v>GVT</v>
      </c>
      <c r="T2244" s="51">
        <f t="shared" si="2141"/>
        <v>0</v>
      </c>
      <c r="W2244" s="608">
        <f t="shared" si="2021"/>
        <v>2400000</v>
      </c>
      <c r="X2244" s="608">
        <f t="shared" si="2022"/>
        <v>0</v>
      </c>
      <c r="Z2244" s="572">
        <f t="shared" si="2027"/>
        <v>0</v>
      </c>
      <c r="AA2244" s="1">
        <f t="shared" si="2028"/>
        <v>0</v>
      </c>
    </row>
    <row r="2245" spans="1:27" x14ac:dyDescent="0.2">
      <c r="A2245" s="20" t="str">
        <f>A1085</f>
        <v>7.9.4.3 Assurer le fonctionnement des ED</v>
      </c>
      <c r="B2245" s="46"/>
      <c r="C2245" s="386">
        <f>C1085</f>
        <v>0</v>
      </c>
      <c r="D2245" s="168">
        <f t="shared" si="2012"/>
        <v>0</v>
      </c>
      <c r="E2245" s="168">
        <f t="shared" si="2013"/>
        <v>0</v>
      </c>
      <c r="F2245" s="168">
        <f t="shared" si="2014"/>
        <v>0</v>
      </c>
      <c r="G2245" s="168">
        <f t="shared" si="2015"/>
        <v>60</v>
      </c>
      <c r="H2245" s="168">
        <f t="shared" si="2016"/>
        <v>120</v>
      </c>
      <c r="I2245" s="166">
        <f t="shared" si="2017"/>
        <v>180</v>
      </c>
      <c r="J2245" s="371" t="str">
        <f t="shared" si="2018"/>
        <v>MESU/SG-CA</v>
      </c>
      <c r="K2245" s="350" t="str">
        <f t="shared" si="2019"/>
        <v>GVT</v>
      </c>
      <c r="L2245" s="167">
        <f t="shared" ref="L2245:T2245" si="2143">L1085</f>
        <v>0</v>
      </c>
      <c r="M2245" s="168">
        <f t="shared" si="2143"/>
        <v>0</v>
      </c>
      <c r="N2245" s="168">
        <f t="shared" si="2143"/>
        <v>0</v>
      </c>
      <c r="O2245" s="168">
        <f t="shared" si="2143"/>
        <v>60000</v>
      </c>
      <c r="P2245" s="168">
        <f t="shared" si="2143"/>
        <v>120000</v>
      </c>
      <c r="Q2245" s="165">
        <f t="shared" si="2143"/>
        <v>180000</v>
      </c>
      <c r="R2245" s="198" t="str">
        <f t="shared" ref="R2245:S2245" si="2144">R1085</f>
        <v>MESU/SG-CA</v>
      </c>
      <c r="S2245" s="197" t="str">
        <f t="shared" si="2144"/>
        <v>GVT</v>
      </c>
      <c r="T2245" s="51">
        <f t="shared" si="2143"/>
        <v>0</v>
      </c>
      <c r="W2245" s="608">
        <f t="shared" si="2021"/>
        <v>180000</v>
      </c>
      <c r="X2245" s="608">
        <f t="shared" si="2022"/>
        <v>0</v>
      </c>
      <c r="Z2245" s="572">
        <f t="shared" si="2027"/>
        <v>0</v>
      </c>
      <c r="AA2245" s="1">
        <f t="shared" si="2028"/>
        <v>0</v>
      </c>
    </row>
    <row r="2246" spans="1:27" x14ac:dyDescent="0.2">
      <c r="A2246" s="14" t="str">
        <f>A1087</f>
        <v>7.10. Renouvellement des ressources professorales : Former les enseignants et les chercheurs qui remplaceront ceux qui partent à la retraite</v>
      </c>
      <c r="B2246" s="44"/>
      <c r="C2246" s="385">
        <f>C1087</f>
        <v>0</v>
      </c>
      <c r="D2246" s="217">
        <f t="shared" si="2012"/>
        <v>5577.5</v>
      </c>
      <c r="E2246" s="217">
        <f t="shared" si="2013"/>
        <v>5610</v>
      </c>
      <c r="F2246" s="217">
        <f t="shared" si="2014"/>
        <v>5660</v>
      </c>
      <c r="G2246" s="217">
        <f t="shared" si="2015"/>
        <v>5710</v>
      </c>
      <c r="H2246" s="217">
        <f t="shared" si="2016"/>
        <v>5760</v>
      </c>
      <c r="I2246" s="220">
        <f t="shared" si="2017"/>
        <v>28317.5</v>
      </c>
      <c r="J2246" s="373">
        <f t="shared" si="2018"/>
        <v>0</v>
      </c>
      <c r="K2246" s="346">
        <f t="shared" si="2019"/>
        <v>0</v>
      </c>
      <c r="L2246" s="33">
        <f t="shared" ref="L2246:Q2246" si="2145">L2247+L2250</f>
        <v>5577500</v>
      </c>
      <c r="M2246" s="32">
        <f t="shared" si="2145"/>
        <v>5610000</v>
      </c>
      <c r="N2246" s="32">
        <f t="shared" si="2145"/>
        <v>5660000</v>
      </c>
      <c r="O2246" s="32">
        <f t="shared" si="2145"/>
        <v>5710000</v>
      </c>
      <c r="P2246" s="32">
        <f t="shared" si="2145"/>
        <v>5760000</v>
      </c>
      <c r="Q2246" s="25">
        <f t="shared" si="2145"/>
        <v>28317500</v>
      </c>
      <c r="R2246" s="16">
        <f t="shared" ref="R2246:S2246" si="2146">R2247+R2250</f>
        <v>0</v>
      </c>
      <c r="S2246" s="15">
        <f t="shared" si="2146"/>
        <v>0</v>
      </c>
      <c r="T2246" s="112">
        <f>T1087</f>
        <v>2</v>
      </c>
      <c r="W2246" s="608">
        <f t="shared" si="2021"/>
        <v>28317500</v>
      </c>
      <c r="X2246" s="608">
        <f t="shared" si="2022"/>
        <v>0</v>
      </c>
      <c r="Z2246" s="572">
        <f t="shared" si="2027"/>
        <v>0</v>
      </c>
      <c r="AA2246" s="1">
        <f t="shared" si="2028"/>
        <v>0</v>
      </c>
    </row>
    <row r="2247" spans="1:27" x14ac:dyDescent="0.2">
      <c r="A2247" s="17" t="str">
        <f>A1088</f>
        <v>7.10.1 Extension du bassin d’emploi du Personnel Enseignant qualifié</v>
      </c>
      <c r="B2247" s="45"/>
      <c r="C2247" s="386" t="str">
        <f>C1088</f>
        <v>En 2025, 200 enseignants de la diaspora scientifique congolaise et 500 partenaires du monde du travail sont impliqués dans l'enseignement et la recherche dans les EES</v>
      </c>
      <c r="D2247" s="157">
        <f t="shared" si="2012"/>
        <v>5369</v>
      </c>
      <c r="E2247" s="157">
        <f t="shared" si="2013"/>
        <v>5360</v>
      </c>
      <c r="F2247" s="157">
        <f t="shared" si="2014"/>
        <v>5360</v>
      </c>
      <c r="G2247" s="157">
        <f t="shared" si="2015"/>
        <v>5360</v>
      </c>
      <c r="H2247" s="157">
        <f t="shared" si="2016"/>
        <v>5360</v>
      </c>
      <c r="I2247" s="160">
        <f t="shared" si="2017"/>
        <v>26809</v>
      </c>
      <c r="J2247" s="374">
        <f t="shared" si="2018"/>
        <v>0</v>
      </c>
      <c r="K2247" s="348">
        <f t="shared" si="2019"/>
        <v>0</v>
      </c>
      <c r="L2247" s="35">
        <f t="shared" ref="L2247:Q2247" si="2147">SUM(L2248:L2249)</f>
        <v>5369000</v>
      </c>
      <c r="M2247" s="34">
        <f t="shared" si="2147"/>
        <v>5360000</v>
      </c>
      <c r="N2247" s="34">
        <f t="shared" si="2147"/>
        <v>5360000</v>
      </c>
      <c r="O2247" s="34">
        <f t="shared" si="2147"/>
        <v>5360000</v>
      </c>
      <c r="P2247" s="34">
        <f t="shared" si="2147"/>
        <v>5360000</v>
      </c>
      <c r="Q2247" s="26">
        <f t="shared" si="2147"/>
        <v>26809000</v>
      </c>
      <c r="R2247" s="19">
        <f t="shared" ref="R2247:S2247" si="2148">SUM(R2248:R2249)</f>
        <v>0</v>
      </c>
      <c r="S2247" s="18">
        <f t="shared" si="2148"/>
        <v>0</v>
      </c>
      <c r="T2247" s="51">
        <f>T1088</f>
        <v>0</v>
      </c>
      <c r="W2247" s="608">
        <f t="shared" si="2021"/>
        <v>26809000</v>
      </c>
      <c r="X2247" s="608">
        <f t="shared" si="2022"/>
        <v>0</v>
      </c>
      <c r="Z2247" s="572">
        <f t="shared" si="2027"/>
        <v>0</v>
      </c>
      <c r="AA2247" s="1">
        <f t="shared" si="2028"/>
        <v>0</v>
      </c>
    </row>
    <row r="2248" spans="1:27" x14ac:dyDescent="0.2">
      <c r="A2248" s="20" t="str">
        <f>A1089</f>
        <v>7.10.1.1 Développement d'un fichier des compétences nationales</v>
      </c>
      <c r="B2248" s="46"/>
      <c r="C2248" s="386">
        <f>C1089</f>
        <v>0</v>
      </c>
      <c r="D2248" s="168">
        <f t="shared" ref="D2248:D2311" si="2149">L2248/1000</f>
        <v>9</v>
      </c>
      <c r="E2248" s="168">
        <f t="shared" ref="E2248:E2311" si="2150">M2248/1000</f>
        <v>0</v>
      </c>
      <c r="F2248" s="168">
        <f t="shared" ref="F2248:F2311" si="2151">N2248/1000</f>
        <v>0</v>
      </c>
      <c r="G2248" s="168">
        <f t="shared" ref="G2248:G2311" si="2152">O2248/1000</f>
        <v>0</v>
      </c>
      <c r="H2248" s="168">
        <f t="shared" ref="H2248:H2311" si="2153">P2248/1000</f>
        <v>0</v>
      </c>
      <c r="I2248" s="166">
        <f t="shared" ref="I2248:I2311" si="2154">Q2248/1000</f>
        <v>9</v>
      </c>
      <c r="J2248" s="371" t="str">
        <f t="shared" ref="J2248:J2311" si="2155">R2248</f>
        <v>MESU-DEP</v>
      </c>
      <c r="K2248" s="350" t="str">
        <f t="shared" ref="K2248:K2311" si="2156">S2248</f>
        <v>GVT/BM</v>
      </c>
      <c r="L2248" s="167">
        <f t="shared" ref="L2248:Q2248" si="2157">L1089</f>
        <v>9000</v>
      </c>
      <c r="M2248" s="168">
        <f t="shared" si="2157"/>
        <v>0</v>
      </c>
      <c r="N2248" s="168">
        <f t="shared" si="2157"/>
        <v>0</v>
      </c>
      <c r="O2248" s="168">
        <f t="shared" si="2157"/>
        <v>0</v>
      </c>
      <c r="P2248" s="168">
        <f t="shared" si="2157"/>
        <v>0</v>
      </c>
      <c r="Q2248" s="165">
        <f t="shared" si="2157"/>
        <v>9000</v>
      </c>
      <c r="R2248" s="198" t="str">
        <f t="shared" ref="R2248:S2248" si="2158">R1089</f>
        <v>MESU-DEP</v>
      </c>
      <c r="S2248" s="197" t="str">
        <f t="shared" si="2158"/>
        <v>GVT/BM</v>
      </c>
      <c r="T2248" s="51">
        <f>T1089</f>
        <v>0</v>
      </c>
      <c r="W2248" s="608">
        <f t="shared" ref="W2248:W2311" si="2159">SUM(L2248:P2248)</f>
        <v>9000</v>
      </c>
      <c r="X2248" s="608">
        <f t="shared" ref="X2248:X2311" si="2160">W2248-Q2248</f>
        <v>0</v>
      </c>
      <c r="Z2248" s="572">
        <f t="shared" si="2027"/>
        <v>0</v>
      </c>
      <c r="AA2248" s="1">
        <f t="shared" si="2028"/>
        <v>0</v>
      </c>
    </row>
    <row r="2249" spans="1:27" x14ac:dyDescent="0.2">
      <c r="A2249" s="20" t="str">
        <f>A1091</f>
        <v>7.10.1.2 Recrutement de nouveaux enseignants et vacations</v>
      </c>
      <c r="B2249" s="46"/>
      <c r="C2249" s="386">
        <f>C1091</f>
        <v>0</v>
      </c>
      <c r="D2249" s="168">
        <f t="shared" si="2149"/>
        <v>5360</v>
      </c>
      <c r="E2249" s="168">
        <f t="shared" si="2150"/>
        <v>5360</v>
      </c>
      <c r="F2249" s="168">
        <f t="shared" si="2151"/>
        <v>5360</v>
      </c>
      <c r="G2249" s="168">
        <f t="shared" si="2152"/>
        <v>5360</v>
      </c>
      <c r="H2249" s="168">
        <f t="shared" si="2153"/>
        <v>5360</v>
      </c>
      <c r="I2249" s="166">
        <f t="shared" si="2154"/>
        <v>26800</v>
      </c>
      <c r="J2249" s="371" t="str">
        <f t="shared" si="2155"/>
        <v>MESU/DEP-DSG</v>
      </c>
      <c r="K2249" s="350" t="str">
        <f t="shared" si="2156"/>
        <v>GVT/BM</v>
      </c>
      <c r="L2249" s="167">
        <f t="shared" ref="L2249:T2249" si="2161">L1091</f>
        <v>5360000</v>
      </c>
      <c r="M2249" s="168">
        <f t="shared" si="2161"/>
        <v>5360000</v>
      </c>
      <c r="N2249" s="168">
        <f t="shared" si="2161"/>
        <v>5360000</v>
      </c>
      <c r="O2249" s="168">
        <f t="shared" si="2161"/>
        <v>5360000</v>
      </c>
      <c r="P2249" s="168">
        <f t="shared" si="2161"/>
        <v>5360000</v>
      </c>
      <c r="Q2249" s="165">
        <f t="shared" si="2161"/>
        <v>26800000</v>
      </c>
      <c r="R2249" s="198" t="str">
        <f t="shared" ref="R2249:S2249" si="2162">R1091</f>
        <v>MESU/DEP-DSG</v>
      </c>
      <c r="S2249" s="197" t="str">
        <f t="shared" si="2162"/>
        <v>GVT/BM</v>
      </c>
      <c r="T2249" s="51">
        <f t="shared" si="2161"/>
        <v>0</v>
      </c>
      <c r="W2249" s="608">
        <f t="shared" si="2159"/>
        <v>26800000</v>
      </c>
      <c r="X2249" s="608">
        <f t="shared" si="2160"/>
        <v>0</v>
      </c>
      <c r="Z2249" s="572">
        <f t="shared" si="2027"/>
        <v>0</v>
      </c>
      <c r="AA2249" s="1">
        <f t="shared" si="2028"/>
        <v>0</v>
      </c>
    </row>
    <row r="2250" spans="1:27" x14ac:dyDescent="0.2">
      <c r="A2250" s="17" t="str">
        <f>A1094</f>
        <v>7.10.2 Mise en place du système d’octroi des bourses doctorales locales</v>
      </c>
      <c r="B2250" s="45"/>
      <c r="C2250" s="386" t="str">
        <f>C1094</f>
        <v>1000 bourses sont attribuées chaque année aux enseignants/chercheurs inscrits dans les écoles doctorales</v>
      </c>
      <c r="D2250" s="157">
        <f t="shared" si="2149"/>
        <v>208.5</v>
      </c>
      <c r="E2250" s="157">
        <f t="shared" si="2150"/>
        <v>250</v>
      </c>
      <c r="F2250" s="157">
        <f t="shared" si="2151"/>
        <v>300</v>
      </c>
      <c r="G2250" s="157">
        <f t="shared" si="2152"/>
        <v>350</v>
      </c>
      <c r="H2250" s="157">
        <f t="shared" si="2153"/>
        <v>400</v>
      </c>
      <c r="I2250" s="160">
        <f t="shared" si="2154"/>
        <v>1508.5</v>
      </c>
      <c r="J2250" s="374">
        <f t="shared" si="2155"/>
        <v>0</v>
      </c>
      <c r="K2250" s="348">
        <f t="shared" si="2156"/>
        <v>0</v>
      </c>
      <c r="L2250" s="35">
        <f t="shared" ref="L2250:Q2250" si="2163">SUM(L2251:L2252)</f>
        <v>208500</v>
      </c>
      <c r="M2250" s="34">
        <f t="shared" si="2163"/>
        <v>250000</v>
      </c>
      <c r="N2250" s="34">
        <f t="shared" si="2163"/>
        <v>300000</v>
      </c>
      <c r="O2250" s="34">
        <f t="shared" si="2163"/>
        <v>350000</v>
      </c>
      <c r="P2250" s="34">
        <f t="shared" si="2163"/>
        <v>400000</v>
      </c>
      <c r="Q2250" s="26">
        <f t="shared" si="2163"/>
        <v>1508500</v>
      </c>
      <c r="R2250" s="19">
        <f t="shared" ref="R2250:S2250" si="2164">SUM(R2251:R2252)</f>
        <v>0</v>
      </c>
      <c r="S2250" s="18">
        <f t="shared" si="2164"/>
        <v>0</v>
      </c>
      <c r="T2250" s="51">
        <f>T1094</f>
        <v>0</v>
      </c>
      <c r="W2250" s="608">
        <f t="shared" si="2159"/>
        <v>1508500</v>
      </c>
      <c r="X2250" s="608">
        <f t="shared" si="2160"/>
        <v>0</v>
      </c>
      <c r="Z2250" s="572">
        <f t="shared" ref="Z2250:Z2313" si="2165">IF($Y2250="P",$I2250,)</f>
        <v>0</v>
      </c>
      <c r="AA2250" s="1">
        <f t="shared" ref="AA2250:AA2313" si="2166">IF($Y2250="G",$I2250,)</f>
        <v>0</v>
      </c>
    </row>
    <row r="2251" spans="1:27" x14ac:dyDescent="0.2">
      <c r="A2251" s="20" t="str">
        <f>A1095</f>
        <v>7.10.2.1 Étude de définition du dispositif</v>
      </c>
      <c r="B2251" s="46"/>
      <c r="C2251" s="386">
        <f>C1095</f>
        <v>0</v>
      </c>
      <c r="D2251" s="168">
        <f t="shared" si="2149"/>
        <v>8.5</v>
      </c>
      <c r="E2251" s="168">
        <f t="shared" si="2150"/>
        <v>0</v>
      </c>
      <c r="F2251" s="168">
        <f t="shared" si="2151"/>
        <v>0</v>
      </c>
      <c r="G2251" s="168">
        <f t="shared" si="2152"/>
        <v>0</v>
      </c>
      <c r="H2251" s="168">
        <f t="shared" si="2153"/>
        <v>0</v>
      </c>
      <c r="I2251" s="166">
        <f t="shared" si="2154"/>
        <v>8.5</v>
      </c>
      <c r="J2251" s="371" t="str">
        <f t="shared" si="2155"/>
        <v>MESU/DEP-DSA</v>
      </c>
      <c r="K2251" s="350" t="str">
        <f t="shared" si="2156"/>
        <v>GVT/BM</v>
      </c>
      <c r="L2251" s="167">
        <f t="shared" ref="L2251:Q2251" si="2167">L1095</f>
        <v>8500</v>
      </c>
      <c r="M2251" s="168">
        <f t="shared" si="2167"/>
        <v>0</v>
      </c>
      <c r="N2251" s="168">
        <f t="shared" si="2167"/>
        <v>0</v>
      </c>
      <c r="O2251" s="168">
        <f t="shared" si="2167"/>
        <v>0</v>
      </c>
      <c r="P2251" s="168">
        <f t="shared" si="2167"/>
        <v>0</v>
      </c>
      <c r="Q2251" s="165">
        <f t="shared" si="2167"/>
        <v>8500</v>
      </c>
      <c r="R2251" s="198" t="str">
        <f t="shared" ref="R2251:S2251" si="2168">R1095</f>
        <v>MESU/DEP-DSA</v>
      </c>
      <c r="S2251" s="197" t="str">
        <f t="shared" si="2168"/>
        <v>GVT/BM</v>
      </c>
      <c r="T2251" s="51">
        <f>T1095</f>
        <v>0</v>
      </c>
      <c r="W2251" s="608">
        <f t="shared" si="2159"/>
        <v>8500</v>
      </c>
      <c r="X2251" s="608">
        <f t="shared" si="2160"/>
        <v>0</v>
      </c>
      <c r="Z2251" s="572">
        <f t="shared" si="2165"/>
        <v>0</v>
      </c>
      <c r="AA2251" s="1">
        <f t="shared" si="2166"/>
        <v>0</v>
      </c>
    </row>
    <row r="2252" spans="1:27" x14ac:dyDescent="0.2">
      <c r="A2252" s="20" t="str">
        <f>A1098</f>
        <v>7.10.2.2 Assurer l'octroi des bourses doctorales</v>
      </c>
      <c r="B2252" s="46"/>
      <c r="C2252" s="386">
        <f>C1098</f>
        <v>0</v>
      </c>
      <c r="D2252" s="168">
        <f t="shared" si="2149"/>
        <v>200</v>
      </c>
      <c r="E2252" s="168">
        <f t="shared" si="2150"/>
        <v>250</v>
      </c>
      <c r="F2252" s="168">
        <f t="shared" si="2151"/>
        <v>300</v>
      </c>
      <c r="G2252" s="168">
        <f t="shared" si="2152"/>
        <v>350</v>
      </c>
      <c r="H2252" s="168">
        <f t="shared" si="2153"/>
        <v>400</v>
      </c>
      <c r="I2252" s="166">
        <f t="shared" si="2154"/>
        <v>1500</v>
      </c>
      <c r="J2252" s="371" t="str">
        <f t="shared" si="2155"/>
        <v>MESU-DSA</v>
      </c>
      <c r="K2252" s="350" t="str">
        <f t="shared" si="2156"/>
        <v>GVT/BM</v>
      </c>
      <c r="L2252" s="167">
        <f t="shared" ref="L2252:T2252" si="2169">L1098</f>
        <v>200000</v>
      </c>
      <c r="M2252" s="168">
        <f t="shared" si="2169"/>
        <v>250000</v>
      </c>
      <c r="N2252" s="168">
        <f t="shared" si="2169"/>
        <v>300000</v>
      </c>
      <c r="O2252" s="168">
        <f t="shared" si="2169"/>
        <v>350000</v>
      </c>
      <c r="P2252" s="168">
        <f t="shared" si="2169"/>
        <v>400000</v>
      </c>
      <c r="Q2252" s="165">
        <f t="shared" si="2169"/>
        <v>1500000</v>
      </c>
      <c r="R2252" s="198" t="str">
        <f t="shared" ref="R2252:S2252" si="2170">R1098</f>
        <v>MESU-DSA</v>
      </c>
      <c r="S2252" s="197" t="str">
        <f t="shared" si="2170"/>
        <v>GVT/BM</v>
      </c>
      <c r="T2252" s="51">
        <f t="shared" si="2169"/>
        <v>0</v>
      </c>
      <c r="W2252" s="608">
        <f t="shared" si="2159"/>
        <v>1500000</v>
      </c>
      <c r="X2252" s="608">
        <f t="shared" si="2160"/>
        <v>0</v>
      </c>
      <c r="Z2252" s="572">
        <f t="shared" si="2165"/>
        <v>0</v>
      </c>
      <c r="AA2252" s="1">
        <f t="shared" si="2166"/>
        <v>0</v>
      </c>
    </row>
    <row r="2253" spans="1:27" x14ac:dyDescent="0.2">
      <c r="A2253" s="14" t="str">
        <f>A1100</f>
        <v>7.11 Restructuration et réorganisation du Système</v>
      </c>
      <c r="B2253" s="44"/>
      <c r="C2253" s="385">
        <f>C1100</f>
        <v>0</v>
      </c>
      <c r="D2253" s="217">
        <f t="shared" si="2149"/>
        <v>733.7</v>
      </c>
      <c r="E2253" s="217">
        <f t="shared" si="2150"/>
        <v>2254.85</v>
      </c>
      <c r="F2253" s="217">
        <f t="shared" si="2151"/>
        <v>1684.35</v>
      </c>
      <c r="G2253" s="217">
        <f t="shared" si="2152"/>
        <v>936</v>
      </c>
      <c r="H2253" s="217">
        <f t="shared" si="2153"/>
        <v>936</v>
      </c>
      <c r="I2253" s="220">
        <f t="shared" si="2154"/>
        <v>6544.9</v>
      </c>
      <c r="J2253" s="373">
        <f t="shared" si="2155"/>
        <v>0</v>
      </c>
      <c r="K2253" s="346">
        <f t="shared" si="2156"/>
        <v>0</v>
      </c>
      <c r="L2253" s="33">
        <f t="shared" ref="L2253:Q2253" si="2171">L2254+L2256+L2258+L2260+L2263</f>
        <v>733700</v>
      </c>
      <c r="M2253" s="32">
        <f t="shared" si="2171"/>
        <v>2254850</v>
      </c>
      <c r="N2253" s="32">
        <f t="shared" si="2171"/>
        <v>1684350</v>
      </c>
      <c r="O2253" s="32">
        <f t="shared" si="2171"/>
        <v>936000</v>
      </c>
      <c r="P2253" s="32">
        <f t="shared" si="2171"/>
        <v>936000</v>
      </c>
      <c r="Q2253" s="25">
        <f t="shared" si="2171"/>
        <v>6544900</v>
      </c>
      <c r="R2253" s="515">
        <f t="shared" ref="R2253:S2253" si="2172">R2254+R2256+R2258+R2260+R2263</f>
        <v>0</v>
      </c>
      <c r="S2253" s="145">
        <f t="shared" si="2172"/>
        <v>0</v>
      </c>
      <c r="T2253" s="49">
        <f>T1100</f>
        <v>3</v>
      </c>
      <c r="W2253" s="608">
        <f t="shared" si="2159"/>
        <v>6544900</v>
      </c>
      <c r="X2253" s="608">
        <f t="shared" si="2160"/>
        <v>0</v>
      </c>
      <c r="Y2253" s="572" t="s">
        <v>1513</v>
      </c>
      <c r="Z2253" s="572">
        <f t="shared" si="2165"/>
        <v>0</v>
      </c>
      <c r="AA2253" s="1">
        <f t="shared" si="2166"/>
        <v>6544.9</v>
      </c>
    </row>
    <row r="2254" spans="1:27" x14ac:dyDescent="0.2">
      <c r="A2254" s="17" t="str">
        <f>A1101</f>
        <v xml:space="preserve">7.11.1 Élaboration du cadre normatif susceptible d'arrimer les systèmes d'ESU aux standards internationaux </v>
      </c>
      <c r="B2254" s="45"/>
      <c r="C2254" s="386">
        <f>C1101</f>
        <v>0</v>
      </c>
      <c r="D2254" s="157">
        <f t="shared" si="2149"/>
        <v>47.85</v>
      </c>
      <c r="E2254" s="157">
        <f t="shared" si="2150"/>
        <v>0</v>
      </c>
      <c r="F2254" s="157">
        <f t="shared" si="2151"/>
        <v>0</v>
      </c>
      <c r="G2254" s="157">
        <f t="shared" si="2152"/>
        <v>0</v>
      </c>
      <c r="H2254" s="157">
        <f t="shared" si="2153"/>
        <v>0</v>
      </c>
      <c r="I2254" s="160">
        <f t="shared" si="2154"/>
        <v>47.85</v>
      </c>
      <c r="J2254" s="374">
        <f t="shared" si="2155"/>
        <v>0</v>
      </c>
      <c r="K2254" s="348">
        <f t="shared" si="2156"/>
        <v>0</v>
      </c>
      <c r="L2254" s="35">
        <f t="shared" ref="L2254:S2254" si="2173">SUM(L2255:L2255)</f>
        <v>47850</v>
      </c>
      <c r="M2254" s="34">
        <f t="shared" si="2173"/>
        <v>0</v>
      </c>
      <c r="N2254" s="34">
        <f t="shared" si="2173"/>
        <v>0</v>
      </c>
      <c r="O2254" s="34">
        <f t="shared" si="2173"/>
        <v>0</v>
      </c>
      <c r="P2254" s="34">
        <f t="shared" si="2173"/>
        <v>0</v>
      </c>
      <c r="Q2254" s="26">
        <f t="shared" si="2173"/>
        <v>47850</v>
      </c>
      <c r="R2254" s="209">
        <f t="shared" si="2173"/>
        <v>0</v>
      </c>
      <c r="S2254" s="116">
        <f t="shared" si="2173"/>
        <v>0</v>
      </c>
      <c r="T2254" s="50">
        <f>T1101</f>
        <v>0</v>
      </c>
      <c r="W2254" s="608">
        <f t="shared" si="2159"/>
        <v>47850</v>
      </c>
      <c r="X2254" s="608">
        <f t="shared" si="2160"/>
        <v>0</v>
      </c>
      <c r="Y2254" s="572" t="s">
        <v>1513</v>
      </c>
      <c r="Z2254" s="572">
        <f t="shared" si="2165"/>
        <v>0</v>
      </c>
      <c r="AA2254" s="1">
        <f t="shared" si="2166"/>
        <v>47.85</v>
      </c>
    </row>
    <row r="2255" spans="1:27" x14ac:dyDescent="0.2">
      <c r="A2255" s="20" t="str">
        <f>A1102</f>
        <v>7.11.1.1 Étude d'élaboration du cadre normatif avec une cellule d'experts</v>
      </c>
      <c r="B2255" s="149"/>
      <c r="C2255" s="386">
        <f>C1102</f>
        <v>0</v>
      </c>
      <c r="D2255" s="168">
        <f t="shared" si="2149"/>
        <v>47.85</v>
      </c>
      <c r="E2255" s="168">
        <f t="shared" si="2150"/>
        <v>0</v>
      </c>
      <c r="F2255" s="168">
        <f t="shared" si="2151"/>
        <v>0</v>
      </c>
      <c r="G2255" s="168">
        <f t="shared" si="2152"/>
        <v>0</v>
      </c>
      <c r="H2255" s="168">
        <f t="shared" si="2153"/>
        <v>0</v>
      </c>
      <c r="I2255" s="166">
        <f t="shared" si="2154"/>
        <v>47.85</v>
      </c>
      <c r="J2255" s="371" t="str">
        <f t="shared" si="2155"/>
        <v>MESU/DEP-CPE</v>
      </c>
      <c r="K2255" s="350" t="str">
        <f t="shared" si="2156"/>
        <v>BM/GIZ</v>
      </c>
      <c r="L2255" s="167">
        <f t="shared" ref="L2255:Q2255" si="2174">L1102</f>
        <v>47850</v>
      </c>
      <c r="M2255" s="36">
        <f t="shared" si="2174"/>
        <v>0</v>
      </c>
      <c r="N2255" s="36">
        <f t="shared" si="2174"/>
        <v>0</v>
      </c>
      <c r="O2255" s="36">
        <f t="shared" si="2174"/>
        <v>0</v>
      </c>
      <c r="P2255" s="36">
        <f t="shared" si="2174"/>
        <v>0</v>
      </c>
      <c r="Q2255" s="27">
        <f t="shared" si="2174"/>
        <v>47850</v>
      </c>
      <c r="R2255" s="198" t="str">
        <f t="shared" ref="R2255:S2255" si="2175">R1102</f>
        <v>MESU/DEP-CPE</v>
      </c>
      <c r="S2255" s="197" t="str">
        <f t="shared" si="2175"/>
        <v>BM/GIZ</v>
      </c>
      <c r="T2255" s="51">
        <f>T1102</f>
        <v>0</v>
      </c>
      <c r="W2255" s="608">
        <f t="shared" si="2159"/>
        <v>47850</v>
      </c>
      <c r="X2255" s="608">
        <f t="shared" si="2160"/>
        <v>0</v>
      </c>
      <c r="Y2255" s="572" t="s">
        <v>1513</v>
      </c>
      <c r="Z2255" s="572">
        <f t="shared" si="2165"/>
        <v>0</v>
      </c>
      <c r="AA2255" s="1">
        <f t="shared" si="2166"/>
        <v>47.85</v>
      </c>
    </row>
    <row r="2256" spans="1:27" x14ac:dyDescent="0.2">
      <c r="A2256" s="17" t="str">
        <f>A1107</f>
        <v xml:space="preserve">7.11.2 Organisation des états généraux de l'ESU </v>
      </c>
      <c r="B2256" s="45"/>
      <c r="C2256" s="386">
        <f>C1107</f>
        <v>0</v>
      </c>
      <c r="D2256" s="157">
        <f t="shared" si="2149"/>
        <v>234.5</v>
      </c>
      <c r="E2256" s="157">
        <f t="shared" si="2150"/>
        <v>0</v>
      </c>
      <c r="F2256" s="157">
        <f t="shared" si="2151"/>
        <v>0</v>
      </c>
      <c r="G2256" s="157">
        <f t="shared" si="2152"/>
        <v>0</v>
      </c>
      <c r="H2256" s="157">
        <f t="shared" si="2153"/>
        <v>0</v>
      </c>
      <c r="I2256" s="160">
        <f t="shared" si="2154"/>
        <v>234.5</v>
      </c>
      <c r="J2256" s="374">
        <f t="shared" si="2155"/>
        <v>0</v>
      </c>
      <c r="K2256" s="348">
        <f t="shared" si="2156"/>
        <v>0</v>
      </c>
      <c r="L2256" s="35">
        <f t="shared" ref="L2256:S2256" si="2176">SUM(L2257:L2257)</f>
        <v>234500</v>
      </c>
      <c r="M2256" s="34">
        <f t="shared" si="2176"/>
        <v>0</v>
      </c>
      <c r="N2256" s="34">
        <f t="shared" si="2176"/>
        <v>0</v>
      </c>
      <c r="O2256" s="34">
        <f t="shared" si="2176"/>
        <v>0</v>
      </c>
      <c r="P2256" s="34">
        <f t="shared" si="2176"/>
        <v>0</v>
      </c>
      <c r="Q2256" s="26">
        <f t="shared" si="2176"/>
        <v>234500</v>
      </c>
      <c r="R2256" s="209">
        <f t="shared" si="2176"/>
        <v>0</v>
      </c>
      <c r="S2256" s="116">
        <f t="shared" si="2176"/>
        <v>0</v>
      </c>
      <c r="T2256" s="50">
        <f>T1107</f>
        <v>0</v>
      </c>
      <c r="W2256" s="608">
        <f t="shared" si="2159"/>
        <v>234500</v>
      </c>
      <c r="X2256" s="608">
        <f t="shared" si="2160"/>
        <v>0</v>
      </c>
      <c r="Y2256" s="572" t="s">
        <v>1513</v>
      </c>
      <c r="Z2256" s="572">
        <f t="shared" si="2165"/>
        <v>0</v>
      </c>
      <c r="AA2256" s="1">
        <f t="shared" si="2166"/>
        <v>234.5</v>
      </c>
    </row>
    <row r="2257" spans="1:27" x14ac:dyDescent="0.2">
      <c r="A2257" s="20" t="str">
        <f>A1108</f>
        <v>7.11.2.1 Organisation et tenue des états généraux de l'enseignement supérieur</v>
      </c>
      <c r="B2257" s="149"/>
      <c r="C2257" s="386">
        <f>C1108</f>
        <v>0</v>
      </c>
      <c r="D2257" s="168">
        <f t="shared" si="2149"/>
        <v>234.5</v>
      </c>
      <c r="E2257" s="168">
        <f t="shared" si="2150"/>
        <v>0</v>
      </c>
      <c r="F2257" s="168">
        <f t="shared" si="2151"/>
        <v>0</v>
      </c>
      <c r="G2257" s="168">
        <f t="shared" si="2152"/>
        <v>0</v>
      </c>
      <c r="H2257" s="168">
        <f t="shared" si="2153"/>
        <v>0</v>
      </c>
      <c r="I2257" s="166">
        <f t="shared" si="2154"/>
        <v>234.5</v>
      </c>
      <c r="J2257" s="371" t="str">
        <f t="shared" si="2155"/>
        <v>MESU-DEP</v>
      </c>
      <c r="K2257" s="350" t="str">
        <f t="shared" si="2156"/>
        <v>GVT</v>
      </c>
      <c r="L2257" s="167">
        <f t="shared" ref="L2257:Q2257" si="2177">L1108</f>
        <v>234500</v>
      </c>
      <c r="M2257" s="36">
        <f t="shared" si="2177"/>
        <v>0</v>
      </c>
      <c r="N2257" s="36">
        <f t="shared" si="2177"/>
        <v>0</v>
      </c>
      <c r="O2257" s="36">
        <f t="shared" si="2177"/>
        <v>0</v>
      </c>
      <c r="P2257" s="36">
        <f t="shared" si="2177"/>
        <v>0</v>
      </c>
      <c r="Q2257" s="27">
        <f t="shared" si="2177"/>
        <v>234500</v>
      </c>
      <c r="R2257" s="198" t="str">
        <f t="shared" ref="R2257:S2257" si="2178">R1108</f>
        <v>MESU-DEP</v>
      </c>
      <c r="S2257" s="197" t="str">
        <f t="shared" si="2178"/>
        <v>GVT</v>
      </c>
      <c r="T2257" s="51">
        <f>T1108</f>
        <v>0</v>
      </c>
      <c r="W2257" s="608">
        <f t="shared" si="2159"/>
        <v>234500</v>
      </c>
      <c r="X2257" s="608">
        <f t="shared" si="2160"/>
        <v>0</v>
      </c>
      <c r="Y2257" s="572" t="s">
        <v>1513</v>
      </c>
      <c r="Z2257" s="572">
        <f t="shared" si="2165"/>
        <v>0</v>
      </c>
      <c r="AA2257" s="1">
        <f t="shared" si="2166"/>
        <v>234.5</v>
      </c>
    </row>
    <row r="2258" spans="1:27" x14ac:dyDescent="0.2">
      <c r="A2258" s="17" t="str">
        <f>A1113</f>
        <v>7.11.3 Redimensionnement et réorganisation des EES publics</v>
      </c>
      <c r="B2258" s="45"/>
      <c r="C2258" s="386">
        <f>C1113</f>
        <v>0</v>
      </c>
      <c r="D2258" s="157">
        <f t="shared" si="2149"/>
        <v>106.5</v>
      </c>
      <c r="E2258" s="157">
        <f t="shared" si="2150"/>
        <v>0</v>
      </c>
      <c r="F2258" s="157">
        <f t="shared" si="2151"/>
        <v>0</v>
      </c>
      <c r="G2258" s="157">
        <f t="shared" si="2152"/>
        <v>0</v>
      </c>
      <c r="H2258" s="157">
        <f t="shared" si="2153"/>
        <v>0</v>
      </c>
      <c r="I2258" s="160">
        <f t="shared" si="2154"/>
        <v>106.5</v>
      </c>
      <c r="J2258" s="374">
        <f t="shared" si="2155"/>
        <v>0</v>
      </c>
      <c r="K2258" s="348">
        <f t="shared" si="2156"/>
        <v>0</v>
      </c>
      <c r="L2258" s="35">
        <f t="shared" ref="L2258:S2258" si="2179">SUM(L2259:L2259)</f>
        <v>106500</v>
      </c>
      <c r="M2258" s="34">
        <f t="shared" si="2179"/>
        <v>0</v>
      </c>
      <c r="N2258" s="34">
        <f t="shared" si="2179"/>
        <v>0</v>
      </c>
      <c r="O2258" s="34">
        <f t="shared" si="2179"/>
        <v>0</v>
      </c>
      <c r="P2258" s="34">
        <f t="shared" si="2179"/>
        <v>0</v>
      </c>
      <c r="Q2258" s="26">
        <f t="shared" si="2179"/>
        <v>106500</v>
      </c>
      <c r="R2258" s="209">
        <f t="shared" si="2179"/>
        <v>0</v>
      </c>
      <c r="S2258" s="116">
        <f t="shared" si="2179"/>
        <v>0</v>
      </c>
      <c r="T2258" s="50">
        <f>T1113</f>
        <v>0</v>
      </c>
      <c r="W2258" s="608">
        <f t="shared" si="2159"/>
        <v>106500</v>
      </c>
      <c r="X2258" s="608">
        <f t="shared" si="2160"/>
        <v>0</v>
      </c>
      <c r="Y2258" s="572" t="s">
        <v>1513</v>
      </c>
      <c r="Z2258" s="572">
        <f t="shared" si="2165"/>
        <v>0</v>
      </c>
      <c r="AA2258" s="1">
        <f t="shared" si="2166"/>
        <v>106.5</v>
      </c>
    </row>
    <row r="2259" spans="1:27" x14ac:dyDescent="0.2">
      <c r="A2259" s="123" t="str">
        <f>A1114</f>
        <v xml:space="preserve">7.11.4.1 Étude sur le dimensionnement et l'organisation des EES publics </v>
      </c>
      <c r="B2259" s="152"/>
      <c r="C2259" s="389">
        <f>C1114</f>
        <v>0</v>
      </c>
      <c r="D2259" s="157">
        <f t="shared" si="2149"/>
        <v>106.5</v>
      </c>
      <c r="E2259" s="157">
        <f t="shared" si="2150"/>
        <v>0</v>
      </c>
      <c r="F2259" s="157">
        <f t="shared" si="2151"/>
        <v>0</v>
      </c>
      <c r="G2259" s="157">
        <f t="shared" si="2152"/>
        <v>0</v>
      </c>
      <c r="H2259" s="157">
        <f t="shared" si="2153"/>
        <v>0</v>
      </c>
      <c r="I2259" s="160">
        <f t="shared" si="2154"/>
        <v>106.5</v>
      </c>
      <c r="J2259" s="374" t="str">
        <f t="shared" si="2155"/>
        <v>MESU-DEP</v>
      </c>
      <c r="K2259" s="341" t="str">
        <f t="shared" si="2156"/>
        <v>BM</v>
      </c>
      <c r="L2259" s="167">
        <f t="shared" ref="L2259:Q2259" si="2180">L1114</f>
        <v>106500</v>
      </c>
      <c r="M2259" s="36">
        <f t="shared" si="2180"/>
        <v>0</v>
      </c>
      <c r="N2259" s="36">
        <f t="shared" si="2180"/>
        <v>0</v>
      </c>
      <c r="O2259" s="36">
        <f t="shared" si="2180"/>
        <v>0</v>
      </c>
      <c r="P2259" s="36">
        <f t="shared" si="2180"/>
        <v>0</v>
      </c>
      <c r="Q2259" s="27">
        <f t="shared" si="2180"/>
        <v>106500</v>
      </c>
      <c r="R2259" s="198" t="str">
        <f t="shared" ref="R2259:S2259" si="2181">R1114</f>
        <v>MESU-DEP</v>
      </c>
      <c r="S2259" s="197" t="str">
        <f t="shared" si="2181"/>
        <v>BM</v>
      </c>
      <c r="T2259" s="154">
        <f>T1114</f>
        <v>0</v>
      </c>
      <c r="W2259" s="608">
        <f t="shared" si="2159"/>
        <v>106500</v>
      </c>
      <c r="X2259" s="608">
        <f t="shared" si="2160"/>
        <v>0</v>
      </c>
      <c r="Y2259" s="572" t="s">
        <v>1513</v>
      </c>
      <c r="Z2259" s="572">
        <f t="shared" si="2165"/>
        <v>0</v>
      </c>
      <c r="AA2259" s="1">
        <f t="shared" si="2166"/>
        <v>106.5</v>
      </c>
    </row>
    <row r="2260" spans="1:27" x14ac:dyDescent="0.2">
      <c r="A2260" s="17" t="str">
        <f>A1118</f>
        <v>7.11.4 Renforcement des audits internes et externes de la gestion des EES</v>
      </c>
      <c r="B2260" s="45"/>
      <c r="C2260" s="386">
        <f>C1118</f>
        <v>0</v>
      </c>
      <c r="D2260" s="157">
        <f t="shared" si="2149"/>
        <v>13.35</v>
      </c>
      <c r="E2260" s="157">
        <f t="shared" si="2150"/>
        <v>21</v>
      </c>
      <c r="F2260" s="157">
        <f t="shared" si="2151"/>
        <v>0</v>
      </c>
      <c r="G2260" s="157">
        <f t="shared" si="2152"/>
        <v>0</v>
      </c>
      <c r="H2260" s="157">
        <f t="shared" si="2153"/>
        <v>0</v>
      </c>
      <c r="I2260" s="160">
        <f t="shared" si="2154"/>
        <v>34.35</v>
      </c>
      <c r="J2260" s="374">
        <f t="shared" si="2155"/>
        <v>0</v>
      </c>
      <c r="K2260" s="348">
        <f t="shared" si="2156"/>
        <v>0</v>
      </c>
      <c r="L2260" s="35">
        <f t="shared" ref="L2260:Q2260" si="2182">SUM(L2261:L2262)</f>
        <v>13350</v>
      </c>
      <c r="M2260" s="34">
        <f t="shared" si="2182"/>
        <v>21000</v>
      </c>
      <c r="N2260" s="34">
        <f t="shared" si="2182"/>
        <v>0</v>
      </c>
      <c r="O2260" s="34">
        <f t="shared" si="2182"/>
        <v>0</v>
      </c>
      <c r="P2260" s="34">
        <f t="shared" si="2182"/>
        <v>0</v>
      </c>
      <c r="Q2260" s="26">
        <f t="shared" si="2182"/>
        <v>34350</v>
      </c>
      <c r="R2260" s="209">
        <f t="shared" ref="R2260:S2260" si="2183">SUM(R2261:R2262)</f>
        <v>0</v>
      </c>
      <c r="S2260" s="116">
        <f t="shared" si="2183"/>
        <v>0</v>
      </c>
      <c r="T2260" s="50">
        <f>T1118</f>
        <v>0</v>
      </c>
      <c r="W2260" s="608">
        <f t="shared" si="2159"/>
        <v>34350</v>
      </c>
      <c r="X2260" s="608">
        <f t="shared" si="2160"/>
        <v>0</v>
      </c>
      <c r="Y2260" s="572" t="s">
        <v>1513</v>
      </c>
      <c r="Z2260" s="572">
        <f t="shared" si="2165"/>
        <v>0</v>
      </c>
      <c r="AA2260" s="1">
        <f t="shared" si="2166"/>
        <v>34.35</v>
      </c>
    </row>
    <row r="2261" spans="1:27" x14ac:dyDescent="0.2">
      <c r="A2261" s="123" t="str">
        <f>A1119</f>
        <v>7.11.4.1 Définir les modèles d'audits interne et externe</v>
      </c>
      <c r="B2261" s="152"/>
      <c r="C2261" s="389">
        <f>C1119</f>
        <v>0</v>
      </c>
      <c r="D2261" s="157">
        <f t="shared" si="2149"/>
        <v>13.35</v>
      </c>
      <c r="E2261" s="157">
        <f t="shared" si="2150"/>
        <v>0</v>
      </c>
      <c r="F2261" s="157">
        <f t="shared" si="2151"/>
        <v>0</v>
      </c>
      <c r="G2261" s="157">
        <f t="shared" si="2152"/>
        <v>0</v>
      </c>
      <c r="H2261" s="157">
        <f t="shared" si="2153"/>
        <v>0</v>
      </c>
      <c r="I2261" s="160">
        <f t="shared" si="2154"/>
        <v>13.35</v>
      </c>
      <c r="J2261" s="374" t="str">
        <f t="shared" si="2155"/>
        <v>MESU-DEP</v>
      </c>
      <c r="K2261" s="341" t="str">
        <f t="shared" si="2156"/>
        <v>GVT</v>
      </c>
      <c r="L2261" s="167">
        <f t="shared" ref="L2261:Q2261" si="2184">L1119</f>
        <v>13350</v>
      </c>
      <c r="M2261" s="36">
        <f t="shared" si="2184"/>
        <v>0</v>
      </c>
      <c r="N2261" s="36">
        <f t="shared" si="2184"/>
        <v>0</v>
      </c>
      <c r="O2261" s="36">
        <f t="shared" si="2184"/>
        <v>0</v>
      </c>
      <c r="P2261" s="36">
        <f t="shared" si="2184"/>
        <v>0</v>
      </c>
      <c r="Q2261" s="27">
        <f t="shared" si="2184"/>
        <v>13350</v>
      </c>
      <c r="R2261" s="198" t="str">
        <f t="shared" ref="R2261:S2261" si="2185">R1119</f>
        <v>MESU-DEP</v>
      </c>
      <c r="S2261" s="197" t="str">
        <f t="shared" si="2185"/>
        <v>GVT</v>
      </c>
      <c r="T2261" s="154">
        <f>T1119</f>
        <v>0</v>
      </c>
      <c r="W2261" s="608">
        <f t="shared" si="2159"/>
        <v>13350</v>
      </c>
      <c r="X2261" s="608">
        <f t="shared" si="2160"/>
        <v>0</v>
      </c>
      <c r="Y2261" s="572" t="s">
        <v>1513</v>
      </c>
      <c r="Z2261" s="572">
        <f t="shared" si="2165"/>
        <v>0</v>
      </c>
      <c r="AA2261" s="1">
        <f t="shared" si="2166"/>
        <v>13.35</v>
      </c>
    </row>
    <row r="2262" spans="1:27" x14ac:dyDescent="0.2">
      <c r="A2262" s="123" t="str">
        <f>A1123</f>
        <v>7.11.4.2 Formation aux méthodes d'audit interne</v>
      </c>
      <c r="B2262" s="152"/>
      <c r="C2262" s="389">
        <f>C1123</f>
        <v>0</v>
      </c>
      <c r="D2262" s="157">
        <f t="shared" si="2149"/>
        <v>0</v>
      </c>
      <c r="E2262" s="157">
        <f t="shared" si="2150"/>
        <v>21</v>
      </c>
      <c r="F2262" s="157">
        <f t="shared" si="2151"/>
        <v>0</v>
      </c>
      <c r="G2262" s="157">
        <f t="shared" si="2152"/>
        <v>0</v>
      </c>
      <c r="H2262" s="157">
        <f t="shared" si="2153"/>
        <v>0</v>
      </c>
      <c r="I2262" s="160">
        <f t="shared" si="2154"/>
        <v>21</v>
      </c>
      <c r="J2262" s="374" t="str">
        <f t="shared" si="2155"/>
        <v>MESU-DEP</v>
      </c>
      <c r="K2262" s="341" t="str">
        <f t="shared" si="2156"/>
        <v>GVT</v>
      </c>
      <c r="L2262" s="167">
        <f t="shared" ref="L2262:T2262" si="2186">L1123</f>
        <v>0</v>
      </c>
      <c r="M2262" s="36">
        <f t="shared" si="2186"/>
        <v>21000</v>
      </c>
      <c r="N2262" s="36">
        <f t="shared" si="2186"/>
        <v>0</v>
      </c>
      <c r="O2262" s="36">
        <f t="shared" si="2186"/>
        <v>0</v>
      </c>
      <c r="P2262" s="36">
        <f t="shared" si="2186"/>
        <v>0</v>
      </c>
      <c r="Q2262" s="27">
        <f t="shared" si="2186"/>
        <v>21000</v>
      </c>
      <c r="R2262" s="198" t="str">
        <f t="shared" ref="R2262:S2262" si="2187">R1123</f>
        <v>MESU-DEP</v>
      </c>
      <c r="S2262" s="197" t="str">
        <f t="shared" si="2187"/>
        <v>GVT</v>
      </c>
      <c r="T2262" s="154">
        <f t="shared" si="2186"/>
        <v>0</v>
      </c>
      <c r="W2262" s="608">
        <f t="shared" si="2159"/>
        <v>21000</v>
      </c>
      <c r="X2262" s="608">
        <f t="shared" si="2160"/>
        <v>0</v>
      </c>
      <c r="Y2262" s="572" t="s">
        <v>1513</v>
      </c>
      <c r="Z2262" s="572">
        <f t="shared" si="2165"/>
        <v>0</v>
      </c>
      <c r="AA2262" s="1">
        <f t="shared" si="2166"/>
        <v>21</v>
      </c>
    </row>
    <row r="2263" spans="1:27" x14ac:dyDescent="0.2">
      <c r="A2263" s="17" t="str">
        <f>A1127</f>
        <v xml:space="preserve">7.11.5 Poursuite des Audits Organisationnels et enquête de viabilité ainsi que des contrôles de scolarité </v>
      </c>
      <c r="B2263" s="45"/>
      <c r="C2263" s="386" t="str">
        <f>C1127</f>
        <v>En 2025 tous les EES ont fait l'objet d'audits organisationnels de viabilité et de la scolarité</v>
      </c>
      <c r="D2263" s="157">
        <f t="shared" si="2149"/>
        <v>331.5</v>
      </c>
      <c r="E2263" s="157">
        <f t="shared" si="2150"/>
        <v>2233.85</v>
      </c>
      <c r="F2263" s="157">
        <f t="shared" si="2151"/>
        <v>1684.35</v>
      </c>
      <c r="G2263" s="157">
        <f t="shared" si="2152"/>
        <v>936</v>
      </c>
      <c r="H2263" s="157">
        <f t="shared" si="2153"/>
        <v>936</v>
      </c>
      <c r="I2263" s="160">
        <f t="shared" si="2154"/>
        <v>6121.7</v>
      </c>
      <c r="J2263" s="374">
        <f t="shared" si="2155"/>
        <v>0</v>
      </c>
      <c r="K2263" s="348">
        <f t="shared" si="2156"/>
        <v>0</v>
      </c>
      <c r="L2263" s="35">
        <f t="shared" ref="L2263:Q2263" si="2188">SUM(L2264:L2267)</f>
        <v>331500</v>
      </c>
      <c r="M2263" s="34">
        <f t="shared" si="2188"/>
        <v>2233850</v>
      </c>
      <c r="N2263" s="34">
        <f t="shared" si="2188"/>
        <v>1684350</v>
      </c>
      <c r="O2263" s="34">
        <f t="shared" si="2188"/>
        <v>936000</v>
      </c>
      <c r="P2263" s="34">
        <f t="shared" si="2188"/>
        <v>936000</v>
      </c>
      <c r="Q2263" s="26">
        <f t="shared" si="2188"/>
        <v>6121700</v>
      </c>
      <c r="R2263" s="209">
        <f t="shared" ref="R2263:S2263" si="2189">SUM(R2264:R2267)</f>
        <v>0</v>
      </c>
      <c r="S2263" s="116">
        <f t="shared" si="2189"/>
        <v>0</v>
      </c>
      <c r="T2263" s="50">
        <f>T1127</f>
        <v>0</v>
      </c>
      <c r="W2263" s="608">
        <f t="shared" si="2159"/>
        <v>6121700</v>
      </c>
      <c r="X2263" s="608">
        <f t="shared" si="2160"/>
        <v>0</v>
      </c>
      <c r="Y2263" s="572" t="s">
        <v>1513</v>
      </c>
      <c r="Z2263" s="572">
        <f t="shared" si="2165"/>
        <v>0</v>
      </c>
      <c r="AA2263" s="1">
        <f t="shared" si="2166"/>
        <v>6121.7</v>
      </c>
    </row>
    <row r="2264" spans="1:27" x14ac:dyDescent="0.2">
      <c r="A2264" s="20" t="str">
        <f>A1128</f>
        <v>7.11.5.1 Audit organisationnel et enquête de viabilité pour les différents ESS</v>
      </c>
      <c r="B2264" s="149"/>
      <c r="C2264" s="386">
        <f>C1128</f>
        <v>0</v>
      </c>
      <c r="D2264" s="168">
        <f t="shared" si="2149"/>
        <v>331.5</v>
      </c>
      <c r="E2264" s="168">
        <f t="shared" si="2150"/>
        <v>369.5</v>
      </c>
      <c r="F2264" s="168">
        <f t="shared" si="2151"/>
        <v>0</v>
      </c>
      <c r="G2264" s="168">
        <f t="shared" si="2152"/>
        <v>0</v>
      </c>
      <c r="H2264" s="168">
        <f t="shared" si="2153"/>
        <v>0</v>
      </c>
      <c r="I2264" s="166">
        <f t="shared" si="2154"/>
        <v>701</v>
      </c>
      <c r="J2264" s="371" t="str">
        <f t="shared" si="2155"/>
        <v>MESU-DEP</v>
      </c>
      <c r="K2264" s="350" t="str">
        <f t="shared" si="2156"/>
        <v>GVT</v>
      </c>
      <c r="L2264" s="167">
        <f t="shared" ref="L2264:Q2264" si="2190">L1128</f>
        <v>331500</v>
      </c>
      <c r="M2264" s="36">
        <f t="shared" si="2190"/>
        <v>369500</v>
      </c>
      <c r="N2264" s="36">
        <f t="shared" si="2190"/>
        <v>0</v>
      </c>
      <c r="O2264" s="36">
        <f t="shared" si="2190"/>
        <v>0</v>
      </c>
      <c r="P2264" s="36">
        <f t="shared" si="2190"/>
        <v>0</v>
      </c>
      <c r="Q2264" s="27">
        <f t="shared" si="2190"/>
        <v>701000</v>
      </c>
      <c r="R2264" s="198" t="str">
        <f t="shared" ref="R2264:S2264" si="2191">R1128</f>
        <v>MESU-DEP</v>
      </c>
      <c r="S2264" s="197" t="str">
        <f t="shared" si="2191"/>
        <v>GVT</v>
      </c>
      <c r="T2264" s="51">
        <f>T1128</f>
        <v>0</v>
      </c>
      <c r="W2264" s="608">
        <f t="shared" si="2159"/>
        <v>701000</v>
      </c>
      <c r="X2264" s="608">
        <f t="shared" si="2160"/>
        <v>0</v>
      </c>
      <c r="Y2264" s="572" t="s">
        <v>1513</v>
      </c>
      <c r="Z2264" s="572">
        <f t="shared" si="2165"/>
        <v>0</v>
      </c>
      <c r="AA2264" s="1">
        <f t="shared" si="2166"/>
        <v>701</v>
      </c>
    </row>
    <row r="2265" spans="1:27" x14ac:dyDescent="0.2">
      <c r="A2265" s="20" t="str">
        <f>A1133</f>
        <v>7.11.5.2 Contrôles de scolarité dans tous les EES publics et privés agréés</v>
      </c>
      <c r="B2265" s="149"/>
      <c r="C2265" s="386">
        <f>C1133</f>
        <v>0</v>
      </c>
      <c r="D2265" s="168">
        <f t="shared" si="2149"/>
        <v>0</v>
      </c>
      <c r="E2265" s="168">
        <f t="shared" si="2150"/>
        <v>954.5</v>
      </c>
      <c r="F2265" s="168">
        <f t="shared" si="2151"/>
        <v>936</v>
      </c>
      <c r="G2265" s="168">
        <f t="shared" si="2152"/>
        <v>936</v>
      </c>
      <c r="H2265" s="168">
        <f t="shared" si="2153"/>
        <v>936</v>
      </c>
      <c r="I2265" s="166">
        <f t="shared" si="2154"/>
        <v>3762.5</v>
      </c>
      <c r="J2265" s="371" t="str">
        <f t="shared" si="2155"/>
        <v>MESU/DSA-DESP</v>
      </c>
      <c r="K2265" s="350" t="str">
        <f t="shared" si="2156"/>
        <v>GVT</v>
      </c>
      <c r="L2265" s="167">
        <f t="shared" ref="L2265:T2265" si="2192">L1133</f>
        <v>0</v>
      </c>
      <c r="M2265" s="36">
        <f t="shared" si="2192"/>
        <v>954500</v>
      </c>
      <c r="N2265" s="36">
        <f t="shared" si="2192"/>
        <v>936000</v>
      </c>
      <c r="O2265" s="36">
        <f t="shared" si="2192"/>
        <v>936000</v>
      </c>
      <c r="P2265" s="36">
        <f t="shared" si="2192"/>
        <v>936000</v>
      </c>
      <c r="Q2265" s="27">
        <f t="shared" si="2192"/>
        <v>3762500</v>
      </c>
      <c r="R2265" s="198" t="str">
        <f t="shared" ref="R2265:S2265" si="2193">R1133</f>
        <v>MESU/DSA-DESP</v>
      </c>
      <c r="S2265" s="197" t="str">
        <f t="shared" si="2193"/>
        <v>GVT</v>
      </c>
      <c r="T2265" s="51">
        <f t="shared" si="2192"/>
        <v>0</v>
      </c>
      <c r="W2265" s="608">
        <f t="shared" si="2159"/>
        <v>3762500</v>
      </c>
      <c r="X2265" s="608">
        <f t="shared" si="2160"/>
        <v>0</v>
      </c>
      <c r="Y2265" s="572" t="s">
        <v>1513</v>
      </c>
      <c r="Z2265" s="572">
        <f t="shared" si="2165"/>
        <v>0</v>
      </c>
      <c r="AA2265" s="1">
        <f t="shared" si="2166"/>
        <v>3762.5</v>
      </c>
    </row>
    <row r="2266" spans="1:27" x14ac:dyDescent="0.2">
      <c r="A2266" s="170" t="str">
        <f>A1137</f>
        <v>7.11.5.3 Organisations des campagnes de sensibilisation dans les 26 provinces pour impliquer toutes les parties prenantes dans l'effort d'assainissement du sous secteur</v>
      </c>
      <c r="B2266" s="171"/>
      <c r="C2266" s="386">
        <f>C1137</f>
        <v>0</v>
      </c>
      <c r="D2266" s="168">
        <f t="shared" si="2149"/>
        <v>0</v>
      </c>
      <c r="E2266" s="168">
        <f t="shared" si="2150"/>
        <v>748.35</v>
      </c>
      <c r="F2266" s="168">
        <f t="shared" si="2151"/>
        <v>748.35</v>
      </c>
      <c r="G2266" s="168">
        <f t="shared" si="2152"/>
        <v>0</v>
      </c>
      <c r="H2266" s="168">
        <f t="shared" si="2153"/>
        <v>0</v>
      </c>
      <c r="I2266" s="166">
        <f t="shared" si="2154"/>
        <v>1496.7</v>
      </c>
      <c r="J2266" s="371" t="str">
        <f t="shared" si="2155"/>
        <v>MESU-DEP</v>
      </c>
      <c r="K2266" s="350" t="str">
        <f t="shared" si="2156"/>
        <v>GVT</v>
      </c>
      <c r="L2266" s="167">
        <f t="shared" ref="L2266:T2266" si="2194">L1137</f>
        <v>0</v>
      </c>
      <c r="M2266" s="168">
        <f t="shared" si="2194"/>
        <v>748350</v>
      </c>
      <c r="N2266" s="168">
        <f t="shared" si="2194"/>
        <v>748350</v>
      </c>
      <c r="O2266" s="168">
        <f t="shared" si="2194"/>
        <v>0</v>
      </c>
      <c r="P2266" s="168">
        <f t="shared" si="2194"/>
        <v>0</v>
      </c>
      <c r="Q2266" s="165">
        <f t="shared" si="2194"/>
        <v>1496700</v>
      </c>
      <c r="R2266" s="198" t="str">
        <f t="shared" ref="R2266:S2266" si="2195">R1137</f>
        <v>MESU-DEP</v>
      </c>
      <c r="S2266" s="197" t="str">
        <f t="shared" si="2195"/>
        <v>GVT</v>
      </c>
      <c r="T2266" s="51">
        <f t="shared" si="2194"/>
        <v>0</v>
      </c>
      <c r="W2266" s="608">
        <f t="shared" si="2159"/>
        <v>1496700</v>
      </c>
      <c r="X2266" s="608">
        <f t="shared" si="2160"/>
        <v>0</v>
      </c>
      <c r="Y2266" s="572" t="s">
        <v>1513</v>
      </c>
      <c r="Z2266" s="572">
        <f t="shared" si="2165"/>
        <v>0</v>
      </c>
      <c r="AA2266" s="1">
        <f t="shared" si="2166"/>
        <v>1496.7</v>
      </c>
    </row>
    <row r="2267" spans="1:27" x14ac:dyDescent="0.2">
      <c r="A2267" s="170" t="str">
        <f>A1140</f>
        <v>7.11.5.4 Conclusion d'accord de collaboration avec les associations de la société civile et du monde économique</v>
      </c>
      <c r="B2267" s="171"/>
      <c r="C2267" s="386">
        <f>C1140</f>
        <v>0</v>
      </c>
      <c r="D2267" s="168">
        <f t="shared" si="2149"/>
        <v>0</v>
      </c>
      <c r="E2267" s="168">
        <f t="shared" si="2150"/>
        <v>161.5</v>
      </c>
      <c r="F2267" s="168">
        <f t="shared" si="2151"/>
        <v>0</v>
      </c>
      <c r="G2267" s="168">
        <f t="shared" si="2152"/>
        <v>0</v>
      </c>
      <c r="H2267" s="168">
        <f t="shared" si="2153"/>
        <v>0</v>
      </c>
      <c r="I2267" s="166">
        <f t="shared" si="2154"/>
        <v>161.5</v>
      </c>
      <c r="J2267" s="371" t="str">
        <f t="shared" si="2155"/>
        <v>MESU-DEP</v>
      </c>
      <c r="K2267" s="350" t="str">
        <f t="shared" si="2156"/>
        <v>GVT</v>
      </c>
      <c r="L2267" s="167">
        <f t="shared" ref="L2267:T2267" si="2196">L1140</f>
        <v>0</v>
      </c>
      <c r="M2267" s="36">
        <f t="shared" si="2196"/>
        <v>161500</v>
      </c>
      <c r="N2267" s="36">
        <f t="shared" si="2196"/>
        <v>0</v>
      </c>
      <c r="O2267" s="36">
        <f t="shared" si="2196"/>
        <v>0</v>
      </c>
      <c r="P2267" s="36">
        <f t="shared" si="2196"/>
        <v>0</v>
      </c>
      <c r="Q2267" s="27">
        <f t="shared" si="2196"/>
        <v>161500</v>
      </c>
      <c r="R2267" s="198" t="str">
        <f t="shared" ref="R2267:S2267" si="2197">R1140</f>
        <v>MESU-DEP</v>
      </c>
      <c r="S2267" s="197" t="str">
        <f t="shared" si="2197"/>
        <v>GVT</v>
      </c>
      <c r="T2267" s="51">
        <f t="shared" si="2196"/>
        <v>0</v>
      </c>
      <c r="W2267" s="608">
        <f t="shared" si="2159"/>
        <v>161500</v>
      </c>
      <c r="X2267" s="608">
        <f t="shared" si="2160"/>
        <v>0</v>
      </c>
      <c r="Y2267" s="572" t="s">
        <v>1513</v>
      </c>
      <c r="Z2267" s="572">
        <f t="shared" si="2165"/>
        <v>0</v>
      </c>
      <c r="AA2267" s="1">
        <f t="shared" si="2166"/>
        <v>161.5</v>
      </c>
    </row>
    <row r="2268" spans="1:27" x14ac:dyDescent="0.2">
      <c r="A2268" s="14" t="str">
        <f>A1144</f>
        <v>7.12 Renforcement du Système d’information pour la Planification Stratégique et la Gestion axée sur les résultats : Promouvoir la planification stratégique et la gestion axée sur les résultats</v>
      </c>
      <c r="B2268" s="172"/>
      <c r="C2268" s="385">
        <f>C1144</f>
        <v>0</v>
      </c>
      <c r="D2268" s="217">
        <f t="shared" si="2149"/>
        <v>160.30000000000001</v>
      </c>
      <c r="E2268" s="217">
        <f t="shared" si="2150"/>
        <v>4086.05</v>
      </c>
      <c r="F2268" s="217">
        <f t="shared" si="2151"/>
        <v>2666.95</v>
      </c>
      <c r="G2268" s="217">
        <f t="shared" si="2152"/>
        <v>865.5</v>
      </c>
      <c r="H2268" s="217">
        <f t="shared" si="2153"/>
        <v>800</v>
      </c>
      <c r="I2268" s="220">
        <f t="shared" si="2154"/>
        <v>8578.7999999999993</v>
      </c>
      <c r="J2268" s="373">
        <f t="shared" si="2155"/>
        <v>0</v>
      </c>
      <c r="K2268" s="346">
        <f t="shared" si="2156"/>
        <v>0</v>
      </c>
      <c r="L2268" s="33">
        <f t="shared" ref="L2268:Q2268" si="2198">L2269+L2273+L2277</f>
        <v>160300</v>
      </c>
      <c r="M2268" s="32">
        <f t="shared" si="2198"/>
        <v>4086050</v>
      </c>
      <c r="N2268" s="32">
        <f t="shared" si="2198"/>
        <v>2666950</v>
      </c>
      <c r="O2268" s="32">
        <f t="shared" si="2198"/>
        <v>865500</v>
      </c>
      <c r="P2268" s="32">
        <f t="shared" si="2198"/>
        <v>800000</v>
      </c>
      <c r="Q2268" s="25">
        <f t="shared" si="2198"/>
        <v>8578800</v>
      </c>
      <c r="R2268" s="515">
        <f t="shared" ref="R2268:S2268" si="2199">R2269+R2273+R2277</f>
        <v>0</v>
      </c>
      <c r="S2268" s="145">
        <f t="shared" si="2199"/>
        <v>0</v>
      </c>
      <c r="T2268" s="49">
        <f>T1144</f>
        <v>3</v>
      </c>
      <c r="W2268" s="608">
        <f t="shared" si="2159"/>
        <v>8578800</v>
      </c>
      <c r="X2268" s="608">
        <f t="shared" si="2160"/>
        <v>0</v>
      </c>
      <c r="Y2268" s="572" t="s">
        <v>1513</v>
      </c>
      <c r="Z2268" s="572">
        <f t="shared" si="2165"/>
        <v>0</v>
      </c>
      <c r="AA2268" s="1">
        <f t="shared" si="2166"/>
        <v>8578.7999999999993</v>
      </c>
    </row>
    <row r="2269" spans="1:27" x14ac:dyDescent="0.2">
      <c r="A2269" s="17" t="str">
        <f>A1145</f>
        <v xml:space="preserve">7.12.1 Consolidation du système d’information et de gestion de l’enseignement supérieur </v>
      </c>
      <c r="B2269" s="45"/>
      <c r="C2269" s="386">
        <f>C1145</f>
        <v>0</v>
      </c>
      <c r="D2269" s="157">
        <f t="shared" si="2149"/>
        <v>160.30000000000001</v>
      </c>
      <c r="E2269" s="157">
        <f t="shared" si="2150"/>
        <v>2083.9499999999998</v>
      </c>
      <c r="F2269" s="157">
        <f t="shared" si="2151"/>
        <v>683.95</v>
      </c>
      <c r="G2269" s="157">
        <f t="shared" si="2152"/>
        <v>0</v>
      </c>
      <c r="H2269" s="157">
        <f t="shared" si="2153"/>
        <v>0</v>
      </c>
      <c r="I2269" s="160">
        <f t="shared" si="2154"/>
        <v>2928.2</v>
      </c>
      <c r="J2269" s="374">
        <f t="shared" si="2155"/>
        <v>0</v>
      </c>
      <c r="K2269" s="348">
        <f t="shared" si="2156"/>
        <v>0</v>
      </c>
      <c r="L2269" s="35">
        <f t="shared" ref="L2269:Q2269" si="2200">SUM(L2270:L2272)</f>
        <v>160300</v>
      </c>
      <c r="M2269" s="34">
        <f t="shared" si="2200"/>
        <v>2083950</v>
      </c>
      <c r="N2269" s="34">
        <f t="shared" si="2200"/>
        <v>683950</v>
      </c>
      <c r="O2269" s="34">
        <f t="shared" si="2200"/>
        <v>0</v>
      </c>
      <c r="P2269" s="34">
        <f t="shared" si="2200"/>
        <v>0</v>
      </c>
      <c r="Q2269" s="26">
        <f t="shared" si="2200"/>
        <v>2928200</v>
      </c>
      <c r="R2269" s="209">
        <f t="shared" ref="R2269:S2269" si="2201">SUM(R2270:R2272)</f>
        <v>0</v>
      </c>
      <c r="S2269" s="116">
        <f t="shared" si="2201"/>
        <v>0</v>
      </c>
      <c r="T2269" s="50">
        <f>T1145</f>
        <v>0</v>
      </c>
      <c r="W2269" s="608">
        <f t="shared" si="2159"/>
        <v>2928200</v>
      </c>
      <c r="X2269" s="608">
        <f t="shared" si="2160"/>
        <v>0</v>
      </c>
      <c r="Y2269" s="572" t="s">
        <v>1513</v>
      </c>
      <c r="Z2269" s="572">
        <f t="shared" si="2165"/>
        <v>0</v>
      </c>
      <c r="AA2269" s="1">
        <f t="shared" si="2166"/>
        <v>2928.2</v>
      </c>
    </row>
    <row r="2270" spans="1:27" x14ac:dyDescent="0.2">
      <c r="A2270" s="20" t="str">
        <f>A1146</f>
        <v>7.12.1.1 Définition de la cellule de planification et sa mise en place dans tous les EES</v>
      </c>
      <c r="B2270" s="149"/>
      <c r="C2270" s="386">
        <f>C1146</f>
        <v>0</v>
      </c>
      <c r="D2270" s="168">
        <f t="shared" si="2149"/>
        <v>6</v>
      </c>
      <c r="E2270" s="168">
        <f t="shared" si="2150"/>
        <v>1840</v>
      </c>
      <c r="F2270" s="168">
        <f t="shared" si="2151"/>
        <v>440</v>
      </c>
      <c r="G2270" s="168">
        <f t="shared" si="2152"/>
        <v>0</v>
      </c>
      <c r="H2270" s="168">
        <f t="shared" si="2153"/>
        <v>0</v>
      </c>
      <c r="I2270" s="166">
        <f t="shared" si="2154"/>
        <v>2286</v>
      </c>
      <c r="J2270" s="371" t="str">
        <f t="shared" si="2155"/>
        <v>MESU-DEP</v>
      </c>
      <c r="K2270" s="350" t="str">
        <f t="shared" si="2156"/>
        <v>GVT/BM/UNESCO</v>
      </c>
      <c r="L2270" s="167">
        <f t="shared" ref="L2270:Q2270" si="2202">L1146</f>
        <v>6000</v>
      </c>
      <c r="M2270" s="36">
        <f t="shared" si="2202"/>
        <v>1840000</v>
      </c>
      <c r="N2270" s="36">
        <f t="shared" si="2202"/>
        <v>440000</v>
      </c>
      <c r="O2270" s="36">
        <f t="shared" si="2202"/>
        <v>0</v>
      </c>
      <c r="P2270" s="36">
        <f t="shared" si="2202"/>
        <v>0</v>
      </c>
      <c r="Q2270" s="27">
        <f t="shared" si="2202"/>
        <v>2286000</v>
      </c>
      <c r="R2270" s="198" t="str">
        <f t="shared" ref="R2270:S2270" si="2203">R1146</f>
        <v>MESU-DEP</v>
      </c>
      <c r="S2270" s="197" t="str">
        <f t="shared" si="2203"/>
        <v>GVT/BM/UNESCO</v>
      </c>
      <c r="T2270" s="51">
        <f>T1146</f>
        <v>0</v>
      </c>
      <c r="W2270" s="608">
        <f t="shared" si="2159"/>
        <v>2286000</v>
      </c>
      <c r="X2270" s="608">
        <f t="shared" si="2160"/>
        <v>0</v>
      </c>
      <c r="Y2270" s="572" t="s">
        <v>1513</v>
      </c>
      <c r="Z2270" s="572">
        <f t="shared" si="2165"/>
        <v>0</v>
      </c>
      <c r="AA2270" s="1">
        <f t="shared" si="2166"/>
        <v>2286</v>
      </c>
    </row>
    <row r="2271" spans="1:27" x14ac:dyDescent="0.2">
      <c r="A2271" s="20" t="str">
        <f>A1151</f>
        <v xml:space="preserve">7.12.1.2 Mise à jour de la carte universitaire </v>
      </c>
      <c r="B2271" s="149"/>
      <c r="C2271" s="386">
        <f>C1151</f>
        <v>0</v>
      </c>
      <c r="D2271" s="168">
        <f t="shared" si="2149"/>
        <v>154.30000000000001</v>
      </c>
      <c r="E2271" s="168">
        <f t="shared" si="2150"/>
        <v>0</v>
      </c>
      <c r="F2271" s="168">
        <f t="shared" si="2151"/>
        <v>0</v>
      </c>
      <c r="G2271" s="168">
        <f t="shared" si="2152"/>
        <v>0</v>
      </c>
      <c r="H2271" s="168">
        <f t="shared" si="2153"/>
        <v>0</v>
      </c>
      <c r="I2271" s="166">
        <f t="shared" si="2154"/>
        <v>154.30000000000001</v>
      </c>
      <c r="J2271" s="371" t="str">
        <f t="shared" si="2155"/>
        <v>MESU-DEP</v>
      </c>
      <c r="K2271" s="350" t="str">
        <f t="shared" si="2156"/>
        <v>GVTBM/UNESCO</v>
      </c>
      <c r="L2271" s="167">
        <f t="shared" ref="L2271:T2271" si="2204">L1151</f>
        <v>154300</v>
      </c>
      <c r="M2271" s="168">
        <f t="shared" si="2204"/>
        <v>0</v>
      </c>
      <c r="N2271" s="168">
        <f t="shared" si="2204"/>
        <v>0</v>
      </c>
      <c r="O2271" s="168">
        <f t="shared" si="2204"/>
        <v>0</v>
      </c>
      <c r="P2271" s="168">
        <f t="shared" si="2204"/>
        <v>0</v>
      </c>
      <c r="Q2271" s="165">
        <f t="shared" si="2204"/>
        <v>154300</v>
      </c>
      <c r="R2271" s="198" t="str">
        <f t="shared" ref="R2271:S2271" si="2205">R1151</f>
        <v>MESU-DEP</v>
      </c>
      <c r="S2271" s="197" t="str">
        <f t="shared" si="2205"/>
        <v>GVTBM/UNESCO</v>
      </c>
      <c r="T2271" s="51">
        <f t="shared" si="2204"/>
        <v>0</v>
      </c>
      <c r="W2271" s="608">
        <f t="shared" si="2159"/>
        <v>154300</v>
      </c>
      <c r="X2271" s="608">
        <f t="shared" si="2160"/>
        <v>0</v>
      </c>
      <c r="Y2271" s="572" t="s">
        <v>1513</v>
      </c>
      <c r="Z2271" s="572">
        <f t="shared" si="2165"/>
        <v>0</v>
      </c>
      <c r="AA2271" s="1">
        <f t="shared" si="2166"/>
        <v>154.30000000000001</v>
      </c>
    </row>
    <row r="2272" spans="1:27" x14ac:dyDescent="0.2">
      <c r="A2272" s="173" t="str">
        <f>A1154</f>
        <v>7.12.1.3 Renforcement des capacité en matière de planification</v>
      </c>
      <c r="B2272" s="174"/>
      <c r="C2272" s="386">
        <f>C1154</f>
        <v>0</v>
      </c>
      <c r="D2272" s="168">
        <f t="shared" si="2149"/>
        <v>0</v>
      </c>
      <c r="E2272" s="168">
        <f t="shared" si="2150"/>
        <v>243.95</v>
      </c>
      <c r="F2272" s="168">
        <f t="shared" si="2151"/>
        <v>243.95</v>
      </c>
      <c r="G2272" s="168">
        <f t="shared" si="2152"/>
        <v>0</v>
      </c>
      <c r="H2272" s="168">
        <f t="shared" si="2153"/>
        <v>0</v>
      </c>
      <c r="I2272" s="166">
        <f t="shared" si="2154"/>
        <v>487.9</v>
      </c>
      <c r="J2272" s="371" t="str">
        <f t="shared" si="2155"/>
        <v>MESU-DEP</v>
      </c>
      <c r="K2272" s="350" t="str">
        <f t="shared" si="2156"/>
        <v>GVT</v>
      </c>
      <c r="L2272" s="167">
        <f t="shared" ref="L2272:T2272" si="2206">L1154</f>
        <v>0</v>
      </c>
      <c r="M2272" s="168">
        <f t="shared" si="2206"/>
        <v>243950</v>
      </c>
      <c r="N2272" s="168">
        <f t="shared" si="2206"/>
        <v>243950</v>
      </c>
      <c r="O2272" s="168">
        <f t="shared" si="2206"/>
        <v>0</v>
      </c>
      <c r="P2272" s="168">
        <f t="shared" si="2206"/>
        <v>0</v>
      </c>
      <c r="Q2272" s="165">
        <f t="shared" si="2206"/>
        <v>487900</v>
      </c>
      <c r="R2272" s="198" t="str">
        <f t="shared" ref="R2272:S2272" si="2207">R1154</f>
        <v>MESU-DEP</v>
      </c>
      <c r="S2272" s="197" t="str">
        <f t="shared" si="2207"/>
        <v>GVT</v>
      </c>
      <c r="T2272" s="51">
        <f t="shared" si="2206"/>
        <v>0</v>
      </c>
      <c r="W2272" s="608">
        <f t="shared" si="2159"/>
        <v>487900</v>
      </c>
      <c r="X2272" s="608">
        <f t="shared" si="2160"/>
        <v>0</v>
      </c>
      <c r="Y2272" s="572" t="s">
        <v>1513</v>
      </c>
      <c r="Z2272" s="572">
        <f t="shared" si="2165"/>
        <v>0</v>
      </c>
      <c r="AA2272" s="1">
        <f t="shared" si="2166"/>
        <v>487.9</v>
      </c>
    </row>
    <row r="2273" spans="1:27" x14ac:dyDescent="0.2">
      <c r="A2273" s="17" t="str">
        <f>A1157</f>
        <v>7.12.2 Amélioration des infrastructures et équipements des structures de planification</v>
      </c>
      <c r="B2273" s="45"/>
      <c r="C2273" s="386">
        <f>C1157</f>
        <v>0</v>
      </c>
      <c r="D2273" s="157">
        <f t="shared" si="2149"/>
        <v>0</v>
      </c>
      <c r="E2273" s="157">
        <f t="shared" si="2150"/>
        <v>1196.0999999999999</v>
      </c>
      <c r="F2273" s="157">
        <f t="shared" si="2151"/>
        <v>1183</v>
      </c>
      <c r="G2273" s="157">
        <f t="shared" si="2152"/>
        <v>65.5</v>
      </c>
      <c r="H2273" s="157">
        <f t="shared" si="2153"/>
        <v>0</v>
      </c>
      <c r="I2273" s="160">
        <f t="shared" si="2154"/>
        <v>2444.6</v>
      </c>
      <c r="J2273" s="374">
        <f t="shared" si="2155"/>
        <v>0</v>
      </c>
      <c r="K2273" s="348">
        <f t="shared" si="2156"/>
        <v>0</v>
      </c>
      <c r="L2273" s="35">
        <f t="shared" ref="L2273:Q2273" si="2208">SUM(L2274:L2276)</f>
        <v>0</v>
      </c>
      <c r="M2273" s="34">
        <f t="shared" si="2208"/>
        <v>1196100</v>
      </c>
      <c r="N2273" s="34">
        <f t="shared" si="2208"/>
        <v>1183000</v>
      </c>
      <c r="O2273" s="34">
        <f t="shared" si="2208"/>
        <v>65500</v>
      </c>
      <c r="P2273" s="34">
        <f t="shared" si="2208"/>
        <v>0</v>
      </c>
      <c r="Q2273" s="26">
        <f t="shared" si="2208"/>
        <v>2444600</v>
      </c>
      <c r="R2273" s="209">
        <f t="shared" ref="R2273:S2273" si="2209">SUM(R2274:R2276)</f>
        <v>0</v>
      </c>
      <c r="S2273" s="116">
        <f t="shared" si="2209"/>
        <v>0</v>
      </c>
      <c r="T2273" s="50">
        <f>T1157</f>
        <v>0</v>
      </c>
      <c r="W2273" s="608">
        <f t="shared" si="2159"/>
        <v>2444600</v>
      </c>
      <c r="X2273" s="608">
        <f t="shared" si="2160"/>
        <v>0</v>
      </c>
      <c r="Y2273" s="572" t="s">
        <v>1513</v>
      </c>
      <c r="Z2273" s="572">
        <f t="shared" si="2165"/>
        <v>0</v>
      </c>
      <c r="AA2273" s="1">
        <f t="shared" si="2166"/>
        <v>2444.6</v>
      </c>
    </row>
    <row r="2274" spans="1:27" x14ac:dyDescent="0.2">
      <c r="A2274" s="173" t="str">
        <f>A1158</f>
        <v>7.12.2.1 Réhabilitation et équipement des 26 cellules des planifications aux niveaux des conférences des chefs d'EES</v>
      </c>
      <c r="B2274" s="174"/>
      <c r="C2274" s="386">
        <f>C1158</f>
        <v>0</v>
      </c>
      <c r="D2274" s="168">
        <f t="shared" si="2149"/>
        <v>0</v>
      </c>
      <c r="E2274" s="168">
        <f t="shared" si="2150"/>
        <v>144.1</v>
      </c>
      <c r="F2274" s="168">
        <f t="shared" si="2151"/>
        <v>131</v>
      </c>
      <c r="G2274" s="168">
        <f t="shared" si="2152"/>
        <v>65.5</v>
      </c>
      <c r="H2274" s="168">
        <f t="shared" si="2153"/>
        <v>0</v>
      </c>
      <c r="I2274" s="166">
        <f t="shared" si="2154"/>
        <v>340.6</v>
      </c>
      <c r="J2274" s="371" t="str">
        <f t="shared" si="2155"/>
        <v>MESU-DEP</v>
      </c>
      <c r="K2274" s="350" t="str">
        <f t="shared" si="2156"/>
        <v>GVT</v>
      </c>
      <c r="L2274" s="167">
        <f t="shared" ref="L2274:Q2274" si="2210">L1158</f>
        <v>0</v>
      </c>
      <c r="M2274" s="36">
        <f t="shared" si="2210"/>
        <v>144100</v>
      </c>
      <c r="N2274" s="36">
        <f t="shared" si="2210"/>
        <v>131000</v>
      </c>
      <c r="O2274" s="36">
        <f t="shared" si="2210"/>
        <v>65500</v>
      </c>
      <c r="P2274" s="36">
        <f t="shared" si="2210"/>
        <v>0</v>
      </c>
      <c r="Q2274" s="27">
        <f t="shared" si="2210"/>
        <v>340600</v>
      </c>
      <c r="R2274" s="198" t="str">
        <f t="shared" ref="R2274:S2274" si="2211">R1158</f>
        <v>MESU-DEP</v>
      </c>
      <c r="S2274" s="197" t="str">
        <f t="shared" si="2211"/>
        <v>GVT</v>
      </c>
      <c r="T2274" s="51">
        <f>T1158</f>
        <v>0</v>
      </c>
      <c r="W2274" s="608">
        <f t="shared" si="2159"/>
        <v>340600</v>
      </c>
      <c r="X2274" s="608">
        <f t="shared" si="2160"/>
        <v>0</v>
      </c>
      <c r="Y2274" s="572" t="s">
        <v>1513</v>
      </c>
      <c r="Z2274" s="572">
        <f t="shared" si="2165"/>
        <v>0</v>
      </c>
      <c r="AA2274" s="1">
        <f t="shared" si="2166"/>
        <v>340.6</v>
      </c>
    </row>
    <row r="2275" spans="1:27" x14ac:dyDescent="0.2">
      <c r="A2275" s="20" t="str">
        <f>A1162</f>
        <v>7.12.2.2 Appui technique aux EES pour l'élaboration de leur plan stratégique</v>
      </c>
      <c r="B2275" s="149"/>
      <c r="C2275" s="386">
        <f>C1162</f>
        <v>0</v>
      </c>
      <c r="D2275" s="168">
        <f t="shared" si="2149"/>
        <v>0</v>
      </c>
      <c r="E2275" s="168">
        <f t="shared" si="2150"/>
        <v>12</v>
      </c>
      <c r="F2275" s="168">
        <f t="shared" si="2151"/>
        <v>12</v>
      </c>
      <c r="G2275" s="168">
        <f t="shared" si="2152"/>
        <v>0</v>
      </c>
      <c r="H2275" s="168">
        <f t="shared" si="2153"/>
        <v>0</v>
      </c>
      <c r="I2275" s="166">
        <f t="shared" si="2154"/>
        <v>24</v>
      </c>
      <c r="J2275" s="371" t="str">
        <f t="shared" si="2155"/>
        <v>MESU-DEP</v>
      </c>
      <c r="K2275" s="350" t="str">
        <f t="shared" si="2156"/>
        <v>GVT/BM</v>
      </c>
      <c r="L2275" s="167">
        <f t="shared" ref="L2275:T2275" si="2212">L1162</f>
        <v>0</v>
      </c>
      <c r="M2275" s="36">
        <f t="shared" si="2212"/>
        <v>12000</v>
      </c>
      <c r="N2275" s="36">
        <f t="shared" si="2212"/>
        <v>12000</v>
      </c>
      <c r="O2275" s="36">
        <f t="shared" si="2212"/>
        <v>0</v>
      </c>
      <c r="P2275" s="36">
        <f t="shared" si="2212"/>
        <v>0</v>
      </c>
      <c r="Q2275" s="27">
        <f t="shared" si="2212"/>
        <v>24000</v>
      </c>
      <c r="R2275" s="198" t="str">
        <f t="shared" ref="R2275:S2275" si="2213">R1162</f>
        <v>MESU-DEP</v>
      </c>
      <c r="S2275" s="197" t="str">
        <f t="shared" si="2213"/>
        <v>GVT/BM</v>
      </c>
      <c r="T2275" s="51">
        <f t="shared" si="2212"/>
        <v>0</v>
      </c>
      <c r="W2275" s="608">
        <f t="shared" si="2159"/>
        <v>24000</v>
      </c>
      <c r="X2275" s="608">
        <f t="shared" si="2160"/>
        <v>0</v>
      </c>
      <c r="Y2275" s="572" t="s">
        <v>1513</v>
      </c>
      <c r="Z2275" s="572">
        <f t="shared" si="2165"/>
        <v>0</v>
      </c>
      <c r="AA2275" s="1">
        <f t="shared" si="2166"/>
        <v>24</v>
      </c>
    </row>
    <row r="2276" spans="1:27" x14ac:dyDescent="0.2">
      <c r="A2276" s="20" t="str">
        <f>A1166</f>
        <v xml:space="preserve">7.12.2.3 Utilisation par les EES de logiciels de gestion informatisée des ressources </v>
      </c>
      <c r="B2276" s="149"/>
      <c r="C2276" s="386">
        <f>C1166</f>
        <v>0</v>
      </c>
      <c r="D2276" s="168">
        <f t="shared" si="2149"/>
        <v>0</v>
      </c>
      <c r="E2276" s="168">
        <f t="shared" si="2150"/>
        <v>1040</v>
      </c>
      <c r="F2276" s="168">
        <f t="shared" si="2151"/>
        <v>1040</v>
      </c>
      <c r="G2276" s="168">
        <f t="shared" si="2152"/>
        <v>0</v>
      </c>
      <c r="H2276" s="168">
        <f t="shared" si="2153"/>
        <v>0</v>
      </c>
      <c r="I2276" s="166">
        <f t="shared" si="2154"/>
        <v>2080</v>
      </c>
      <c r="J2276" s="371" t="str">
        <f t="shared" si="2155"/>
        <v>MESU-DEP</v>
      </c>
      <c r="K2276" s="350" t="str">
        <f t="shared" si="2156"/>
        <v>GVT/BM</v>
      </c>
      <c r="L2276" s="167">
        <f t="shared" ref="L2276:T2276" si="2214">L1166</f>
        <v>0</v>
      </c>
      <c r="M2276" s="168">
        <f t="shared" si="2214"/>
        <v>1040000</v>
      </c>
      <c r="N2276" s="168">
        <f t="shared" si="2214"/>
        <v>1040000</v>
      </c>
      <c r="O2276" s="168">
        <f t="shared" si="2214"/>
        <v>0</v>
      </c>
      <c r="P2276" s="168">
        <f t="shared" si="2214"/>
        <v>0</v>
      </c>
      <c r="Q2276" s="165">
        <f t="shared" si="2214"/>
        <v>2080000</v>
      </c>
      <c r="R2276" s="198" t="str">
        <f t="shared" ref="R2276:S2276" si="2215">R1166</f>
        <v>MESU-DEP</v>
      </c>
      <c r="S2276" s="197" t="str">
        <f t="shared" si="2215"/>
        <v>GVT/BM</v>
      </c>
      <c r="T2276" s="51">
        <f t="shared" si="2214"/>
        <v>0</v>
      </c>
      <c r="W2276" s="608">
        <f t="shared" si="2159"/>
        <v>2080000</v>
      </c>
      <c r="X2276" s="608">
        <f t="shared" si="2160"/>
        <v>0</v>
      </c>
      <c r="Y2276" s="572" t="s">
        <v>1513</v>
      </c>
      <c r="Z2276" s="572">
        <f t="shared" si="2165"/>
        <v>0</v>
      </c>
      <c r="AA2276" s="1">
        <f t="shared" si="2166"/>
        <v>2080</v>
      </c>
    </row>
    <row r="2277" spans="1:27" x14ac:dyDescent="0.2">
      <c r="A2277" s="17" t="str">
        <f>A1169</f>
        <v>7.12.3 Promotion d’une culture statistique, de planification stratégique et de la gestion axée sur les résultats</v>
      </c>
      <c r="B2277" s="45"/>
      <c r="C2277" s="386">
        <f>C1169</f>
        <v>0</v>
      </c>
      <c r="D2277" s="157">
        <f t="shared" si="2149"/>
        <v>0</v>
      </c>
      <c r="E2277" s="157">
        <f t="shared" si="2150"/>
        <v>806</v>
      </c>
      <c r="F2277" s="157">
        <f t="shared" si="2151"/>
        <v>800</v>
      </c>
      <c r="G2277" s="157">
        <f t="shared" si="2152"/>
        <v>800</v>
      </c>
      <c r="H2277" s="157">
        <f t="shared" si="2153"/>
        <v>800</v>
      </c>
      <c r="I2277" s="160">
        <f t="shared" si="2154"/>
        <v>3206</v>
      </c>
      <c r="J2277" s="374">
        <f t="shared" si="2155"/>
        <v>0</v>
      </c>
      <c r="K2277" s="348">
        <f t="shared" si="2156"/>
        <v>0</v>
      </c>
      <c r="L2277" s="35">
        <f t="shared" ref="L2277:S2277" si="2216">SUM(L2278:L2278)</f>
        <v>0</v>
      </c>
      <c r="M2277" s="34">
        <f t="shared" si="2216"/>
        <v>806000</v>
      </c>
      <c r="N2277" s="34">
        <f t="shared" si="2216"/>
        <v>800000</v>
      </c>
      <c r="O2277" s="34">
        <f t="shared" si="2216"/>
        <v>800000</v>
      </c>
      <c r="P2277" s="34">
        <f t="shared" si="2216"/>
        <v>800000</v>
      </c>
      <c r="Q2277" s="26">
        <f t="shared" si="2216"/>
        <v>3206000</v>
      </c>
      <c r="R2277" s="209">
        <f t="shared" si="2216"/>
        <v>0</v>
      </c>
      <c r="S2277" s="116">
        <f t="shared" si="2216"/>
        <v>0</v>
      </c>
      <c r="T2277" s="50">
        <f>T1169</f>
        <v>0</v>
      </c>
      <c r="W2277" s="608">
        <f t="shared" si="2159"/>
        <v>3206000</v>
      </c>
      <c r="X2277" s="608">
        <f t="shared" si="2160"/>
        <v>0</v>
      </c>
      <c r="Y2277" s="572" t="s">
        <v>1513</v>
      </c>
      <c r="Z2277" s="572">
        <f t="shared" si="2165"/>
        <v>0</v>
      </c>
      <c r="AA2277" s="1">
        <f t="shared" si="2166"/>
        <v>3206</v>
      </c>
    </row>
    <row r="2278" spans="1:27" x14ac:dyDescent="0.2">
      <c r="A2278" s="20" t="str">
        <f>A1170</f>
        <v>7.12.3.1 Production annuelle du plan stratégique des ESS</v>
      </c>
      <c r="B2278" s="149"/>
      <c r="C2278" s="386">
        <f>C1170</f>
        <v>0</v>
      </c>
      <c r="D2278" s="168">
        <f t="shared" si="2149"/>
        <v>0</v>
      </c>
      <c r="E2278" s="168">
        <f t="shared" si="2150"/>
        <v>806</v>
      </c>
      <c r="F2278" s="168">
        <f t="shared" si="2151"/>
        <v>800</v>
      </c>
      <c r="G2278" s="168">
        <f t="shared" si="2152"/>
        <v>800</v>
      </c>
      <c r="H2278" s="168">
        <f t="shared" si="2153"/>
        <v>800</v>
      </c>
      <c r="I2278" s="166">
        <f t="shared" si="2154"/>
        <v>3206</v>
      </c>
      <c r="J2278" s="371" t="str">
        <f t="shared" si="2155"/>
        <v>MESU-DEP</v>
      </c>
      <c r="K2278" s="350" t="str">
        <f t="shared" si="2156"/>
        <v>GVT/BM</v>
      </c>
      <c r="L2278" s="167">
        <f t="shared" ref="L2278:Q2278" si="2217">L1170</f>
        <v>0</v>
      </c>
      <c r="M2278" s="168">
        <f t="shared" si="2217"/>
        <v>806000</v>
      </c>
      <c r="N2278" s="168">
        <f t="shared" si="2217"/>
        <v>800000</v>
      </c>
      <c r="O2278" s="168">
        <f t="shared" si="2217"/>
        <v>800000</v>
      </c>
      <c r="P2278" s="168">
        <f t="shared" si="2217"/>
        <v>800000</v>
      </c>
      <c r="Q2278" s="165">
        <f t="shared" si="2217"/>
        <v>3206000</v>
      </c>
      <c r="R2278" s="198" t="str">
        <f t="shared" ref="R2278:S2278" si="2218">R1170</f>
        <v>MESU-DEP</v>
      </c>
      <c r="S2278" s="147" t="str">
        <f t="shared" si="2218"/>
        <v>GVT/BM</v>
      </c>
      <c r="T2278" s="51">
        <f>T1170</f>
        <v>0</v>
      </c>
      <c r="W2278" s="608">
        <f t="shared" si="2159"/>
        <v>3206000</v>
      </c>
      <c r="X2278" s="608">
        <f t="shared" si="2160"/>
        <v>0</v>
      </c>
      <c r="Y2278" s="572" t="s">
        <v>1513</v>
      </c>
      <c r="Z2278" s="572">
        <f t="shared" si="2165"/>
        <v>0</v>
      </c>
      <c r="AA2278" s="1">
        <f t="shared" si="2166"/>
        <v>3206</v>
      </c>
    </row>
    <row r="2279" spans="1:27" x14ac:dyDescent="0.2">
      <c r="A2279" s="14" t="str">
        <f>A1173</f>
        <v>7.13. Renforcement des outils de bonne Gouvernance : Promouvoir la bonne gouvernance dans les EES</v>
      </c>
      <c r="B2279" s="44"/>
      <c r="C2279" s="385">
        <f>C1173</f>
        <v>0</v>
      </c>
      <c r="D2279" s="217">
        <f t="shared" si="2149"/>
        <v>98.75</v>
      </c>
      <c r="E2279" s="217">
        <f t="shared" si="2150"/>
        <v>127</v>
      </c>
      <c r="F2279" s="217">
        <f t="shared" si="2151"/>
        <v>14.5</v>
      </c>
      <c r="G2279" s="217">
        <f t="shared" si="2152"/>
        <v>8.5</v>
      </c>
      <c r="H2279" s="217">
        <f t="shared" si="2153"/>
        <v>8.5</v>
      </c>
      <c r="I2279" s="220">
        <f t="shared" si="2154"/>
        <v>257.25</v>
      </c>
      <c r="J2279" s="373">
        <f t="shared" si="2155"/>
        <v>0</v>
      </c>
      <c r="K2279" s="346">
        <f t="shared" si="2156"/>
        <v>0</v>
      </c>
      <c r="L2279" s="33">
        <f t="shared" ref="L2279:Q2279" si="2219">L2280+L2282+L2287+L2285</f>
        <v>98750</v>
      </c>
      <c r="M2279" s="32">
        <f t="shared" si="2219"/>
        <v>127000</v>
      </c>
      <c r="N2279" s="32">
        <f t="shared" si="2219"/>
        <v>14500</v>
      </c>
      <c r="O2279" s="32">
        <f t="shared" si="2219"/>
        <v>8500</v>
      </c>
      <c r="P2279" s="32">
        <f t="shared" si="2219"/>
        <v>8500</v>
      </c>
      <c r="Q2279" s="25">
        <f t="shared" si="2219"/>
        <v>257250</v>
      </c>
      <c r="R2279" s="515">
        <f t="shared" ref="R2279:S2279" si="2220">R2280+R2282+R2287+R2285</f>
        <v>0</v>
      </c>
      <c r="S2279" s="145">
        <f t="shared" si="2220"/>
        <v>0</v>
      </c>
      <c r="T2279" s="49">
        <f>T1173</f>
        <v>3</v>
      </c>
      <c r="W2279" s="608">
        <f t="shared" si="2159"/>
        <v>257250</v>
      </c>
      <c r="X2279" s="608">
        <f t="shared" si="2160"/>
        <v>0</v>
      </c>
      <c r="Y2279" s="572" t="s">
        <v>1513</v>
      </c>
      <c r="Z2279" s="572">
        <f t="shared" si="2165"/>
        <v>0</v>
      </c>
      <c r="AA2279" s="1">
        <f t="shared" si="2166"/>
        <v>257.25</v>
      </c>
    </row>
    <row r="2280" spans="1:27" x14ac:dyDescent="0.2">
      <c r="A2280" s="17" t="str">
        <f>A1174</f>
        <v>7.13.1 Simplification du cadre juridique et administratif</v>
      </c>
      <c r="B2280" s="45"/>
      <c r="C2280" s="386">
        <f>C1174</f>
        <v>0</v>
      </c>
      <c r="D2280" s="157">
        <f t="shared" si="2149"/>
        <v>30</v>
      </c>
      <c r="E2280" s="157">
        <f t="shared" si="2150"/>
        <v>0</v>
      </c>
      <c r="F2280" s="157">
        <f t="shared" si="2151"/>
        <v>0</v>
      </c>
      <c r="G2280" s="157">
        <f t="shared" si="2152"/>
        <v>0</v>
      </c>
      <c r="H2280" s="157">
        <f t="shared" si="2153"/>
        <v>0</v>
      </c>
      <c r="I2280" s="160">
        <f t="shared" si="2154"/>
        <v>30</v>
      </c>
      <c r="J2280" s="374">
        <f t="shared" si="2155"/>
        <v>0</v>
      </c>
      <c r="K2280" s="348">
        <f t="shared" si="2156"/>
        <v>0</v>
      </c>
      <c r="L2280" s="35">
        <f t="shared" ref="L2280:S2280" si="2221">SUM(L2281:L2281)</f>
        <v>30000</v>
      </c>
      <c r="M2280" s="34">
        <f t="shared" si="2221"/>
        <v>0</v>
      </c>
      <c r="N2280" s="34">
        <f t="shared" si="2221"/>
        <v>0</v>
      </c>
      <c r="O2280" s="34">
        <f t="shared" si="2221"/>
        <v>0</v>
      </c>
      <c r="P2280" s="34">
        <f t="shared" si="2221"/>
        <v>0</v>
      </c>
      <c r="Q2280" s="26">
        <f t="shared" si="2221"/>
        <v>30000</v>
      </c>
      <c r="R2280" s="209">
        <f t="shared" si="2221"/>
        <v>0</v>
      </c>
      <c r="S2280" s="116">
        <f t="shared" si="2221"/>
        <v>0</v>
      </c>
      <c r="T2280" s="50">
        <f>T1174</f>
        <v>0</v>
      </c>
      <c r="W2280" s="608">
        <f t="shared" si="2159"/>
        <v>30000</v>
      </c>
      <c r="X2280" s="608">
        <f t="shared" si="2160"/>
        <v>0</v>
      </c>
      <c r="Y2280" s="572" t="s">
        <v>1513</v>
      </c>
      <c r="Z2280" s="572">
        <f t="shared" si="2165"/>
        <v>0</v>
      </c>
      <c r="AA2280" s="1">
        <f t="shared" si="2166"/>
        <v>30</v>
      </c>
    </row>
    <row r="2281" spans="1:27" x14ac:dyDescent="0.2">
      <c r="A2281" s="20" t="str">
        <f>A1175</f>
        <v>7.13.1.1 Élaboration des textes réglementaires (mise en œuvre de la Loi-Cadre)</v>
      </c>
      <c r="B2281" s="149"/>
      <c r="C2281" s="386">
        <f>C1175</f>
        <v>0</v>
      </c>
      <c r="D2281" s="168">
        <f t="shared" si="2149"/>
        <v>30</v>
      </c>
      <c r="E2281" s="168">
        <f t="shared" si="2150"/>
        <v>0</v>
      </c>
      <c r="F2281" s="168">
        <f t="shared" si="2151"/>
        <v>0</v>
      </c>
      <c r="G2281" s="168">
        <f t="shared" si="2152"/>
        <v>0</v>
      </c>
      <c r="H2281" s="168">
        <f t="shared" si="2153"/>
        <v>0</v>
      </c>
      <c r="I2281" s="166">
        <f t="shared" si="2154"/>
        <v>30</v>
      </c>
      <c r="J2281" s="371" t="str">
        <f t="shared" si="2155"/>
        <v>MESU</v>
      </c>
      <c r="K2281" s="350" t="str">
        <f t="shared" si="2156"/>
        <v>GVT</v>
      </c>
      <c r="L2281" s="167">
        <f t="shared" ref="L2281:Q2281" si="2222">L1175</f>
        <v>30000</v>
      </c>
      <c r="M2281" s="168">
        <f t="shared" si="2222"/>
        <v>0</v>
      </c>
      <c r="N2281" s="168">
        <f t="shared" si="2222"/>
        <v>0</v>
      </c>
      <c r="O2281" s="168">
        <f t="shared" si="2222"/>
        <v>0</v>
      </c>
      <c r="P2281" s="168">
        <f t="shared" si="2222"/>
        <v>0</v>
      </c>
      <c r="Q2281" s="165">
        <f t="shared" si="2222"/>
        <v>30000</v>
      </c>
      <c r="R2281" s="198" t="str">
        <f t="shared" ref="R2281:S2281" si="2223">R1175</f>
        <v>MESU</v>
      </c>
      <c r="S2281" s="147" t="str">
        <f t="shared" si="2223"/>
        <v>GVT</v>
      </c>
      <c r="T2281" s="51">
        <f>T1175</f>
        <v>0</v>
      </c>
      <c r="W2281" s="608">
        <f t="shared" si="2159"/>
        <v>30000</v>
      </c>
      <c r="X2281" s="608">
        <f t="shared" si="2160"/>
        <v>0</v>
      </c>
      <c r="Y2281" s="572" t="s">
        <v>1513</v>
      </c>
      <c r="Z2281" s="572">
        <f t="shared" si="2165"/>
        <v>0</v>
      </c>
      <c r="AA2281" s="1">
        <f t="shared" si="2166"/>
        <v>30</v>
      </c>
    </row>
    <row r="2282" spans="1:27" x14ac:dyDescent="0.2">
      <c r="A2282" s="17" t="str">
        <f>A1178</f>
        <v>7.13.2 Mise en place des instruments de gestion académique, financière et administrative dans les EES</v>
      </c>
      <c r="B2282" s="45"/>
      <c r="C2282" s="386">
        <f>C1178</f>
        <v>0</v>
      </c>
      <c r="D2282" s="157">
        <f t="shared" si="2149"/>
        <v>38.75</v>
      </c>
      <c r="E2282" s="157">
        <f t="shared" si="2150"/>
        <v>93</v>
      </c>
      <c r="F2282" s="157">
        <f t="shared" si="2151"/>
        <v>3</v>
      </c>
      <c r="G2282" s="157">
        <f t="shared" si="2152"/>
        <v>3</v>
      </c>
      <c r="H2282" s="157">
        <f t="shared" si="2153"/>
        <v>3</v>
      </c>
      <c r="I2282" s="160">
        <f t="shared" si="2154"/>
        <v>140.75</v>
      </c>
      <c r="J2282" s="374">
        <f t="shared" si="2155"/>
        <v>0</v>
      </c>
      <c r="K2282" s="348">
        <f t="shared" si="2156"/>
        <v>0</v>
      </c>
      <c r="L2282" s="35">
        <f t="shared" ref="L2282:Q2282" si="2224">SUM(L2283:L2284)</f>
        <v>38750</v>
      </c>
      <c r="M2282" s="34">
        <f t="shared" si="2224"/>
        <v>93000</v>
      </c>
      <c r="N2282" s="34">
        <f t="shared" si="2224"/>
        <v>3000</v>
      </c>
      <c r="O2282" s="34">
        <f t="shared" si="2224"/>
        <v>3000</v>
      </c>
      <c r="P2282" s="34">
        <f t="shared" si="2224"/>
        <v>3000</v>
      </c>
      <c r="Q2282" s="26">
        <f t="shared" si="2224"/>
        <v>140750</v>
      </c>
      <c r="R2282" s="209">
        <f t="shared" ref="R2282:S2282" si="2225">SUM(R2283:R2284)</f>
        <v>0</v>
      </c>
      <c r="S2282" s="116">
        <f t="shared" si="2225"/>
        <v>0</v>
      </c>
      <c r="T2282" s="50">
        <f>T1178</f>
        <v>0</v>
      </c>
      <c r="W2282" s="608">
        <f t="shared" si="2159"/>
        <v>140750</v>
      </c>
      <c r="X2282" s="608">
        <f t="shared" si="2160"/>
        <v>0</v>
      </c>
      <c r="Y2282" s="572" t="s">
        <v>1513</v>
      </c>
      <c r="Z2282" s="572">
        <f t="shared" si="2165"/>
        <v>0</v>
      </c>
      <c r="AA2282" s="1">
        <f t="shared" si="2166"/>
        <v>140.75</v>
      </c>
    </row>
    <row r="2283" spans="1:27" x14ac:dyDescent="0.2">
      <c r="A2283" s="20" t="str">
        <f>A1179</f>
        <v>7.13.2.1 Conception des outils de bonne gouvernance</v>
      </c>
      <c r="B2283" s="149"/>
      <c r="C2283" s="386">
        <f>C1179</f>
        <v>0</v>
      </c>
      <c r="D2283" s="168">
        <f t="shared" si="2149"/>
        <v>38.75</v>
      </c>
      <c r="E2283" s="168">
        <f t="shared" si="2150"/>
        <v>0</v>
      </c>
      <c r="F2283" s="168">
        <f t="shared" si="2151"/>
        <v>0</v>
      </c>
      <c r="G2283" s="168">
        <f t="shared" si="2152"/>
        <v>0</v>
      </c>
      <c r="H2283" s="168">
        <f t="shared" si="2153"/>
        <v>0</v>
      </c>
      <c r="I2283" s="166">
        <f t="shared" si="2154"/>
        <v>38.75</v>
      </c>
      <c r="J2283" s="371" t="str">
        <f t="shared" si="2155"/>
        <v>MESU-DEP</v>
      </c>
      <c r="K2283" s="350" t="str">
        <f t="shared" si="2156"/>
        <v>GVT/BM</v>
      </c>
      <c r="L2283" s="167">
        <f t="shared" ref="L2283:Q2283" si="2226">L1179</f>
        <v>38750</v>
      </c>
      <c r="M2283" s="36">
        <f t="shared" si="2226"/>
        <v>0</v>
      </c>
      <c r="N2283" s="36">
        <f t="shared" si="2226"/>
        <v>0</v>
      </c>
      <c r="O2283" s="36">
        <f t="shared" si="2226"/>
        <v>0</v>
      </c>
      <c r="P2283" s="36">
        <f t="shared" si="2226"/>
        <v>0</v>
      </c>
      <c r="Q2283" s="27">
        <f t="shared" si="2226"/>
        <v>38750</v>
      </c>
      <c r="R2283" s="198" t="str">
        <f t="shared" ref="R2283:S2283" si="2227">R1179</f>
        <v>MESU-DEP</v>
      </c>
      <c r="S2283" s="147" t="str">
        <f t="shared" si="2227"/>
        <v>GVT/BM</v>
      </c>
      <c r="T2283" s="51">
        <f>T1179</f>
        <v>0</v>
      </c>
      <c r="W2283" s="608">
        <f t="shared" si="2159"/>
        <v>38750</v>
      </c>
      <c r="X2283" s="608">
        <f t="shared" si="2160"/>
        <v>0</v>
      </c>
      <c r="Y2283" s="572" t="s">
        <v>1513</v>
      </c>
      <c r="Z2283" s="572">
        <f t="shared" si="2165"/>
        <v>0</v>
      </c>
      <c r="AA2283" s="1">
        <f t="shared" si="2166"/>
        <v>38.75</v>
      </c>
    </row>
    <row r="2284" spans="1:27" x14ac:dyDescent="0.2">
      <c r="A2284" s="20" t="str">
        <f>A1183</f>
        <v>7.13.2.2 Renforcement des capacités des gestionnaires des EES sur l'utilisation des outils de bonne gouvernance</v>
      </c>
      <c r="B2284" s="149"/>
      <c r="C2284" s="386">
        <f>C1183</f>
        <v>0</v>
      </c>
      <c r="D2284" s="168">
        <f t="shared" si="2149"/>
        <v>0</v>
      </c>
      <c r="E2284" s="168">
        <f t="shared" si="2150"/>
        <v>93</v>
      </c>
      <c r="F2284" s="168">
        <f t="shared" si="2151"/>
        <v>3</v>
      </c>
      <c r="G2284" s="168">
        <f t="shared" si="2152"/>
        <v>3</v>
      </c>
      <c r="H2284" s="168">
        <f t="shared" si="2153"/>
        <v>3</v>
      </c>
      <c r="I2284" s="166">
        <f t="shared" si="2154"/>
        <v>102</v>
      </c>
      <c r="J2284" s="371" t="str">
        <f t="shared" si="2155"/>
        <v>MESU-DEP</v>
      </c>
      <c r="K2284" s="350" t="str">
        <f t="shared" si="2156"/>
        <v>GVT/BM</v>
      </c>
      <c r="L2284" s="167">
        <f t="shared" ref="L2284:T2284" si="2228">L1183</f>
        <v>0</v>
      </c>
      <c r="M2284" s="36">
        <f t="shared" si="2228"/>
        <v>93000</v>
      </c>
      <c r="N2284" s="36">
        <f t="shared" si="2228"/>
        <v>3000</v>
      </c>
      <c r="O2284" s="36">
        <f t="shared" si="2228"/>
        <v>3000</v>
      </c>
      <c r="P2284" s="36">
        <f t="shared" si="2228"/>
        <v>3000</v>
      </c>
      <c r="Q2284" s="27">
        <f t="shared" si="2228"/>
        <v>102000</v>
      </c>
      <c r="R2284" s="198" t="str">
        <f t="shared" ref="R2284:S2284" si="2229">R1183</f>
        <v>MESU-DEP</v>
      </c>
      <c r="S2284" s="147" t="str">
        <f t="shared" si="2229"/>
        <v>GVT/BM</v>
      </c>
      <c r="T2284" s="51">
        <f t="shared" si="2228"/>
        <v>0</v>
      </c>
      <c r="W2284" s="608">
        <f t="shared" si="2159"/>
        <v>102000</v>
      </c>
      <c r="X2284" s="608">
        <f t="shared" si="2160"/>
        <v>0</v>
      </c>
      <c r="Y2284" s="572" t="s">
        <v>1513</v>
      </c>
      <c r="Z2284" s="572">
        <f t="shared" si="2165"/>
        <v>0</v>
      </c>
      <c r="AA2284" s="1">
        <f t="shared" si="2166"/>
        <v>102</v>
      </c>
    </row>
    <row r="2285" spans="1:27" x14ac:dyDescent="0.2">
      <c r="A2285" s="17" t="str">
        <f>A1187</f>
        <v>7.13.3 Mise en place des mécanismes d’évaluation externe</v>
      </c>
      <c r="B2285" s="45"/>
      <c r="C2285" s="386" t="str">
        <f>C1187</f>
        <v>En 2025, les mécanismes de participation des partenaires externes à la gestion des EES publics sont en place</v>
      </c>
      <c r="D2285" s="157">
        <f t="shared" si="2149"/>
        <v>0</v>
      </c>
      <c r="E2285" s="157">
        <f t="shared" si="2150"/>
        <v>0</v>
      </c>
      <c r="F2285" s="157">
        <f t="shared" si="2151"/>
        <v>11.5</v>
      </c>
      <c r="G2285" s="157">
        <f t="shared" si="2152"/>
        <v>5.5</v>
      </c>
      <c r="H2285" s="157">
        <f t="shared" si="2153"/>
        <v>5.5</v>
      </c>
      <c r="I2285" s="160">
        <f t="shared" si="2154"/>
        <v>22.5</v>
      </c>
      <c r="J2285" s="374">
        <f t="shared" si="2155"/>
        <v>0</v>
      </c>
      <c r="K2285" s="348">
        <f t="shared" si="2156"/>
        <v>0</v>
      </c>
      <c r="L2285" s="35">
        <f t="shared" ref="L2285:S2285" si="2230">SUM(L2286:L2286)</f>
        <v>0</v>
      </c>
      <c r="M2285" s="34">
        <f t="shared" si="2230"/>
        <v>0</v>
      </c>
      <c r="N2285" s="34">
        <f t="shared" si="2230"/>
        <v>11500</v>
      </c>
      <c r="O2285" s="34">
        <f t="shared" si="2230"/>
        <v>5500</v>
      </c>
      <c r="P2285" s="34">
        <f t="shared" si="2230"/>
        <v>5500</v>
      </c>
      <c r="Q2285" s="26">
        <f t="shared" si="2230"/>
        <v>22500</v>
      </c>
      <c r="R2285" s="209">
        <f t="shared" si="2230"/>
        <v>0</v>
      </c>
      <c r="S2285" s="116">
        <f t="shared" si="2230"/>
        <v>0</v>
      </c>
      <c r="T2285" s="50">
        <f>T1187</f>
        <v>0</v>
      </c>
      <c r="W2285" s="608">
        <f t="shared" si="2159"/>
        <v>22500</v>
      </c>
      <c r="X2285" s="608">
        <f t="shared" si="2160"/>
        <v>0</v>
      </c>
      <c r="Y2285" s="572" t="s">
        <v>1513</v>
      </c>
      <c r="Z2285" s="572">
        <f t="shared" si="2165"/>
        <v>0</v>
      </c>
      <c r="AA2285" s="1">
        <f t="shared" si="2166"/>
        <v>22.5</v>
      </c>
    </row>
    <row r="2286" spans="1:27" x14ac:dyDescent="0.2">
      <c r="A2286" s="20" t="str">
        <f>A1188</f>
        <v>7.13.3.1 Mise en place d'un cadre permanent de concertation</v>
      </c>
      <c r="B2286" s="149"/>
      <c r="C2286" s="386">
        <f>C1188</f>
        <v>0</v>
      </c>
      <c r="D2286" s="168">
        <f t="shared" si="2149"/>
        <v>0</v>
      </c>
      <c r="E2286" s="168">
        <f t="shared" si="2150"/>
        <v>0</v>
      </c>
      <c r="F2286" s="168">
        <f t="shared" si="2151"/>
        <v>11.5</v>
      </c>
      <c r="G2286" s="168">
        <f t="shared" si="2152"/>
        <v>5.5</v>
      </c>
      <c r="H2286" s="168">
        <f t="shared" si="2153"/>
        <v>5.5</v>
      </c>
      <c r="I2286" s="166">
        <f t="shared" si="2154"/>
        <v>22.5</v>
      </c>
      <c r="J2286" s="371" t="str">
        <f t="shared" si="2155"/>
        <v>MESU/DEP-CA</v>
      </c>
      <c r="K2286" s="350" t="str">
        <f t="shared" si="2156"/>
        <v>GVT/BM</v>
      </c>
      <c r="L2286" s="167">
        <f t="shared" ref="L2286:Q2286" si="2231">L1188</f>
        <v>0</v>
      </c>
      <c r="M2286" s="36">
        <f t="shared" si="2231"/>
        <v>0</v>
      </c>
      <c r="N2286" s="36">
        <f t="shared" si="2231"/>
        <v>11500</v>
      </c>
      <c r="O2286" s="36">
        <f t="shared" si="2231"/>
        <v>5500</v>
      </c>
      <c r="P2286" s="36">
        <f t="shared" si="2231"/>
        <v>5500</v>
      </c>
      <c r="Q2286" s="27">
        <f t="shared" si="2231"/>
        <v>22500</v>
      </c>
      <c r="R2286" s="198" t="str">
        <f t="shared" ref="R2286:S2286" si="2232">R1188</f>
        <v>MESU/DEP-CA</v>
      </c>
      <c r="S2286" s="147" t="str">
        <f t="shared" si="2232"/>
        <v>GVT/BM</v>
      </c>
      <c r="T2286" s="51">
        <f>T1188</f>
        <v>0</v>
      </c>
      <c r="W2286" s="608">
        <f t="shared" si="2159"/>
        <v>22500</v>
      </c>
      <c r="X2286" s="608">
        <f t="shared" si="2160"/>
        <v>0</v>
      </c>
      <c r="Y2286" s="572" t="s">
        <v>1513</v>
      </c>
      <c r="Z2286" s="572">
        <f t="shared" si="2165"/>
        <v>0</v>
      </c>
      <c r="AA2286" s="1">
        <f t="shared" si="2166"/>
        <v>22.5</v>
      </c>
    </row>
    <row r="2287" spans="1:27" x14ac:dyDescent="0.2">
      <c r="A2287" s="17" t="str">
        <f>A1191</f>
        <v>7.13.4 Mise en place des contrats de performances avec les EES</v>
      </c>
      <c r="B2287" s="45"/>
      <c r="C2287" s="386">
        <f>C1191</f>
        <v>0</v>
      </c>
      <c r="D2287" s="157">
        <f t="shared" si="2149"/>
        <v>30</v>
      </c>
      <c r="E2287" s="157">
        <f t="shared" si="2150"/>
        <v>34</v>
      </c>
      <c r="F2287" s="157">
        <f t="shared" si="2151"/>
        <v>0</v>
      </c>
      <c r="G2287" s="157">
        <f t="shared" si="2152"/>
        <v>0</v>
      </c>
      <c r="H2287" s="157">
        <f t="shared" si="2153"/>
        <v>0</v>
      </c>
      <c r="I2287" s="160">
        <f t="shared" si="2154"/>
        <v>64</v>
      </c>
      <c r="J2287" s="374">
        <f t="shared" si="2155"/>
        <v>0</v>
      </c>
      <c r="K2287" s="348">
        <f t="shared" si="2156"/>
        <v>0</v>
      </c>
      <c r="L2287" s="35">
        <f t="shared" ref="L2287:S2287" si="2233">SUM(L2288:L2288)</f>
        <v>30000</v>
      </c>
      <c r="M2287" s="34">
        <f t="shared" si="2233"/>
        <v>34000</v>
      </c>
      <c r="N2287" s="34">
        <f t="shared" si="2233"/>
        <v>0</v>
      </c>
      <c r="O2287" s="34">
        <f t="shared" si="2233"/>
        <v>0</v>
      </c>
      <c r="P2287" s="34">
        <f t="shared" si="2233"/>
        <v>0</v>
      </c>
      <c r="Q2287" s="26">
        <f t="shared" si="2233"/>
        <v>64000</v>
      </c>
      <c r="R2287" s="209">
        <f t="shared" si="2233"/>
        <v>0</v>
      </c>
      <c r="S2287" s="210">
        <f t="shared" si="2233"/>
        <v>0</v>
      </c>
      <c r="T2287" s="50">
        <f>T1191</f>
        <v>0</v>
      </c>
      <c r="W2287" s="608">
        <f t="shared" si="2159"/>
        <v>64000</v>
      </c>
      <c r="X2287" s="608">
        <f t="shared" si="2160"/>
        <v>0</v>
      </c>
      <c r="Y2287" s="572" t="s">
        <v>1513</v>
      </c>
      <c r="Z2287" s="572">
        <f t="shared" si="2165"/>
        <v>0</v>
      </c>
      <c r="AA2287" s="1">
        <f t="shared" si="2166"/>
        <v>64</v>
      </c>
    </row>
    <row r="2288" spans="1:27" x14ac:dyDescent="0.2">
      <c r="A2288" s="20" t="str">
        <f>A1192</f>
        <v xml:space="preserve">7.13.4.1 Élaboration et validation des contrats des performances </v>
      </c>
      <c r="B2288" s="149"/>
      <c r="C2288" s="386">
        <f>C1192</f>
        <v>0</v>
      </c>
      <c r="D2288" s="168">
        <f t="shared" si="2149"/>
        <v>30</v>
      </c>
      <c r="E2288" s="168">
        <f t="shared" si="2150"/>
        <v>34</v>
      </c>
      <c r="F2288" s="168">
        <f t="shared" si="2151"/>
        <v>0</v>
      </c>
      <c r="G2288" s="168">
        <f t="shared" si="2152"/>
        <v>0</v>
      </c>
      <c r="H2288" s="168">
        <f t="shared" si="2153"/>
        <v>0</v>
      </c>
      <c r="I2288" s="166">
        <f t="shared" si="2154"/>
        <v>64</v>
      </c>
      <c r="J2288" s="371" t="str">
        <f t="shared" si="2155"/>
        <v>MESU/DEP</v>
      </c>
      <c r="K2288" s="350" t="str">
        <f t="shared" si="2156"/>
        <v>GVT/BM</v>
      </c>
      <c r="L2288" s="167">
        <f t="shared" ref="L2288:Q2288" si="2234">L1192</f>
        <v>30000</v>
      </c>
      <c r="M2288" s="36">
        <f t="shared" si="2234"/>
        <v>34000</v>
      </c>
      <c r="N2288" s="36">
        <f t="shared" si="2234"/>
        <v>0</v>
      </c>
      <c r="O2288" s="36">
        <f t="shared" si="2234"/>
        <v>0</v>
      </c>
      <c r="P2288" s="36">
        <f t="shared" si="2234"/>
        <v>0</v>
      </c>
      <c r="Q2288" s="27">
        <f t="shared" si="2234"/>
        <v>64000</v>
      </c>
      <c r="R2288" s="198" t="str">
        <f t="shared" ref="R2288:S2288" si="2235">R1192</f>
        <v>MESU/DEP</v>
      </c>
      <c r="S2288" s="147" t="str">
        <f t="shared" si="2235"/>
        <v>GVT/BM</v>
      </c>
      <c r="T2288" s="51">
        <f>T1192</f>
        <v>0</v>
      </c>
      <c r="W2288" s="608">
        <f t="shared" si="2159"/>
        <v>64000</v>
      </c>
      <c r="X2288" s="608">
        <f t="shared" si="2160"/>
        <v>0</v>
      </c>
      <c r="Y2288" s="572" t="s">
        <v>1513</v>
      </c>
      <c r="Z2288" s="572">
        <f t="shared" si="2165"/>
        <v>0</v>
      </c>
      <c r="AA2288" s="1">
        <f t="shared" si="2166"/>
        <v>64</v>
      </c>
    </row>
    <row r="2289" spans="1:27" x14ac:dyDescent="0.2">
      <c r="A2289" s="11" t="str">
        <f>A1196</f>
        <v>8. Gestion, pilotage et évaluation du système éducatif : Renforcer les capacités de gestion des ministères en charge de l'éducation et assurer le pilotage et le suivi-évaluation du système</v>
      </c>
      <c r="B2289" s="13"/>
      <c r="C2289" s="391">
        <f>C1196</f>
        <v>0</v>
      </c>
      <c r="D2289" s="339">
        <f t="shared" si="2149"/>
        <v>121076.2</v>
      </c>
      <c r="E2289" s="339">
        <f t="shared" si="2150"/>
        <v>131917.95300000001</v>
      </c>
      <c r="F2289" s="339">
        <f t="shared" si="2151"/>
        <v>143217.31299999999</v>
      </c>
      <c r="G2289" s="339">
        <f t="shared" si="2152"/>
        <v>159198.63</v>
      </c>
      <c r="H2289" s="339">
        <f t="shared" si="2153"/>
        <v>178477.69</v>
      </c>
      <c r="I2289" s="375">
        <f t="shared" si="2154"/>
        <v>733887.78599999996</v>
      </c>
      <c r="J2289" s="372">
        <f t="shared" si="2155"/>
        <v>0</v>
      </c>
      <c r="K2289" s="344">
        <f t="shared" si="2156"/>
        <v>0</v>
      </c>
      <c r="L2289" s="30">
        <f>L2290+L2306+L2311+L2316+L2327+L2338+L2345+L2351+L2321+L2358+L2367+L2384+L2395+L2406+L2426+L2434+L2451+L2486+L2506</f>
        <v>121076200</v>
      </c>
      <c r="M2289" s="29">
        <f t="shared" ref="M2289:Q2289" si="2236">M2290+M2306+M2311+M2316+M2327+M2338+M2345+M2351+M2321+M2358+M2367+M2384+M2395+M2406+M2426+M2434+M2451+M2486+M2506</f>
        <v>131917953</v>
      </c>
      <c r="N2289" s="29">
        <f t="shared" si="2236"/>
        <v>143217313</v>
      </c>
      <c r="O2289" s="29">
        <f t="shared" si="2236"/>
        <v>159198630</v>
      </c>
      <c r="P2289" s="29">
        <f t="shared" si="2236"/>
        <v>178477690</v>
      </c>
      <c r="Q2289" s="24">
        <f t="shared" si="2236"/>
        <v>733887786</v>
      </c>
      <c r="R2289" s="523">
        <f t="shared" ref="R2289:S2289" si="2237">R2290+R2306+R2311+R2316+R2327+R2338+R2345+R2351+R2321+R2358+R2367+R2384+R2395+R2406+R2426+R2434+R2451+R2486+R2506</f>
        <v>0</v>
      </c>
      <c r="S2289" s="144">
        <f t="shared" si="2237"/>
        <v>0</v>
      </c>
      <c r="T2289" s="48">
        <f>T1196</f>
        <v>0</v>
      </c>
      <c r="W2289" s="608">
        <f t="shared" si="2159"/>
        <v>733887786</v>
      </c>
      <c r="X2289" s="608">
        <f t="shared" si="2160"/>
        <v>0</v>
      </c>
      <c r="Y2289" s="572" t="s">
        <v>1513</v>
      </c>
      <c r="Z2289" s="572">
        <f t="shared" si="2165"/>
        <v>0</v>
      </c>
      <c r="AA2289" s="1">
        <f t="shared" si="2166"/>
        <v>733887.78599999996</v>
      </c>
    </row>
    <row r="2290" spans="1:27" x14ac:dyDescent="0.2">
      <c r="A2290" s="14" t="str">
        <f>A1197</f>
        <v>8.1 Moyens des services administratifs : Moyens des services administratifs</v>
      </c>
      <c r="B2290" s="44"/>
      <c r="C2290" s="385">
        <f>C1197</f>
        <v>0</v>
      </c>
      <c r="D2290" s="217">
        <f t="shared" si="2149"/>
        <v>19338.72</v>
      </c>
      <c r="E2290" s="217">
        <f t="shared" si="2150"/>
        <v>21333.51</v>
      </c>
      <c r="F2290" s="217">
        <f t="shared" si="2151"/>
        <v>22424.37</v>
      </c>
      <c r="G2290" s="217">
        <f t="shared" si="2152"/>
        <v>23686.5</v>
      </c>
      <c r="H2290" s="217">
        <f t="shared" si="2153"/>
        <v>24990.16</v>
      </c>
      <c r="I2290" s="220">
        <f t="shared" si="2154"/>
        <v>111773.26</v>
      </c>
      <c r="J2290" s="373">
        <f t="shared" si="2155"/>
        <v>0</v>
      </c>
      <c r="K2290" s="346">
        <f t="shared" si="2156"/>
        <v>0</v>
      </c>
      <c r="L2290" s="33">
        <f t="shared" ref="L2290:Q2290" si="2238">L2291+L2296+L2301</f>
        <v>19338720</v>
      </c>
      <c r="M2290" s="32">
        <f t="shared" si="2238"/>
        <v>21333510</v>
      </c>
      <c r="N2290" s="32">
        <f t="shared" si="2238"/>
        <v>22424370</v>
      </c>
      <c r="O2290" s="32">
        <f t="shared" si="2238"/>
        <v>23686500</v>
      </c>
      <c r="P2290" s="32">
        <f t="shared" si="2238"/>
        <v>24990160</v>
      </c>
      <c r="Q2290" s="25">
        <f t="shared" si="2238"/>
        <v>111773260</v>
      </c>
      <c r="R2290" s="515">
        <f t="shared" ref="R2290:S2290" si="2239">R2291+R2296+R2301</f>
        <v>0</v>
      </c>
      <c r="S2290" s="145">
        <f t="shared" si="2239"/>
        <v>0</v>
      </c>
      <c r="T2290" s="49">
        <f>T1197</f>
        <v>3</v>
      </c>
      <c r="W2290" s="608">
        <f t="shared" si="2159"/>
        <v>111773260</v>
      </c>
      <c r="X2290" s="608">
        <f t="shared" si="2160"/>
        <v>0</v>
      </c>
      <c r="Y2290" s="608"/>
      <c r="Z2290" s="572">
        <f t="shared" si="2165"/>
        <v>0</v>
      </c>
      <c r="AA2290" s="1">
        <f t="shared" si="2166"/>
        <v>0</v>
      </c>
    </row>
    <row r="2291" spans="1:27" s="162" customFormat="1" x14ac:dyDescent="0.2">
      <c r="A2291" s="122" t="str">
        <f>A1198</f>
        <v>8.1.1 Rémunérations</v>
      </c>
      <c r="B2291" s="152"/>
      <c r="C2291" s="389" t="str">
        <f>C1198</f>
        <v>Les services gestionnaires ont les ressources suffisantes pour un fonctionnement efficace</v>
      </c>
      <c r="D2291" s="157">
        <f t="shared" si="2149"/>
        <v>9664.69</v>
      </c>
      <c r="E2291" s="157">
        <f t="shared" si="2150"/>
        <v>10961.35</v>
      </c>
      <c r="F2291" s="157">
        <f t="shared" si="2151"/>
        <v>11180.58</v>
      </c>
      <c r="G2291" s="157">
        <f t="shared" si="2152"/>
        <v>11404.19</v>
      </c>
      <c r="H2291" s="157">
        <f t="shared" si="2153"/>
        <v>11632.28</v>
      </c>
      <c r="I2291" s="160">
        <f t="shared" si="2154"/>
        <v>54843.09</v>
      </c>
      <c r="J2291" s="374">
        <f t="shared" si="2155"/>
        <v>0</v>
      </c>
      <c r="K2291" s="341">
        <f t="shared" si="2156"/>
        <v>0</v>
      </c>
      <c r="L2291" s="161">
        <f t="shared" ref="L2291:Q2291" si="2240">SUM(L2292:L2295)</f>
        <v>9664690</v>
      </c>
      <c r="M2291" s="157">
        <f t="shared" si="2240"/>
        <v>10961350</v>
      </c>
      <c r="N2291" s="157">
        <f t="shared" si="2240"/>
        <v>11180580</v>
      </c>
      <c r="O2291" s="157">
        <f t="shared" si="2240"/>
        <v>11404190</v>
      </c>
      <c r="P2291" s="157">
        <f t="shared" si="2240"/>
        <v>11632280</v>
      </c>
      <c r="Q2291" s="158">
        <f t="shared" si="2240"/>
        <v>54843090</v>
      </c>
      <c r="R2291" s="524">
        <f t="shared" ref="R2291:S2291" si="2241">SUM(R2292:R2295)</f>
        <v>0</v>
      </c>
      <c r="S2291" s="208">
        <f t="shared" si="2241"/>
        <v>0</v>
      </c>
      <c r="T2291" s="154">
        <f>T1198</f>
        <v>0</v>
      </c>
      <c r="U2291" s="653"/>
      <c r="V2291" s="572"/>
      <c r="W2291" s="608">
        <f t="shared" si="2159"/>
        <v>54843090</v>
      </c>
      <c r="X2291" s="608">
        <f t="shared" si="2160"/>
        <v>0</v>
      </c>
      <c r="Y2291" s="572"/>
      <c r="Z2291" s="572">
        <f t="shared" si="2165"/>
        <v>0</v>
      </c>
      <c r="AA2291" s="1">
        <f t="shared" si="2166"/>
        <v>0</v>
      </c>
    </row>
    <row r="2292" spans="1:27" s="162" customFormat="1" x14ac:dyDescent="0.2">
      <c r="A2292" s="123" t="str">
        <f>A1199</f>
        <v>8.1.1.1 Rémunération des personnels des services centraux EPSINC</v>
      </c>
      <c r="B2292" s="244"/>
      <c r="C2292" s="389">
        <f>C1199</f>
        <v>0</v>
      </c>
      <c r="D2292" s="168">
        <f t="shared" si="2149"/>
        <v>7421.69</v>
      </c>
      <c r="E2292" s="168">
        <f t="shared" si="2150"/>
        <v>7570.12</v>
      </c>
      <c r="F2292" s="168">
        <f t="shared" si="2151"/>
        <v>7721.52</v>
      </c>
      <c r="G2292" s="168">
        <f t="shared" si="2152"/>
        <v>7875.95</v>
      </c>
      <c r="H2292" s="168">
        <f t="shared" si="2153"/>
        <v>8033.47</v>
      </c>
      <c r="I2292" s="166">
        <f t="shared" si="2154"/>
        <v>38622.75</v>
      </c>
      <c r="J2292" s="371" t="str">
        <f t="shared" si="2155"/>
        <v>EPS-SECOPE</v>
      </c>
      <c r="K2292" s="342" t="str">
        <f t="shared" si="2156"/>
        <v>GVT</v>
      </c>
      <c r="L2292" s="167">
        <f t="shared" ref="L2292:Q2292" si="2242">L1199</f>
        <v>7421690</v>
      </c>
      <c r="M2292" s="168">
        <f t="shared" si="2242"/>
        <v>7570120</v>
      </c>
      <c r="N2292" s="168">
        <f t="shared" si="2242"/>
        <v>7721520</v>
      </c>
      <c r="O2292" s="168">
        <f t="shared" si="2242"/>
        <v>7875950</v>
      </c>
      <c r="P2292" s="168">
        <f t="shared" si="2242"/>
        <v>8033470</v>
      </c>
      <c r="Q2292" s="165">
        <f t="shared" si="2242"/>
        <v>38622750</v>
      </c>
      <c r="R2292" s="521" t="str">
        <f t="shared" ref="R2292:S2292" si="2243">R1199</f>
        <v>EPS-SECOPE</v>
      </c>
      <c r="S2292" s="94" t="str">
        <f t="shared" si="2243"/>
        <v>GVT</v>
      </c>
      <c r="T2292" s="153">
        <f>T1199</f>
        <v>0</v>
      </c>
      <c r="U2292" s="653"/>
      <c r="V2292" s="572"/>
      <c r="W2292" s="608">
        <f t="shared" si="2159"/>
        <v>38622750</v>
      </c>
      <c r="X2292" s="608">
        <f t="shared" si="2160"/>
        <v>0</v>
      </c>
      <c r="Y2292" s="572"/>
      <c r="Z2292" s="572">
        <f t="shared" si="2165"/>
        <v>0</v>
      </c>
      <c r="AA2292" s="1">
        <f t="shared" si="2166"/>
        <v>0</v>
      </c>
    </row>
    <row r="2293" spans="1:27" s="162" customFormat="1" x14ac:dyDescent="0.2">
      <c r="A2293" s="123" t="str">
        <f>A1201</f>
        <v>8.1.1.2 Rémunération des personnels des services centraux du MESU</v>
      </c>
      <c r="B2293" s="244"/>
      <c r="C2293" s="389">
        <f>C1201</f>
        <v>0</v>
      </c>
      <c r="D2293" s="168">
        <f t="shared" si="2149"/>
        <v>773.69</v>
      </c>
      <c r="E2293" s="168">
        <f t="shared" si="2150"/>
        <v>657.58</v>
      </c>
      <c r="F2293" s="168">
        <f t="shared" si="2151"/>
        <v>670.73</v>
      </c>
      <c r="G2293" s="168">
        <f t="shared" si="2152"/>
        <v>684.14</v>
      </c>
      <c r="H2293" s="168">
        <f t="shared" si="2153"/>
        <v>697.83</v>
      </c>
      <c r="I2293" s="166">
        <f t="shared" si="2154"/>
        <v>3483.97</v>
      </c>
      <c r="J2293" s="371" t="str">
        <f t="shared" si="2155"/>
        <v>MESU-DSG</v>
      </c>
      <c r="K2293" s="342" t="str">
        <f t="shared" si="2156"/>
        <v>GVT</v>
      </c>
      <c r="L2293" s="167">
        <f t="shared" ref="L2293:T2293" si="2244">L1201</f>
        <v>773690</v>
      </c>
      <c r="M2293" s="168">
        <f t="shared" si="2244"/>
        <v>657580</v>
      </c>
      <c r="N2293" s="168">
        <f t="shared" si="2244"/>
        <v>670730</v>
      </c>
      <c r="O2293" s="168">
        <f t="shared" si="2244"/>
        <v>684140</v>
      </c>
      <c r="P2293" s="168">
        <f t="shared" si="2244"/>
        <v>697830</v>
      </c>
      <c r="Q2293" s="165">
        <f t="shared" si="2244"/>
        <v>3483970</v>
      </c>
      <c r="R2293" s="521" t="str">
        <f t="shared" ref="R2293:S2293" si="2245">R1201</f>
        <v>MESU-DSG</v>
      </c>
      <c r="S2293" s="94" t="str">
        <f t="shared" si="2245"/>
        <v>GVT</v>
      </c>
      <c r="T2293" s="153">
        <f t="shared" si="2244"/>
        <v>0</v>
      </c>
      <c r="U2293" s="653"/>
      <c r="V2293" s="572"/>
      <c r="W2293" s="608">
        <f t="shared" si="2159"/>
        <v>3483970</v>
      </c>
      <c r="X2293" s="608">
        <f t="shared" si="2160"/>
        <v>0</v>
      </c>
      <c r="Y2293" s="572"/>
      <c r="Z2293" s="572">
        <f t="shared" si="2165"/>
        <v>0</v>
      </c>
      <c r="AA2293" s="1">
        <f t="shared" si="2166"/>
        <v>0</v>
      </c>
    </row>
    <row r="2294" spans="1:27" s="162" customFormat="1" x14ac:dyDescent="0.2">
      <c r="A2294" s="123" t="str">
        <f>A1203</f>
        <v>8.1.1.3 Rémunération des personnels des services centraux MAS</v>
      </c>
      <c r="B2294" s="244"/>
      <c r="C2294" s="389">
        <f>C1203</f>
        <v>0</v>
      </c>
      <c r="D2294" s="168">
        <f t="shared" si="2149"/>
        <v>644.67999999999995</v>
      </c>
      <c r="E2294" s="168">
        <f t="shared" si="2150"/>
        <v>1892.53</v>
      </c>
      <c r="F2294" s="168">
        <f t="shared" si="2151"/>
        <v>1930.38</v>
      </c>
      <c r="G2294" s="168">
        <f t="shared" si="2152"/>
        <v>1968.99</v>
      </c>
      <c r="H2294" s="168">
        <f t="shared" si="2153"/>
        <v>2008.37</v>
      </c>
      <c r="I2294" s="166">
        <f t="shared" si="2154"/>
        <v>8444.9500000000007</v>
      </c>
      <c r="J2294" s="371" t="str">
        <f t="shared" si="2155"/>
        <v>MAS-DSG</v>
      </c>
      <c r="K2294" s="342" t="str">
        <f t="shared" si="2156"/>
        <v>GVT</v>
      </c>
      <c r="L2294" s="167">
        <f t="shared" ref="L2294:T2294" si="2246">L1203</f>
        <v>644680</v>
      </c>
      <c r="M2294" s="168">
        <f t="shared" si="2246"/>
        <v>1892530</v>
      </c>
      <c r="N2294" s="168">
        <f t="shared" si="2246"/>
        <v>1930380</v>
      </c>
      <c r="O2294" s="168">
        <f t="shared" si="2246"/>
        <v>1968990</v>
      </c>
      <c r="P2294" s="168">
        <f t="shared" si="2246"/>
        <v>2008370</v>
      </c>
      <c r="Q2294" s="165">
        <f t="shared" si="2246"/>
        <v>8444950</v>
      </c>
      <c r="R2294" s="521" t="str">
        <f t="shared" ref="R2294:S2294" si="2247">R1203</f>
        <v>MAS-DSG</v>
      </c>
      <c r="S2294" s="94" t="str">
        <f t="shared" si="2247"/>
        <v>GVT</v>
      </c>
      <c r="T2294" s="153">
        <f t="shared" si="2246"/>
        <v>0</v>
      </c>
      <c r="U2294" s="653"/>
      <c r="V2294" s="572"/>
      <c r="W2294" s="608">
        <f t="shared" si="2159"/>
        <v>8444950</v>
      </c>
      <c r="X2294" s="608">
        <f t="shared" si="2160"/>
        <v>0</v>
      </c>
      <c r="Y2294" s="572"/>
      <c r="Z2294" s="572">
        <f t="shared" si="2165"/>
        <v>0</v>
      </c>
      <c r="AA2294" s="1">
        <f t="shared" si="2166"/>
        <v>0</v>
      </c>
    </row>
    <row r="2295" spans="1:27" s="162" customFormat="1" x14ac:dyDescent="0.2">
      <c r="A2295" s="123" t="str">
        <f>A1205</f>
        <v>8.1.1.4 Rémunération des personnels des services centraux ETP</v>
      </c>
      <c r="B2295" s="244"/>
      <c r="C2295" s="389">
        <f>C1205</f>
        <v>0</v>
      </c>
      <c r="D2295" s="168">
        <f t="shared" si="2149"/>
        <v>824.63</v>
      </c>
      <c r="E2295" s="168">
        <f t="shared" si="2150"/>
        <v>841.12</v>
      </c>
      <c r="F2295" s="168">
        <f t="shared" si="2151"/>
        <v>857.95</v>
      </c>
      <c r="G2295" s="168">
        <f t="shared" si="2152"/>
        <v>875.11</v>
      </c>
      <c r="H2295" s="168">
        <f t="shared" si="2153"/>
        <v>892.61</v>
      </c>
      <c r="I2295" s="166">
        <f t="shared" si="2154"/>
        <v>4291.42</v>
      </c>
      <c r="J2295" s="371" t="str">
        <f t="shared" si="2155"/>
        <v>ETP-DSG</v>
      </c>
      <c r="K2295" s="342" t="str">
        <f t="shared" si="2156"/>
        <v>GVT</v>
      </c>
      <c r="L2295" s="167">
        <f t="shared" ref="L2295:T2295" si="2248">L1205</f>
        <v>824630</v>
      </c>
      <c r="M2295" s="168">
        <f t="shared" si="2248"/>
        <v>841120</v>
      </c>
      <c r="N2295" s="168">
        <f t="shared" si="2248"/>
        <v>857950</v>
      </c>
      <c r="O2295" s="168">
        <f t="shared" si="2248"/>
        <v>875110</v>
      </c>
      <c r="P2295" s="168">
        <f t="shared" si="2248"/>
        <v>892610</v>
      </c>
      <c r="Q2295" s="165">
        <f t="shared" si="2248"/>
        <v>4291420</v>
      </c>
      <c r="R2295" s="521" t="str">
        <f t="shared" ref="R2295:S2295" si="2249">R1205</f>
        <v>ETP-DSG</v>
      </c>
      <c r="S2295" s="94" t="str">
        <f t="shared" si="2249"/>
        <v>GVT</v>
      </c>
      <c r="T2295" s="153">
        <f t="shared" si="2248"/>
        <v>0</v>
      </c>
      <c r="U2295" s="653"/>
      <c r="V2295" s="572"/>
      <c r="W2295" s="608">
        <f t="shared" si="2159"/>
        <v>4291420</v>
      </c>
      <c r="X2295" s="608">
        <f t="shared" si="2160"/>
        <v>0</v>
      </c>
      <c r="Y2295" s="572"/>
      <c r="Z2295" s="572">
        <f t="shared" si="2165"/>
        <v>0</v>
      </c>
      <c r="AA2295" s="1">
        <f t="shared" si="2166"/>
        <v>0</v>
      </c>
    </row>
    <row r="2296" spans="1:27" s="162" customFormat="1" x14ac:dyDescent="0.2">
      <c r="A2296" s="122" t="str">
        <f>A1207</f>
        <v>8.1.2 Autres dépenses de fonctionnement</v>
      </c>
      <c r="B2296" s="152"/>
      <c r="C2296" s="389">
        <f>C1207</f>
        <v>0</v>
      </c>
      <c r="D2296" s="157">
        <f t="shared" si="2149"/>
        <v>2698.17</v>
      </c>
      <c r="E2296" s="157">
        <f t="shared" si="2150"/>
        <v>2740.99</v>
      </c>
      <c r="F2296" s="157">
        <f t="shared" si="2151"/>
        <v>2784.68</v>
      </c>
      <c r="G2296" s="157">
        <f t="shared" si="2152"/>
        <v>2829.22</v>
      </c>
      <c r="H2296" s="157">
        <f t="shared" si="2153"/>
        <v>2874.67</v>
      </c>
      <c r="I2296" s="160">
        <f t="shared" si="2154"/>
        <v>13927.73</v>
      </c>
      <c r="J2296" s="374">
        <f t="shared" si="2155"/>
        <v>0</v>
      </c>
      <c r="K2296" s="341">
        <f t="shared" si="2156"/>
        <v>0</v>
      </c>
      <c r="L2296" s="161">
        <f t="shared" ref="L2296:Q2296" si="2250">SUM(L2297:L2300)</f>
        <v>2698170</v>
      </c>
      <c r="M2296" s="157">
        <f t="shared" si="2250"/>
        <v>2740990</v>
      </c>
      <c r="N2296" s="157">
        <f t="shared" si="2250"/>
        <v>2784680</v>
      </c>
      <c r="O2296" s="157">
        <f t="shared" si="2250"/>
        <v>2829220</v>
      </c>
      <c r="P2296" s="157">
        <f t="shared" si="2250"/>
        <v>2874670</v>
      </c>
      <c r="Q2296" s="158">
        <f t="shared" si="2250"/>
        <v>13927730</v>
      </c>
      <c r="R2296" s="524">
        <f t="shared" ref="R2296:S2296" si="2251">SUM(R2297:R2300)</f>
        <v>0</v>
      </c>
      <c r="S2296" s="208">
        <f t="shared" si="2251"/>
        <v>0</v>
      </c>
      <c r="T2296" s="154">
        <f>T1207</f>
        <v>0</v>
      </c>
      <c r="U2296" s="653"/>
      <c r="V2296" s="572"/>
      <c r="W2296" s="608">
        <f t="shared" si="2159"/>
        <v>13927730</v>
      </c>
      <c r="X2296" s="608">
        <f t="shared" si="2160"/>
        <v>0</v>
      </c>
      <c r="Y2296" s="572"/>
      <c r="Z2296" s="572">
        <f t="shared" si="2165"/>
        <v>0</v>
      </c>
      <c r="AA2296" s="1">
        <f t="shared" si="2166"/>
        <v>0</v>
      </c>
    </row>
    <row r="2297" spans="1:27" s="162" customFormat="1" x14ac:dyDescent="0.2">
      <c r="A2297" s="123" t="str">
        <f>A1208</f>
        <v>8.1.2.1 Fonctionnement des services centraux EPSINC</v>
      </c>
      <c r="B2297" s="244"/>
      <c r="C2297" s="389">
        <f>C1208</f>
        <v>0</v>
      </c>
      <c r="D2297" s="168">
        <f t="shared" si="2149"/>
        <v>1855.42</v>
      </c>
      <c r="E2297" s="168">
        <f t="shared" si="2150"/>
        <v>1855.42</v>
      </c>
      <c r="F2297" s="168">
        <f t="shared" si="2151"/>
        <v>1855.42</v>
      </c>
      <c r="G2297" s="168">
        <f t="shared" si="2152"/>
        <v>1855.42</v>
      </c>
      <c r="H2297" s="168">
        <f t="shared" si="2153"/>
        <v>1855.42</v>
      </c>
      <c r="I2297" s="166">
        <f t="shared" si="2154"/>
        <v>9277.1</v>
      </c>
      <c r="J2297" s="371" t="str">
        <f t="shared" si="2155"/>
        <v>EPS-DSG</v>
      </c>
      <c r="K2297" s="342">
        <f t="shared" si="2156"/>
        <v>0</v>
      </c>
      <c r="L2297" s="167">
        <f t="shared" ref="L2297:Q2297" si="2252">L1208</f>
        <v>1855420</v>
      </c>
      <c r="M2297" s="168">
        <f t="shared" si="2252"/>
        <v>1855420</v>
      </c>
      <c r="N2297" s="168">
        <f t="shared" si="2252"/>
        <v>1855420</v>
      </c>
      <c r="O2297" s="168">
        <f t="shared" si="2252"/>
        <v>1855420</v>
      </c>
      <c r="P2297" s="168">
        <f t="shared" si="2252"/>
        <v>1855420</v>
      </c>
      <c r="Q2297" s="165">
        <f t="shared" si="2252"/>
        <v>9277100</v>
      </c>
      <c r="R2297" s="521" t="str">
        <f t="shared" ref="R2297:S2297" si="2253">R1208</f>
        <v>EPS-DSG</v>
      </c>
      <c r="S2297" s="94">
        <f t="shared" si="2253"/>
        <v>0</v>
      </c>
      <c r="T2297" s="153">
        <f>T1208</f>
        <v>0</v>
      </c>
      <c r="U2297" s="653"/>
      <c r="V2297" s="572"/>
      <c r="W2297" s="608">
        <f t="shared" si="2159"/>
        <v>9277100</v>
      </c>
      <c r="X2297" s="608">
        <f t="shared" si="2160"/>
        <v>0</v>
      </c>
      <c r="Y2297" s="572"/>
      <c r="Z2297" s="572">
        <f t="shared" si="2165"/>
        <v>0</v>
      </c>
      <c r="AA2297" s="1">
        <f t="shared" si="2166"/>
        <v>0</v>
      </c>
    </row>
    <row r="2298" spans="1:27" s="162" customFormat="1" x14ac:dyDescent="0.2">
      <c r="A2298" s="123" t="str">
        <f>A1210</f>
        <v>8.1.2.2 Fonctionnement des services centraux MESU</v>
      </c>
      <c r="B2298" s="244"/>
      <c r="C2298" s="389">
        <f>C1210</f>
        <v>0</v>
      </c>
      <c r="D2298" s="168">
        <f t="shared" si="2149"/>
        <v>557</v>
      </c>
      <c r="E2298" s="168">
        <f t="shared" si="2150"/>
        <v>557</v>
      </c>
      <c r="F2298" s="168">
        <f t="shared" si="2151"/>
        <v>557</v>
      </c>
      <c r="G2298" s="168">
        <f t="shared" si="2152"/>
        <v>557</v>
      </c>
      <c r="H2298" s="168">
        <f t="shared" si="2153"/>
        <v>557</v>
      </c>
      <c r="I2298" s="166">
        <f t="shared" si="2154"/>
        <v>2785</v>
      </c>
      <c r="J2298" s="371" t="str">
        <f t="shared" si="2155"/>
        <v>MESU-DSG</v>
      </c>
      <c r="K2298" s="342">
        <f t="shared" si="2156"/>
        <v>0</v>
      </c>
      <c r="L2298" s="167">
        <f t="shared" ref="L2298:T2298" si="2254">L1210</f>
        <v>557000</v>
      </c>
      <c r="M2298" s="168">
        <f t="shared" si="2254"/>
        <v>557000</v>
      </c>
      <c r="N2298" s="168">
        <f t="shared" si="2254"/>
        <v>557000</v>
      </c>
      <c r="O2298" s="168">
        <f t="shared" si="2254"/>
        <v>557000</v>
      </c>
      <c r="P2298" s="168">
        <f t="shared" si="2254"/>
        <v>557000</v>
      </c>
      <c r="Q2298" s="165">
        <f t="shared" si="2254"/>
        <v>2785000</v>
      </c>
      <c r="R2298" s="521" t="str">
        <f t="shared" ref="R2298:S2298" si="2255">R1210</f>
        <v>MESU-DSG</v>
      </c>
      <c r="S2298" s="94">
        <f t="shared" si="2255"/>
        <v>0</v>
      </c>
      <c r="T2298" s="153">
        <f t="shared" si="2254"/>
        <v>0</v>
      </c>
      <c r="U2298" s="653"/>
      <c r="V2298" s="572"/>
      <c r="W2298" s="608">
        <f t="shared" si="2159"/>
        <v>2785000</v>
      </c>
      <c r="X2298" s="608">
        <f t="shared" si="2160"/>
        <v>0</v>
      </c>
      <c r="Y2298" s="572"/>
      <c r="Z2298" s="572">
        <f t="shared" si="2165"/>
        <v>0</v>
      </c>
      <c r="AA2298" s="1">
        <f t="shared" si="2166"/>
        <v>0</v>
      </c>
    </row>
    <row r="2299" spans="1:27" s="162" customFormat="1" x14ac:dyDescent="0.2">
      <c r="A2299" s="123" t="str">
        <f>A1212</f>
        <v>8.1.2.3 Fonctionnement des services centraux MAS</v>
      </c>
      <c r="B2299" s="244"/>
      <c r="C2299" s="389">
        <f>C1212</f>
        <v>0</v>
      </c>
      <c r="D2299" s="168">
        <f t="shared" si="2149"/>
        <v>79.59</v>
      </c>
      <c r="E2299" s="168">
        <f t="shared" si="2150"/>
        <v>81.180000000000007</v>
      </c>
      <c r="F2299" s="168">
        <f t="shared" si="2151"/>
        <v>82.81</v>
      </c>
      <c r="G2299" s="168">
        <f t="shared" si="2152"/>
        <v>84.46</v>
      </c>
      <c r="H2299" s="168">
        <f t="shared" si="2153"/>
        <v>86.15</v>
      </c>
      <c r="I2299" s="166">
        <f t="shared" si="2154"/>
        <v>414.19</v>
      </c>
      <c r="J2299" s="371" t="str">
        <f t="shared" si="2155"/>
        <v>MAS-DSG</v>
      </c>
      <c r="K2299" s="342">
        <f t="shared" si="2156"/>
        <v>0</v>
      </c>
      <c r="L2299" s="167">
        <f t="shared" ref="L2299:T2299" si="2256">L1212</f>
        <v>79590</v>
      </c>
      <c r="M2299" s="168">
        <f t="shared" si="2256"/>
        <v>81180</v>
      </c>
      <c r="N2299" s="168">
        <f t="shared" si="2256"/>
        <v>82810</v>
      </c>
      <c r="O2299" s="168">
        <f t="shared" si="2256"/>
        <v>84460</v>
      </c>
      <c r="P2299" s="168">
        <f t="shared" si="2256"/>
        <v>86150</v>
      </c>
      <c r="Q2299" s="165">
        <f t="shared" si="2256"/>
        <v>414190</v>
      </c>
      <c r="R2299" s="521" t="str">
        <f t="shared" ref="R2299:S2299" si="2257">R1212</f>
        <v>MAS-DSG</v>
      </c>
      <c r="S2299" s="94">
        <f t="shared" si="2257"/>
        <v>0</v>
      </c>
      <c r="T2299" s="153">
        <f t="shared" si="2256"/>
        <v>0</v>
      </c>
      <c r="U2299" s="653"/>
      <c r="V2299" s="572"/>
      <c r="W2299" s="608">
        <f t="shared" si="2159"/>
        <v>414190</v>
      </c>
      <c r="X2299" s="608">
        <f t="shared" si="2160"/>
        <v>0</v>
      </c>
      <c r="Y2299" s="572"/>
      <c r="Z2299" s="572">
        <f t="shared" si="2165"/>
        <v>0</v>
      </c>
      <c r="AA2299" s="1">
        <f t="shared" si="2166"/>
        <v>0</v>
      </c>
    </row>
    <row r="2300" spans="1:27" s="162" customFormat="1" x14ac:dyDescent="0.2">
      <c r="A2300" s="123" t="str">
        <f>A1214</f>
        <v>8.1.2.4 Fonctionnement des services centraux ETP</v>
      </c>
      <c r="B2300" s="244"/>
      <c r="C2300" s="389">
        <f>C1214</f>
        <v>0</v>
      </c>
      <c r="D2300" s="168">
        <f t="shared" si="2149"/>
        <v>206.16</v>
      </c>
      <c r="E2300" s="168">
        <f t="shared" si="2150"/>
        <v>247.39</v>
      </c>
      <c r="F2300" s="168">
        <f t="shared" si="2151"/>
        <v>289.45</v>
      </c>
      <c r="G2300" s="168">
        <f t="shared" si="2152"/>
        <v>332.34</v>
      </c>
      <c r="H2300" s="168">
        <f t="shared" si="2153"/>
        <v>376.1</v>
      </c>
      <c r="I2300" s="166">
        <f t="shared" si="2154"/>
        <v>1451.44</v>
      </c>
      <c r="J2300" s="371" t="str">
        <f t="shared" si="2155"/>
        <v>EPT-DSG</v>
      </c>
      <c r="K2300" s="342">
        <f t="shared" si="2156"/>
        <v>0</v>
      </c>
      <c r="L2300" s="167">
        <f t="shared" ref="L2300:T2300" si="2258">L1214</f>
        <v>206160</v>
      </c>
      <c r="M2300" s="168">
        <f t="shared" si="2258"/>
        <v>247390</v>
      </c>
      <c r="N2300" s="168">
        <f t="shared" si="2258"/>
        <v>289450</v>
      </c>
      <c r="O2300" s="168">
        <f t="shared" si="2258"/>
        <v>332340</v>
      </c>
      <c r="P2300" s="168">
        <f t="shared" si="2258"/>
        <v>376100</v>
      </c>
      <c r="Q2300" s="165">
        <f t="shared" si="2258"/>
        <v>1451440</v>
      </c>
      <c r="R2300" s="521" t="str">
        <f t="shared" ref="R2300:S2300" si="2259">R1214</f>
        <v>EPT-DSG</v>
      </c>
      <c r="S2300" s="94">
        <f t="shared" si="2259"/>
        <v>0</v>
      </c>
      <c r="T2300" s="153">
        <f t="shared" si="2258"/>
        <v>0</v>
      </c>
      <c r="U2300" s="653"/>
      <c r="V2300" s="572"/>
      <c r="W2300" s="608">
        <f t="shared" si="2159"/>
        <v>1451440</v>
      </c>
      <c r="X2300" s="608">
        <f t="shared" si="2160"/>
        <v>0</v>
      </c>
      <c r="Y2300" s="572"/>
      <c r="Z2300" s="572">
        <f t="shared" si="2165"/>
        <v>0</v>
      </c>
      <c r="AA2300" s="1">
        <f t="shared" si="2166"/>
        <v>0</v>
      </c>
    </row>
    <row r="2301" spans="1:27" s="162" customFormat="1" x14ac:dyDescent="0.2">
      <c r="A2301" s="122" t="str">
        <f>A1216</f>
        <v>8.1.3 Investissements</v>
      </c>
      <c r="B2301" s="152"/>
      <c r="C2301" s="389">
        <f>C1216</f>
        <v>0</v>
      </c>
      <c r="D2301" s="157">
        <f t="shared" si="2149"/>
        <v>6975.86</v>
      </c>
      <c r="E2301" s="157">
        <f t="shared" si="2150"/>
        <v>7631.17</v>
      </c>
      <c r="F2301" s="157">
        <f t="shared" si="2151"/>
        <v>8459.11</v>
      </c>
      <c r="G2301" s="157">
        <f t="shared" si="2152"/>
        <v>9453.09</v>
      </c>
      <c r="H2301" s="157">
        <f t="shared" si="2153"/>
        <v>10483.209999999999</v>
      </c>
      <c r="I2301" s="160">
        <f t="shared" si="2154"/>
        <v>43002.44</v>
      </c>
      <c r="J2301" s="374">
        <f t="shared" si="2155"/>
        <v>0</v>
      </c>
      <c r="K2301" s="341">
        <f t="shared" si="2156"/>
        <v>0</v>
      </c>
      <c r="L2301" s="161">
        <f t="shared" ref="L2301:Q2301" si="2260">SUM(L2302:L2305)</f>
        <v>6975860</v>
      </c>
      <c r="M2301" s="157">
        <f t="shared" si="2260"/>
        <v>7631170</v>
      </c>
      <c r="N2301" s="157">
        <f t="shared" si="2260"/>
        <v>8459110</v>
      </c>
      <c r="O2301" s="157">
        <f t="shared" si="2260"/>
        <v>9453090</v>
      </c>
      <c r="P2301" s="157">
        <f t="shared" si="2260"/>
        <v>10483210</v>
      </c>
      <c r="Q2301" s="158">
        <f t="shared" si="2260"/>
        <v>43002440</v>
      </c>
      <c r="R2301" s="524">
        <f t="shared" ref="R2301:S2301" si="2261">SUM(R2302:R2305)</f>
        <v>0</v>
      </c>
      <c r="S2301" s="208">
        <f t="shared" si="2261"/>
        <v>0</v>
      </c>
      <c r="T2301" s="154">
        <f>T1216</f>
        <v>0</v>
      </c>
      <c r="U2301" s="653"/>
      <c r="V2301" s="572"/>
      <c r="W2301" s="608">
        <f t="shared" si="2159"/>
        <v>43002440</v>
      </c>
      <c r="X2301" s="608">
        <f t="shared" si="2160"/>
        <v>0</v>
      </c>
      <c r="Y2301" s="572"/>
      <c r="Z2301" s="572">
        <f t="shared" si="2165"/>
        <v>0</v>
      </c>
      <c r="AA2301" s="1">
        <f t="shared" si="2166"/>
        <v>0</v>
      </c>
    </row>
    <row r="2302" spans="1:27" s="162" customFormat="1" x14ac:dyDescent="0.2">
      <c r="A2302" s="123" t="str">
        <f>A1217</f>
        <v>8.1.3.1 Investissements EPSINC</v>
      </c>
      <c r="B2302" s="244"/>
      <c r="C2302" s="389">
        <f>C1217</f>
        <v>0</v>
      </c>
      <c r="D2302" s="168">
        <f t="shared" si="2149"/>
        <v>4848.63</v>
      </c>
      <c r="E2302" s="168">
        <f t="shared" si="2150"/>
        <v>5360.8</v>
      </c>
      <c r="F2302" s="168">
        <f t="shared" si="2151"/>
        <v>6006.08</v>
      </c>
      <c r="G2302" s="168">
        <f t="shared" si="2152"/>
        <v>6755.09</v>
      </c>
      <c r="H2302" s="168">
        <f t="shared" si="2153"/>
        <v>7528.11</v>
      </c>
      <c r="I2302" s="166">
        <f t="shared" si="2154"/>
        <v>30498.71</v>
      </c>
      <c r="J2302" s="371" t="str">
        <f t="shared" si="2155"/>
        <v>EPS-DEP</v>
      </c>
      <c r="K2302" s="342">
        <f t="shared" si="2156"/>
        <v>0</v>
      </c>
      <c r="L2302" s="167">
        <f t="shared" ref="L2302:Q2302" si="2262">L1217</f>
        <v>4848630</v>
      </c>
      <c r="M2302" s="168">
        <f t="shared" si="2262"/>
        <v>5360800</v>
      </c>
      <c r="N2302" s="168">
        <f t="shared" si="2262"/>
        <v>6006080</v>
      </c>
      <c r="O2302" s="168">
        <f t="shared" si="2262"/>
        <v>6755090</v>
      </c>
      <c r="P2302" s="168">
        <f t="shared" si="2262"/>
        <v>7528110</v>
      </c>
      <c r="Q2302" s="165">
        <f t="shared" si="2262"/>
        <v>30498710</v>
      </c>
      <c r="R2302" s="521" t="str">
        <f t="shared" ref="R2302:S2302" si="2263">R1217</f>
        <v>EPS-DEP</v>
      </c>
      <c r="S2302" s="94">
        <f t="shared" si="2263"/>
        <v>0</v>
      </c>
      <c r="T2302" s="153">
        <f>T1217</f>
        <v>0</v>
      </c>
      <c r="U2302" s="653"/>
      <c r="V2302" s="572"/>
      <c r="W2302" s="608">
        <f t="shared" si="2159"/>
        <v>30498710</v>
      </c>
      <c r="X2302" s="608">
        <f t="shared" si="2160"/>
        <v>0</v>
      </c>
      <c r="Y2302" s="572"/>
      <c r="Z2302" s="572">
        <f t="shared" si="2165"/>
        <v>0</v>
      </c>
      <c r="AA2302" s="1">
        <f t="shared" si="2166"/>
        <v>0</v>
      </c>
    </row>
    <row r="2303" spans="1:27" s="162" customFormat="1" x14ac:dyDescent="0.2">
      <c r="A2303" s="123" t="str">
        <f>A1219</f>
        <v>8.1.3.2 Investissements MESU</v>
      </c>
      <c r="B2303" s="244"/>
      <c r="C2303" s="389">
        <f>C1219</f>
        <v>0</v>
      </c>
      <c r="D2303" s="168">
        <f t="shared" si="2149"/>
        <v>1469.5</v>
      </c>
      <c r="E2303" s="168">
        <f t="shared" si="2150"/>
        <v>1552.73</v>
      </c>
      <c r="F2303" s="168">
        <f t="shared" si="2151"/>
        <v>1661.69</v>
      </c>
      <c r="G2303" s="168">
        <f t="shared" si="2152"/>
        <v>1820.43</v>
      </c>
      <c r="H2303" s="168">
        <f t="shared" si="2153"/>
        <v>1989.64</v>
      </c>
      <c r="I2303" s="166">
        <f t="shared" si="2154"/>
        <v>8493.99</v>
      </c>
      <c r="J2303" s="371" t="str">
        <f t="shared" si="2155"/>
        <v>MESU-DEP</v>
      </c>
      <c r="K2303" s="342">
        <f t="shared" si="2156"/>
        <v>0</v>
      </c>
      <c r="L2303" s="167">
        <f t="shared" ref="L2303:T2303" si="2264">L1219</f>
        <v>1469500</v>
      </c>
      <c r="M2303" s="168">
        <f t="shared" si="2264"/>
        <v>1552730</v>
      </c>
      <c r="N2303" s="168">
        <f t="shared" si="2264"/>
        <v>1661690</v>
      </c>
      <c r="O2303" s="168">
        <f t="shared" si="2264"/>
        <v>1820430</v>
      </c>
      <c r="P2303" s="168">
        <f t="shared" si="2264"/>
        <v>1989640</v>
      </c>
      <c r="Q2303" s="165">
        <f t="shared" si="2264"/>
        <v>8493990</v>
      </c>
      <c r="R2303" s="521" t="str">
        <f t="shared" ref="R2303:S2303" si="2265">R1219</f>
        <v>MESU-DEP</v>
      </c>
      <c r="S2303" s="94">
        <f t="shared" si="2265"/>
        <v>0</v>
      </c>
      <c r="T2303" s="153">
        <f t="shared" si="2264"/>
        <v>0</v>
      </c>
      <c r="U2303" s="653"/>
      <c r="V2303" s="572"/>
      <c r="W2303" s="608">
        <f t="shared" si="2159"/>
        <v>8493990</v>
      </c>
      <c r="X2303" s="608">
        <f t="shared" si="2160"/>
        <v>0</v>
      </c>
      <c r="Y2303" s="572"/>
      <c r="Z2303" s="572">
        <f t="shared" si="2165"/>
        <v>0</v>
      </c>
      <c r="AA2303" s="1">
        <f t="shared" si="2166"/>
        <v>0</v>
      </c>
    </row>
    <row r="2304" spans="1:27" s="162" customFormat="1" x14ac:dyDescent="0.2">
      <c r="A2304" s="123" t="str">
        <f>A1221</f>
        <v>8.1.3.3 Investissements MAS (ENF)</v>
      </c>
      <c r="B2304" s="244"/>
      <c r="C2304" s="389">
        <f>C1221</f>
        <v>0</v>
      </c>
      <c r="D2304" s="168">
        <f t="shared" si="2149"/>
        <v>119</v>
      </c>
      <c r="E2304" s="168">
        <f t="shared" si="2150"/>
        <v>122</v>
      </c>
      <c r="F2304" s="168">
        <f t="shared" si="2151"/>
        <v>124</v>
      </c>
      <c r="G2304" s="168">
        <f t="shared" si="2152"/>
        <v>127</v>
      </c>
      <c r="H2304" s="168">
        <f t="shared" si="2153"/>
        <v>129</v>
      </c>
      <c r="I2304" s="166">
        <f t="shared" si="2154"/>
        <v>621</v>
      </c>
      <c r="J2304" s="371" t="str">
        <f t="shared" si="2155"/>
        <v>MAS-DEP</v>
      </c>
      <c r="K2304" s="342">
        <f t="shared" si="2156"/>
        <v>0</v>
      </c>
      <c r="L2304" s="167">
        <f t="shared" ref="L2304:T2304" si="2266">L1221</f>
        <v>119000</v>
      </c>
      <c r="M2304" s="168">
        <f t="shared" si="2266"/>
        <v>122000</v>
      </c>
      <c r="N2304" s="168">
        <f t="shared" si="2266"/>
        <v>124000</v>
      </c>
      <c r="O2304" s="168">
        <f t="shared" si="2266"/>
        <v>127000</v>
      </c>
      <c r="P2304" s="168">
        <f t="shared" si="2266"/>
        <v>129000</v>
      </c>
      <c r="Q2304" s="165">
        <f t="shared" si="2266"/>
        <v>621000</v>
      </c>
      <c r="R2304" s="521" t="str">
        <f t="shared" ref="R2304:S2304" si="2267">R1221</f>
        <v>MAS-DEP</v>
      </c>
      <c r="S2304" s="94">
        <f t="shared" si="2267"/>
        <v>0</v>
      </c>
      <c r="T2304" s="153">
        <f t="shared" si="2266"/>
        <v>0</v>
      </c>
      <c r="U2304" s="653"/>
      <c r="V2304" s="572"/>
      <c r="W2304" s="608">
        <f t="shared" si="2159"/>
        <v>621000</v>
      </c>
      <c r="X2304" s="608">
        <f t="shared" si="2160"/>
        <v>0</v>
      </c>
      <c r="Y2304" s="572"/>
      <c r="Z2304" s="572">
        <f t="shared" si="2165"/>
        <v>0</v>
      </c>
      <c r="AA2304" s="1">
        <f t="shared" si="2166"/>
        <v>0</v>
      </c>
    </row>
    <row r="2305" spans="1:27" s="162" customFormat="1" x14ac:dyDescent="0.2">
      <c r="A2305" s="123" t="str">
        <f>A1223</f>
        <v>8.1.3.4 Investissements ETP</v>
      </c>
      <c r="B2305" s="244"/>
      <c r="C2305" s="389">
        <f>C1223</f>
        <v>0</v>
      </c>
      <c r="D2305" s="168">
        <f t="shared" si="2149"/>
        <v>538.73</v>
      </c>
      <c r="E2305" s="168">
        <f t="shared" si="2150"/>
        <v>595.64</v>
      </c>
      <c r="F2305" s="168">
        <f t="shared" si="2151"/>
        <v>667.34</v>
      </c>
      <c r="G2305" s="168">
        <f t="shared" si="2152"/>
        <v>750.57</v>
      </c>
      <c r="H2305" s="168">
        <f t="shared" si="2153"/>
        <v>836.46</v>
      </c>
      <c r="I2305" s="166">
        <f t="shared" si="2154"/>
        <v>3388.74</v>
      </c>
      <c r="J2305" s="371" t="str">
        <f t="shared" si="2155"/>
        <v>MESU-DEP</v>
      </c>
      <c r="K2305" s="342">
        <f t="shared" si="2156"/>
        <v>0</v>
      </c>
      <c r="L2305" s="167">
        <f t="shared" ref="L2305:T2305" si="2268">L1223</f>
        <v>538730</v>
      </c>
      <c r="M2305" s="168">
        <f t="shared" si="2268"/>
        <v>595640</v>
      </c>
      <c r="N2305" s="168">
        <f t="shared" si="2268"/>
        <v>667340</v>
      </c>
      <c r="O2305" s="168">
        <f t="shared" si="2268"/>
        <v>750570</v>
      </c>
      <c r="P2305" s="168">
        <f t="shared" si="2268"/>
        <v>836460</v>
      </c>
      <c r="Q2305" s="165">
        <f t="shared" si="2268"/>
        <v>3388740</v>
      </c>
      <c r="R2305" s="521" t="str">
        <f t="shared" ref="R2305:S2305" si="2269">R1223</f>
        <v>MESU-DEP</v>
      </c>
      <c r="S2305" s="94">
        <f t="shared" si="2269"/>
        <v>0</v>
      </c>
      <c r="T2305" s="153">
        <f t="shared" si="2268"/>
        <v>0</v>
      </c>
      <c r="U2305" s="653"/>
      <c r="V2305" s="572"/>
      <c r="W2305" s="608">
        <f t="shared" si="2159"/>
        <v>3388740</v>
      </c>
      <c r="X2305" s="608">
        <f t="shared" si="2160"/>
        <v>0</v>
      </c>
      <c r="Y2305" s="572"/>
      <c r="Z2305" s="572">
        <f t="shared" si="2165"/>
        <v>0</v>
      </c>
      <c r="AA2305" s="1">
        <f t="shared" si="2166"/>
        <v>0</v>
      </c>
    </row>
    <row r="2306" spans="1:27" s="162" customFormat="1" x14ac:dyDescent="0.2">
      <c r="A2306" s="211" t="str">
        <f>A1225</f>
        <v>8.2 Moyens des bureaux gestionnaires et des services déconcentrés du MEPSINC</v>
      </c>
      <c r="B2306" s="212"/>
      <c r="C2306" s="392">
        <f>C1225</f>
        <v>0</v>
      </c>
      <c r="D2306" s="217">
        <f t="shared" si="2149"/>
        <v>90078.1</v>
      </c>
      <c r="E2306" s="217">
        <f t="shared" si="2150"/>
        <v>98332</v>
      </c>
      <c r="F2306" s="217">
        <f t="shared" si="2151"/>
        <v>109746.6</v>
      </c>
      <c r="G2306" s="217">
        <f t="shared" si="2152"/>
        <v>124774.3</v>
      </c>
      <c r="H2306" s="217">
        <f t="shared" si="2153"/>
        <v>142543.79999999999</v>
      </c>
      <c r="I2306" s="220">
        <f t="shared" si="2154"/>
        <v>565474.80000000005</v>
      </c>
      <c r="J2306" s="373">
        <f t="shared" si="2155"/>
        <v>0</v>
      </c>
      <c r="K2306" s="340">
        <f t="shared" si="2156"/>
        <v>0</v>
      </c>
      <c r="L2306" s="246">
        <f t="shared" ref="L2306:Q2306" si="2270">L2307+L2309</f>
        <v>90078100</v>
      </c>
      <c r="M2306" s="217">
        <f t="shared" si="2270"/>
        <v>98332000</v>
      </c>
      <c r="N2306" s="217">
        <f t="shared" si="2270"/>
        <v>109746600</v>
      </c>
      <c r="O2306" s="217">
        <f t="shared" si="2270"/>
        <v>124774300</v>
      </c>
      <c r="P2306" s="217">
        <f t="shared" si="2270"/>
        <v>142543800</v>
      </c>
      <c r="Q2306" s="218">
        <f t="shared" si="2270"/>
        <v>565474800</v>
      </c>
      <c r="R2306" s="525">
        <f t="shared" ref="R2306:S2306" si="2271">R2307+R2309</f>
        <v>0</v>
      </c>
      <c r="S2306" s="245">
        <f t="shared" si="2271"/>
        <v>0</v>
      </c>
      <c r="T2306" s="214">
        <f>T1225</f>
        <v>3</v>
      </c>
      <c r="U2306" s="653"/>
      <c r="V2306" s="572"/>
      <c r="W2306" s="608">
        <f t="shared" si="2159"/>
        <v>565474800</v>
      </c>
      <c r="X2306" s="608">
        <f t="shared" si="2160"/>
        <v>0</v>
      </c>
      <c r="Y2306" s="608"/>
      <c r="Z2306" s="572">
        <f t="shared" si="2165"/>
        <v>0</v>
      </c>
      <c r="AA2306" s="1">
        <f t="shared" si="2166"/>
        <v>0</v>
      </c>
    </row>
    <row r="2307" spans="1:27" s="162" customFormat="1" x14ac:dyDescent="0.2">
      <c r="A2307" s="122" t="str">
        <f>A1226</f>
        <v>8.2.1 Rémunération du personnel</v>
      </c>
      <c r="B2307" s="152"/>
      <c r="C2307" s="389">
        <f>C1226</f>
        <v>0</v>
      </c>
      <c r="D2307" s="157">
        <f t="shared" si="2149"/>
        <v>72452.399999999994</v>
      </c>
      <c r="E2307" s="157">
        <f t="shared" si="2150"/>
        <v>80225.5</v>
      </c>
      <c r="F2307" s="157">
        <f t="shared" si="2151"/>
        <v>91220.5</v>
      </c>
      <c r="G2307" s="157">
        <f t="shared" si="2152"/>
        <v>105834.4</v>
      </c>
      <c r="H2307" s="157">
        <f t="shared" si="2153"/>
        <v>123213.4</v>
      </c>
      <c r="I2307" s="160">
        <f t="shared" si="2154"/>
        <v>472946.2</v>
      </c>
      <c r="J2307" s="374">
        <f t="shared" si="2155"/>
        <v>0</v>
      </c>
      <c r="K2307" s="341">
        <f t="shared" si="2156"/>
        <v>0</v>
      </c>
      <c r="L2307" s="161">
        <f t="shared" ref="L2307:S2307" si="2272">SUM(L2308:L2308)</f>
        <v>72452400</v>
      </c>
      <c r="M2307" s="157">
        <f t="shared" si="2272"/>
        <v>80225500</v>
      </c>
      <c r="N2307" s="157">
        <f t="shared" si="2272"/>
        <v>91220500</v>
      </c>
      <c r="O2307" s="157">
        <f t="shared" si="2272"/>
        <v>105834400</v>
      </c>
      <c r="P2307" s="157">
        <f t="shared" si="2272"/>
        <v>123213400</v>
      </c>
      <c r="Q2307" s="158">
        <f t="shared" si="2272"/>
        <v>472946200</v>
      </c>
      <c r="R2307" s="524">
        <f t="shared" si="2272"/>
        <v>0</v>
      </c>
      <c r="S2307" s="208">
        <f t="shared" si="2272"/>
        <v>0</v>
      </c>
      <c r="T2307" s="154">
        <f>T1226</f>
        <v>0</v>
      </c>
      <c r="U2307" s="653"/>
      <c r="V2307" s="572"/>
      <c r="W2307" s="608">
        <f t="shared" si="2159"/>
        <v>472946200</v>
      </c>
      <c r="X2307" s="608">
        <f t="shared" si="2160"/>
        <v>0</v>
      </c>
      <c r="Y2307" s="608"/>
      <c r="Z2307" s="572">
        <f t="shared" si="2165"/>
        <v>0</v>
      </c>
      <c r="AA2307" s="1">
        <f t="shared" si="2166"/>
        <v>0</v>
      </c>
    </row>
    <row r="2308" spans="1:27" s="162" customFormat="1" x14ac:dyDescent="0.2">
      <c r="A2308" s="123" t="str">
        <f>A1227</f>
        <v>8.2.1.1 Rémunération du personnel des bureaux gestionnaires EPSINC</v>
      </c>
      <c r="B2308" s="244"/>
      <c r="C2308" s="389">
        <f>C1227</f>
        <v>0</v>
      </c>
      <c r="D2308" s="168">
        <f t="shared" si="2149"/>
        <v>72452.399999999994</v>
      </c>
      <c r="E2308" s="168">
        <f t="shared" si="2150"/>
        <v>80225.5</v>
      </c>
      <c r="F2308" s="168">
        <f t="shared" si="2151"/>
        <v>91220.5</v>
      </c>
      <c r="G2308" s="168">
        <f t="shared" si="2152"/>
        <v>105834.4</v>
      </c>
      <c r="H2308" s="168">
        <f t="shared" si="2153"/>
        <v>123213.4</v>
      </c>
      <c r="I2308" s="166">
        <f t="shared" si="2154"/>
        <v>472946.2</v>
      </c>
      <c r="J2308" s="371" t="str">
        <f t="shared" si="2155"/>
        <v>EPS-SECOPE</v>
      </c>
      <c r="K2308" s="342">
        <f t="shared" si="2156"/>
        <v>0</v>
      </c>
      <c r="L2308" s="167">
        <f t="shared" ref="L2308:Q2308" si="2273">L1227</f>
        <v>72452400</v>
      </c>
      <c r="M2308" s="168">
        <f t="shared" si="2273"/>
        <v>80225500</v>
      </c>
      <c r="N2308" s="168">
        <f t="shared" si="2273"/>
        <v>91220500</v>
      </c>
      <c r="O2308" s="168">
        <f t="shared" si="2273"/>
        <v>105834400</v>
      </c>
      <c r="P2308" s="168">
        <f t="shared" si="2273"/>
        <v>123213400</v>
      </c>
      <c r="Q2308" s="165">
        <f t="shared" si="2273"/>
        <v>472946200</v>
      </c>
      <c r="R2308" s="521" t="str">
        <f t="shared" ref="R2308:S2308" si="2274">R1227</f>
        <v>EPS-SECOPE</v>
      </c>
      <c r="S2308" s="94">
        <f t="shared" si="2274"/>
        <v>0</v>
      </c>
      <c r="T2308" s="153">
        <f>T1227</f>
        <v>0</v>
      </c>
      <c r="U2308" s="653"/>
      <c r="V2308" s="572"/>
      <c r="W2308" s="608">
        <f t="shared" si="2159"/>
        <v>472946200</v>
      </c>
      <c r="X2308" s="608">
        <f t="shared" si="2160"/>
        <v>0</v>
      </c>
      <c r="Y2308" s="608"/>
      <c r="Z2308" s="572">
        <f t="shared" si="2165"/>
        <v>0</v>
      </c>
      <c r="AA2308" s="1">
        <f t="shared" si="2166"/>
        <v>0</v>
      </c>
    </row>
    <row r="2309" spans="1:27" s="162" customFormat="1" x14ac:dyDescent="0.2">
      <c r="A2309" s="122" t="str">
        <f>A1229</f>
        <v>8.2.2 Subvention de fonctionnement</v>
      </c>
      <c r="B2309" s="152"/>
      <c r="C2309" s="389">
        <f>C1229</f>
        <v>0</v>
      </c>
      <c r="D2309" s="157">
        <f t="shared" si="2149"/>
        <v>17625.7</v>
      </c>
      <c r="E2309" s="157">
        <f t="shared" si="2150"/>
        <v>18106.5</v>
      </c>
      <c r="F2309" s="157">
        <f t="shared" si="2151"/>
        <v>18526.099999999999</v>
      </c>
      <c r="G2309" s="157">
        <f t="shared" si="2152"/>
        <v>18939.900000000001</v>
      </c>
      <c r="H2309" s="157">
        <f t="shared" si="2153"/>
        <v>19330.400000000001</v>
      </c>
      <c r="I2309" s="160">
        <f t="shared" si="2154"/>
        <v>92528.6</v>
      </c>
      <c r="J2309" s="374">
        <f t="shared" si="2155"/>
        <v>0</v>
      </c>
      <c r="K2309" s="341">
        <f t="shared" si="2156"/>
        <v>0</v>
      </c>
      <c r="L2309" s="161">
        <f t="shared" ref="L2309:S2309" si="2275">SUM(L2310:L2310)</f>
        <v>17625700</v>
      </c>
      <c r="M2309" s="157">
        <f t="shared" si="2275"/>
        <v>18106500</v>
      </c>
      <c r="N2309" s="157">
        <f t="shared" si="2275"/>
        <v>18526100</v>
      </c>
      <c r="O2309" s="157">
        <f t="shared" si="2275"/>
        <v>18939900</v>
      </c>
      <c r="P2309" s="157">
        <f t="shared" si="2275"/>
        <v>19330400</v>
      </c>
      <c r="Q2309" s="158">
        <f t="shared" si="2275"/>
        <v>92528600</v>
      </c>
      <c r="R2309" s="524">
        <f t="shared" si="2275"/>
        <v>0</v>
      </c>
      <c r="S2309" s="208">
        <f t="shared" si="2275"/>
        <v>0</v>
      </c>
      <c r="T2309" s="154">
        <f>T1229</f>
        <v>0</v>
      </c>
      <c r="U2309" s="653"/>
      <c r="V2309" s="572"/>
      <c r="W2309" s="608">
        <f t="shared" si="2159"/>
        <v>92528600</v>
      </c>
      <c r="X2309" s="608">
        <f t="shared" si="2160"/>
        <v>0</v>
      </c>
      <c r="Y2309" s="608"/>
      <c r="Z2309" s="572">
        <f t="shared" si="2165"/>
        <v>0</v>
      </c>
      <c r="AA2309" s="1">
        <f t="shared" si="2166"/>
        <v>0</v>
      </c>
    </row>
    <row r="2310" spans="1:27" s="162" customFormat="1" x14ac:dyDescent="0.2">
      <c r="A2310" s="123" t="str">
        <f>A1230</f>
        <v>8.2.2.1 Subvention de fonctionnement des BG du MEPSINC</v>
      </c>
      <c r="B2310" s="202"/>
      <c r="C2310" s="389">
        <f>C1230</f>
        <v>0</v>
      </c>
      <c r="D2310" s="168">
        <f t="shared" si="2149"/>
        <v>17625.7</v>
      </c>
      <c r="E2310" s="168">
        <f t="shared" si="2150"/>
        <v>18106.5</v>
      </c>
      <c r="F2310" s="168">
        <f t="shared" si="2151"/>
        <v>18526.099999999999</v>
      </c>
      <c r="G2310" s="168">
        <f t="shared" si="2152"/>
        <v>18939.900000000001</v>
      </c>
      <c r="H2310" s="168">
        <f t="shared" si="2153"/>
        <v>19330.400000000001</v>
      </c>
      <c r="I2310" s="166">
        <f t="shared" si="2154"/>
        <v>92528.6</v>
      </c>
      <c r="J2310" s="371" t="str">
        <f t="shared" si="2155"/>
        <v>EPS-SECOPE</v>
      </c>
      <c r="K2310" s="342">
        <f t="shared" si="2156"/>
        <v>0</v>
      </c>
      <c r="L2310" s="167">
        <f t="shared" ref="L2310:Q2310" si="2276">L1230</f>
        <v>17625700</v>
      </c>
      <c r="M2310" s="168">
        <f t="shared" si="2276"/>
        <v>18106500</v>
      </c>
      <c r="N2310" s="168">
        <f t="shared" si="2276"/>
        <v>18526100</v>
      </c>
      <c r="O2310" s="168">
        <f t="shared" si="2276"/>
        <v>18939900</v>
      </c>
      <c r="P2310" s="168">
        <f t="shared" si="2276"/>
        <v>19330400</v>
      </c>
      <c r="Q2310" s="165">
        <f t="shared" si="2276"/>
        <v>92528600</v>
      </c>
      <c r="R2310" s="521" t="str">
        <f t="shared" ref="R2310:S2310" si="2277">R1230</f>
        <v>EPS-SECOPE</v>
      </c>
      <c r="S2310" s="94">
        <f t="shared" si="2277"/>
        <v>0</v>
      </c>
      <c r="T2310" s="153">
        <f>T1230</f>
        <v>0</v>
      </c>
      <c r="U2310" s="653"/>
      <c r="V2310" s="572"/>
      <c r="W2310" s="608">
        <f t="shared" si="2159"/>
        <v>92528600</v>
      </c>
      <c r="X2310" s="608">
        <f t="shared" si="2160"/>
        <v>0</v>
      </c>
      <c r="Y2310" s="608"/>
      <c r="Z2310" s="572">
        <f t="shared" si="2165"/>
        <v>0</v>
      </c>
      <c r="AA2310" s="1">
        <f t="shared" si="2166"/>
        <v>0</v>
      </c>
    </row>
    <row r="2311" spans="1:27" s="162" customFormat="1" x14ac:dyDescent="0.2">
      <c r="A2311" s="211" t="str">
        <f>A1232</f>
        <v>8.3 Gestion des carrières : Mettre en place une gestion efficace des carrières</v>
      </c>
      <c r="B2311" s="212"/>
      <c r="C2311" s="392">
        <f>C1232</f>
        <v>0</v>
      </c>
      <c r="D2311" s="217">
        <f t="shared" si="2149"/>
        <v>33</v>
      </c>
      <c r="E2311" s="217">
        <f t="shared" si="2150"/>
        <v>128</v>
      </c>
      <c r="F2311" s="217">
        <f t="shared" si="2151"/>
        <v>0</v>
      </c>
      <c r="G2311" s="217">
        <f t="shared" si="2152"/>
        <v>0</v>
      </c>
      <c r="H2311" s="217">
        <f t="shared" si="2153"/>
        <v>0</v>
      </c>
      <c r="I2311" s="220">
        <f t="shared" si="2154"/>
        <v>161</v>
      </c>
      <c r="J2311" s="373">
        <f t="shared" si="2155"/>
        <v>0</v>
      </c>
      <c r="K2311" s="340">
        <f t="shared" si="2156"/>
        <v>0</v>
      </c>
      <c r="L2311" s="246">
        <f t="shared" ref="L2311:Q2311" si="2278">L2312+L2314</f>
        <v>33000</v>
      </c>
      <c r="M2311" s="217">
        <f t="shared" si="2278"/>
        <v>128000</v>
      </c>
      <c r="N2311" s="217">
        <f t="shared" si="2278"/>
        <v>0</v>
      </c>
      <c r="O2311" s="217">
        <f t="shared" si="2278"/>
        <v>0</v>
      </c>
      <c r="P2311" s="217">
        <f t="shared" si="2278"/>
        <v>0</v>
      </c>
      <c r="Q2311" s="218">
        <f t="shared" si="2278"/>
        <v>161000</v>
      </c>
      <c r="R2311" s="525">
        <f t="shared" ref="R2311:S2311" si="2279">R2312+R2314</f>
        <v>0</v>
      </c>
      <c r="S2311" s="245">
        <f t="shared" si="2279"/>
        <v>0</v>
      </c>
      <c r="T2311" s="214">
        <f>T1232</f>
        <v>3</v>
      </c>
      <c r="U2311" s="653"/>
      <c r="V2311" s="572"/>
      <c r="W2311" s="608">
        <f t="shared" si="2159"/>
        <v>161000</v>
      </c>
      <c r="X2311" s="608">
        <f t="shared" si="2160"/>
        <v>0</v>
      </c>
      <c r="Y2311" s="608"/>
      <c r="Z2311" s="572">
        <f t="shared" si="2165"/>
        <v>0</v>
      </c>
      <c r="AA2311" s="1">
        <f t="shared" si="2166"/>
        <v>0</v>
      </c>
    </row>
    <row r="2312" spans="1:27" s="162" customFormat="1" x14ac:dyDescent="0.2">
      <c r="A2312" s="122" t="str">
        <f>A1233</f>
        <v>8.3.1 Système de retraite</v>
      </c>
      <c r="B2312" s="152"/>
      <c r="C2312" s="389">
        <f>C1233</f>
        <v>0</v>
      </c>
      <c r="D2312" s="157">
        <f t="shared" ref="D2312:D2361" si="2280">L2312/1000</f>
        <v>33</v>
      </c>
      <c r="E2312" s="157">
        <f t="shared" ref="E2312:E2361" si="2281">M2312/1000</f>
        <v>95</v>
      </c>
      <c r="F2312" s="157">
        <f t="shared" ref="F2312:F2361" si="2282">N2312/1000</f>
        <v>0</v>
      </c>
      <c r="G2312" s="157">
        <f t="shared" ref="G2312:G2361" si="2283">O2312/1000</f>
        <v>0</v>
      </c>
      <c r="H2312" s="157">
        <f t="shared" ref="H2312:H2361" si="2284">P2312/1000</f>
        <v>0</v>
      </c>
      <c r="I2312" s="160">
        <f t="shared" ref="I2312:I2361" si="2285">Q2312/1000</f>
        <v>128</v>
      </c>
      <c r="J2312" s="374">
        <f t="shared" ref="J2312:J2361" si="2286">R2312</f>
        <v>0</v>
      </c>
      <c r="K2312" s="341">
        <f t="shared" ref="K2312:K2361" si="2287">S2312</f>
        <v>0</v>
      </c>
      <c r="L2312" s="161">
        <f t="shared" ref="L2312:S2312" si="2288">SUM(L2313:L2313)</f>
        <v>33000</v>
      </c>
      <c r="M2312" s="157">
        <f t="shared" si="2288"/>
        <v>95000</v>
      </c>
      <c r="N2312" s="157">
        <f t="shared" si="2288"/>
        <v>0</v>
      </c>
      <c r="O2312" s="157">
        <f t="shared" si="2288"/>
        <v>0</v>
      </c>
      <c r="P2312" s="157">
        <f t="shared" si="2288"/>
        <v>0</v>
      </c>
      <c r="Q2312" s="158">
        <f t="shared" si="2288"/>
        <v>128000</v>
      </c>
      <c r="R2312" s="524">
        <f t="shared" si="2288"/>
        <v>0</v>
      </c>
      <c r="S2312" s="208">
        <f t="shared" si="2288"/>
        <v>0</v>
      </c>
      <c r="T2312" s="154">
        <f>T1233</f>
        <v>0</v>
      </c>
      <c r="U2312" s="653"/>
      <c r="V2312" s="572"/>
      <c r="W2312" s="608">
        <f t="shared" ref="W2312:W2361" si="2289">SUM(L2312:P2312)</f>
        <v>128000</v>
      </c>
      <c r="X2312" s="608">
        <f t="shared" ref="X2312:X2361" si="2290">W2312-Q2312</f>
        <v>0</v>
      </c>
      <c r="Y2312" s="608"/>
      <c r="Z2312" s="572">
        <f t="shared" si="2165"/>
        <v>0</v>
      </c>
      <c r="AA2312" s="1">
        <f t="shared" si="2166"/>
        <v>0</v>
      </c>
    </row>
    <row r="2313" spans="1:27" s="162" customFormat="1" x14ac:dyDescent="0.2">
      <c r="A2313" s="123" t="str">
        <f>A1234</f>
        <v>8.3.1.1 Études sur la mise à la retraite des agents</v>
      </c>
      <c r="B2313" s="244"/>
      <c r="C2313" s="389">
        <f>C1234</f>
        <v>0</v>
      </c>
      <c r="D2313" s="168">
        <f t="shared" si="2280"/>
        <v>33</v>
      </c>
      <c r="E2313" s="168">
        <f t="shared" si="2281"/>
        <v>95</v>
      </c>
      <c r="F2313" s="168">
        <f t="shared" si="2282"/>
        <v>0</v>
      </c>
      <c r="G2313" s="168">
        <f t="shared" si="2283"/>
        <v>0</v>
      </c>
      <c r="H2313" s="168">
        <f t="shared" si="2284"/>
        <v>0</v>
      </c>
      <c r="I2313" s="166">
        <f t="shared" si="2285"/>
        <v>128</v>
      </c>
      <c r="J2313" s="371" t="str">
        <f t="shared" si="2286"/>
        <v>SPACE</v>
      </c>
      <c r="K2313" s="342">
        <f t="shared" si="2287"/>
        <v>0</v>
      </c>
      <c r="L2313" s="167">
        <f t="shared" ref="L2313:Q2313" si="2291">L1234</f>
        <v>33000</v>
      </c>
      <c r="M2313" s="168">
        <f t="shared" si="2291"/>
        <v>95000</v>
      </c>
      <c r="N2313" s="168">
        <f t="shared" si="2291"/>
        <v>0</v>
      </c>
      <c r="O2313" s="168">
        <f t="shared" si="2291"/>
        <v>0</v>
      </c>
      <c r="P2313" s="168">
        <f t="shared" si="2291"/>
        <v>0</v>
      </c>
      <c r="Q2313" s="165">
        <f t="shared" si="2291"/>
        <v>128000</v>
      </c>
      <c r="R2313" s="521" t="str">
        <f t="shared" ref="R2313:S2313" si="2292">R1234</f>
        <v>SPACE</v>
      </c>
      <c r="S2313" s="94">
        <f t="shared" si="2292"/>
        <v>0</v>
      </c>
      <c r="T2313" s="153">
        <f>T1234</f>
        <v>0</v>
      </c>
      <c r="U2313" s="653"/>
      <c r="V2313" s="572"/>
      <c r="W2313" s="608">
        <f t="shared" si="2289"/>
        <v>128000</v>
      </c>
      <c r="X2313" s="608">
        <f t="shared" si="2290"/>
        <v>0</v>
      </c>
      <c r="Y2313" s="608"/>
      <c r="Z2313" s="572">
        <f t="shared" si="2165"/>
        <v>0</v>
      </c>
      <c r="AA2313" s="1">
        <f t="shared" si="2166"/>
        <v>0</v>
      </c>
    </row>
    <row r="2314" spans="1:27" s="162" customFormat="1" x14ac:dyDescent="0.2">
      <c r="A2314" s="122" t="str">
        <f>A1239</f>
        <v>8.3.2 Réforme des statuts</v>
      </c>
      <c r="B2314" s="152"/>
      <c r="C2314" s="389">
        <f>C1239</f>
        <v>0</v>
      </c>
      <c r="D2314" s="157">
        <f t="shared" si="2280"/>
        <v>0</v>
      </c>
      <c r="E2314" s="157">
        <f t="shared" si="2281"/>
        <v>33</v>
      </c>
      <c r="F2314" s="157">
        <f t="shared" si="2282"/>
        <v>0</v>
      </c>
      <c r="G2314" s="157">
        <f t="shared" si="2283"/>
        <v>0</v>
      </c>
      <c r="H2314" s="157">
        <f t="shared" si="2284"/>
        <v>0</v>
      </c>
      <c r="I2314" s="160">
        <f t="shared" si="2285"/>
        <v>33</v>
      </c>
      <c r="J2314" s="374">
        <f t="shared" si="2286"/>
        <v>0</v>
      </c>
      <c r="K2314" s="341">
        <f t="shared" si="2287"/>
        <v>0</v>
      </c>
      <c r="L2314" s="161">
        <f t="shared" ref="L2314:S2314" si="2293">SUM(L2315:L2315)</f>
        <v>0</v>
      </c>
      <c r="M2314" s="157">
        <f t="shared" si="2293"/>
        <v>33000</v>
      </c>
      <c r="N2314" s="157">
        <f t="shared" si="2293"/>
        <v>0</v>
      </c>
      <c r="O2314" s="157">
        <f t="shared" si="2293"/>
        <v>0</v>
      </c>
      <c r="P2314" s="157">
        <f t="shared" si="2293"/>
        <v>0</v>
      </c>
      <c r="Q2314" s="158">
        <f t="shared" si="2293"/>
        <v>33000</v>
      </c>
      <c r="R2314" s="524">
        <f t="shared" si="2293"/>
        <v>0</v>
      </c>
      <c r="S2314" s="208">
        <f t="shared" si="2293"/>
        <v>0</v>
      </c>
      <c r="T2314" s="154">
        <f>T1239</f>
        <v>0</v>
      </c>
      <c r="U2314" s="653"/>
      <c r="V2314" s="572"/>
      <c r="W2314" s="608">
        <f t="shared" si="2289"/>
        <v>33000</v>
      </c>
      <c r="X2314" s="608">
        <f t="shared" si="2290"/>
        <v>0</v>
      </c>
      <c r="Y2314" s="608"/>
      <c r="Z2314" s="572">
        <f t="shared" ref="Z2314:Z2377" si="2294">IF($Y2314="P",$I2314,)</f>
        <v>0</v>
      </c>
      <c r="AA2314" s="1">
        <f t="shared" ref="AA2314:AA2377" si="2295">IF($Y2314="G",$I2314,)</f>
        <v>0</v>
      </c>
    </row>
    <row r="2315" spans="1:27" s="162" customFormat="1" x14ac:dyDescent="0.2">
      <c r="A2315" s="123" t="str">
        <f>A1240</f>
        <v xml:space="preserve">8.3.2.1 Études sur la rationalisation et la modernisation des statuts </v>
      </c>
      <c r="B2315" s="202"/>
      <c r="C2315" s="389">
        <f>C1240</f>
        <v>0</v>
      </c>
      <c r="D2315" s="168">
        <f t="shared" si="2280"/>
        <v>0</v>
      </c>
      <c r="E2315" s="168">
        <f t="shared" si="2281"/>
        <v>33</v>
      </c>
      <c r="F2315" s="168">
        <f t="shared" si="2282"/>
        <v>0</v>
      </c>
      <c r="G2315" s="168">
        <f t="shared" si="2283"/>
        <v>0</v>
      </c>
      <c r="H2315" s="168">
        <f t="shared" si="2284"/>
        <v>0</v>
      </c>
      <c r="I2315" s="166">
        <f t="shared" si="2285"/>
        <v>33</v>
      </c>
      <c r="J2315" s="371" t="str">
        <f t="shared" si="2286"/>
        <v>SPACE</v>
      </c>
      <c r="K2315" s="342">
        <f t="shared" si="2287"/>
        <v>0</v>
      </c>
      <c r="L2315" s="167">
        <f t="shared" ref="L2315:Q2315" si="2296">L1240</f>
        <v>0</v>
      </c>
      <c r="M2315" s="168">
        <f t="shared" si="2296"/>
        <v>33000</v>
      </c>
      <c r="N2315" s="168">
        <f t="shared" si="2296"/>
        <v>0</v>
      </c>
      <c r="O2315" s="168">
        <f t="shared" si="2296"/>
        <v>0</v>
      </c>
      <c r="P2315" s="168">
        <f t="shared" si="2296"/>
        <v>0</v>
      </c>
      <c r="Q2315" s="165">
        <f t="shared" si="2296"/>
        <v>33000</v>
      </c>
      <c r="R2315" s="521" t="str">
        <f t="shared" ref="R2315:S2315" si="2297">R1240</f>
        <v>SPACE</v>
      </c>
      <c r="S2315" s="94">
        <f t="shared" si="2297"/>
        <v>0</v>
      </c>
      <c r="T2315" s="153">
        <f>T1240</f>
        <v>0</v>
      </c>
      <c r="U2315" s="653"/>
      <c r="V2315" s="572"/>
      <c r="W2315" s="608">
        <f t="shared" si="2289"/>
        <v>33000</v>
      </c>
      <c r="X2315" s="608">
        <f t="shared" si="2290"/>
        <v>0</v>
      </c>
      <c r="Y2315" s="608"/>
      <c r="Z2315" s="572">
        <f t="shared" si="2294"/>
        <v>0</v>
      </c>
      <c r="AA2315" s="1">
        <f t="shared" si="2295"/>
        <v>0</v>
      </c>
    </row>
    <row r="2316" spans="1:27" x14ac:dyDescent="0.2">
      <c r="A2316" s="14" t="str">
        <f>A1244</f>
        <v>8.4 Gestion des ressources financières : Améliorer la gestion des ressources financières</v>
      </c>
      <c r="B2316" s="44"/>
      <c r="C2316" s="385">
        <f>C1244</f>
        <v>0</v>
      </c>
      <c r="D2316" s="217">
        <f t="shared" si="2280"/>
        <v>129.6</v>
      </c>
      <c r="E2316" s="217">
        <f t="shared" si="2281"/>
        <v>111.6</v>
      </c>
      <c r="F2316" s="217">
        <f t="shared" si="2282"/>
        <v>129</v>
      </c>
      <c r="G2316" s="217">
        <f t="shared" si="2283"/>
        <v>111.6</v>
      </c>
      <c r="H2316" s="217">
        <f t="shared" si="2284"/>
        <v>129</v>
      </c>
      <c r="I2316" s="220">
        <f t="shared" si="2285"/>
        <v>610.79999999999995</v>
      </c>
      <c r="J2316" s="373">
        <f t="shared" si="2286"/>
        <v>0</v>
      </c>
      <c r="K2316" s="346">
        <f t="shared" si="2287"/>
        <v>0</v>
      </c>
      <c r="L2316" s="33">
        <f t="shared" ref="L2316:S2316" si="2298">L2317</f>
        <v>129600</v>
      </c>
      <c r="M2316" s="32">
        <f t="shared" si="2298"/>
        <v>111600</v>
      </c>
      <c r="N2316" s="32">
        <f t="shared" si="2298"/>
        <v>129000</v>
      </c>
      <c r="O2316" s="32">
        <f t="shared" si="2298"/>
        <v>111600</v>
      </c>
      <c r="P2316" s="32">
        <f t="shared" si="2298"/>
        <v>129000</v>
      </c>
      <c r="Q2316" s="25">
        <f t="shared" si="2298"/>
        <v>610800</v>
      </c>
      <c r="R2316" s="515">
        <f t="shared" si="2298"/>
        <v>0</v>
      </c>
      <c r="S2316" s="145">
        <f t="shared" si="2298"/>
        <v>0</v>
      </c>
      <c r="T2316" s="49">
        <f>T1244</f>
        <v>3</v>
      </c>
      <c r="W2316" s="608">
        <f t="shared" si="2289"/>
        <v>610800</v>
      </c>
      <c r="X2316" s="608">
        <f t="shared" si="2290"/>
        <v>0</v>
      </c>
      <c r="Y2316" s="572" t="s">
        <v>1513</v>
      </c>
      <c r="Z2316" s="572">
        <f t="shared" si="2294"/>
        <v>0</v>
      </c>
      <c r="AA2316" s="1">
        <f t="shared" si="2295"/>
        <v>610.79999999999995</v>
      </c>
    </row>
    <row r="2317" spans="1:27" x14ac:dyDescent="0.2">
      <c r="A2317" s="17" t="str">
        <f>A1245</f>
        <v>8.4.1 Formation des cadres de la gestion financière et comptable</v>
      </c>
      <c r="B2317" s="45"/>
      <c r="C2317" s="386">
        <f>C1245</f>
        <v>0</v>
      </c>
      <c r="D2317" s="157">
        <f t="shared" si="2280"/>
        <v>129.6</v>
      </c>
      <c r="E2317" s="157">
        <f t="shared" si="2281"/>
        <v>111.6</v>
      </c>
      <c r="F2317" s="157">
        <f t="shared" si="2282"/>
        <v>129</v>
      </c>
      <c r="G2317" s="157">
        <f t="shared" si="2283"/>
        <v>111.6</v>
      </c>
      <c r="H2317" s="157">
        <f t="shared" si="2284"/>
        <v>129</v>
      </c>
      <c r="I2317" s="160">
        <f t="shared" si="2285"/>
        <v>610.79999999999995</v>
      </c>
      <c r="J2317" s="374">
        <f t="shared" si="2286"/>
        <v>0</v>
      </c>
      <c r="K2317" s="348">
        <f t="shared" si="2287"/>
        <v>0</v>
      </c>
      <c r="L2317" s="35">
        <f t="shared" ref="L2317:Q2317" si="2299">SUM(L2318:L2320)</f>
        <v>129600</v>
      </c>
      <c r="M2317" s="34">
        <f t="shared" si="2299"/>
        <v>111600</v>
      </c>
      <c r="N2317" s="34">
        <f t="shared" si="2299"/>
        <v>129000</v>
      </c>
      <c r="O2317" s="34">
        <f t="shared" si="2299"/>
        <v>111600</v>
      </c>
      <c r="P2317" s="34">
        <f t="shared" si="2299"/>
        <v>129000</v>
      </c>
      <c r="Q2317" s="26">
        <f t="shared" si="2299"/>
        <v>610800</v>
      </c>
      <c r="R2317" s="209">
        <f t="shared" ref="R2317:S2317" si="2300">SUM(R2318:R2320)</f>
        <v>0</v>
      </c>
      <c r="S2317" s="116">
        <f t="shared" si="2300"/>
        <v>0</v>
      </c>
      <c r="T2317" s="50">
        <f>T1245</f>
        <v>0</v>
      </c>
      <c r="W2317" s="608">
        <f t="shared" si="2289"/>
        <v>610800</v>
      </c>
      <c r="X2317" s="608">
        <f t="shared" si="2290"/>
        <v>0</v>
      </c>
      <c r="Y2317" s="572" t="s">
        <v>1513</v>
      </c>
      <c r="Z2317" s="572">
        <f t="shared" si="2294"/>
        <v>0</v>
      </c>
      <c r="AA2317" s="1">
        <f t="shared" si="2295"/>
        <v>610.79999999999995</v>
      </c>
    </row>
    <row r="2318" spans="1:27" x14ac:dyDescent="0.2">
      <c r="A2318" s="20" t="str">
        <f>A1246</f>
        <v>8.4.1.1 Formation des cadres des services centraux</v>
      </c>
      <c r="B2318" s="149"/>
      <c r="C2318" s="386">
        <f>C1246</f>
        <v>0</v>
      </c>
      <c r="D2318" s="168">
        <f t="shared" si="2280"/>
        <v>18</v>
      </c>
      <c r="E2318" s="168">
        <f t="shared" si="2281"/>
        <v>0</v>
      </c>
      <c r="F2318" s="168">
        <f t="shared" si="2282"/>
        <v>17.399999999999999</v>
      </c>
      <c r="G2318" s="168">
        <f t="shared" si="2283"/>
        <v>0</v>
      </c>
      <c r="H2318" s="168">
        <f t="shared" si="2284"/>
        <v>17.399999999999999</v>
      </c>
      <c r="I2318" s="166">
        <f t="shared" si="2285"/>
        <v>52.8</v>
      </c>
      <c r="J2318" s="371" t="str">
        <f t="shared" si="2286"/>
        <v>DSG-EPS/ESU-DEP/ETP/MAS</v>
      </c>
      <c r="K2318" s="350" t="str">
        <f t="shared" si="2287"/>
        <v>ND</v>
      </c>
      <c r="L2318" s="167">
        <f t="shared" ref="L2318:Q2318" si="2301">L1246</f>
        <v>18000</v>
      </c>
      <c r="M2318" s="168">
        <f t="shared" si="2301"/>
        <v>0</v>
      </c>
      <c r="N2318" s="168">
        <f t="shared" si="2301"/>
        <v>17400</v>
      </c>
      <c r="O2318" s="168">
        <f t="shared" si="2301"/>
        <v>0</v>
      </c>
      <c r="P2318" s="168">
        <f t="shared" si="2301"/>
        <v>17400</v>
      </c>
      <c r="Q2318" s="165">
        <f t="shared" si="2301"/>
        <v>52800</v>
      </c>
      <c r="R2318" s="198" t="str">
        <f t="shared" ref="R2318:S2318" si="2302">R1246</f>
        <v>DSG-EPS/ESU-DEP/ETP/MAS</v>
      </c>
      <c r="S2318" s="115" t="str">
        <f t="shared" si="2302"/>
        <v>ND</v>
      </c>
      <c r="T2318" s="51">
        <f>T1246</f>
        <v>0</v>
      </c>
      <c r="W2318" s="608">
        <f t="shared" si="2289"/>
        <v>52800</v>
      </c>
      <c r="X2318" s="608">
        <f t="shared" si="2290"/>
        <v>0</v>
      </c>
      <c r="Y2318" s="572" t="s">
        <v>1513</v>
      </c>
      <c r="Z2318" s="572">
        <f t="shared" si="2294"/>
        <v>0</v>
      </c>
      <c r="AA2318" s="1">
        <f t="shared" si="2295"/>
        <v>52.8</v>
      </c>
    </row>
    <row r="2319" spans="1:27" x14ac:dyDescent="0.2">
      <c r="A2319" s="20" t="str">
        <f>A1249</f>
        <v>8.4.1.2 Formation des cadres des services déconcentrés</v>
      </c>
      <c r="B2319" s="149"/>
      <c r="C2319" s="386">
        <f>C1249</f>
        <v>0</v>
      </c>
      <c r="D2319" s="168">
        <f t="shared" si="2280"/>
        <v>111.6</v>
      </c>
      <c r="E2319" s="168">
        <f t="shared" si="2281"/>
        <v>0</v>
      </c>
      <c r="F2319" s="168">
        <f t="shared" si="2282"/>
        <v>111.6</v>
      </c>
      <c r="G2319" s="168">
        <f t="shared" si="2283"/>
        <v>0</v>
      </c>
      <c r="H2319" s="168">
        <f t="shared" si="2284"/>
        <v>111.6</v>
      </c>
      <c r="I2319" s="166">
        <f t="shared" si="2285"/>
        <v>334.8</v>
      </c>
      <c r="J2319" s="371" t="str">
        <f t="shared" si="2286"/>
        <v>DSG-EPS/ESU-DEP/ETP/MAS</v>
      </c>
      <c r="K2319" s="350">
        <f t="shared" si="2287"/>
        <v>0</v>
      </c>
      <c r="L2319" s="167">
        <f t="shared" ref="L2319:T2319" si="2303">L1249</f>
        <v>111600</v>
      </c>
      <c r="M2319" s="168">
        <f t="shared" si="2303"/>
        <v>0</v>
      </c>
      <c r="N2319" s="168">
        <f t="shared" si="2303"/>
        <v>111600</v>
      </c>
      <c r="O2319" s="168">
        <f t="shared" si="2303"/>
        <v>0</v>
      </c>
      <c r="P2319" s="168">
        <f t="shared" si="2303"/>
        <v>111600</v>
      </c>
      <c r="Q2319" s="165">
        <f t="shared" si="2303"/>
        <v>334800</v>
      </c>
      <c r="R2319" s="198" t="str">
        <f t="shared" ref="R2319:S2319" si="2304">R1249</f>
        <v>DSG-EPS/ESU-DEP/ETP/MAS</v>
      </c>
      <c r="S2319" s="115">
        <f t="shared" si="2304"/>
        <v>0</v>
      </c>
      <c r="T2319" s="51">
        <f t="shared" si="2303"/>
        <v>0</v>
      </c>
      <c r="W2319" s="608">
        <f t="shared" si="2289"/>
        <v>334800</v>
      </c>
      <c r="X2319" s="608">
        <f t="shared" si="2290"/>
        <v>0</v>
      </c>
      <c r="Y2319" s="572" t="s">
        <v>1513</v>
      </c>
      <c r="Z2319" s="572">
        <f t="shared" si="2294"/>
        <v>0</v>
      </c>
      <c r="AA2319" s="1">
        <f t="shared" si="2295"/>
        <v>334.8</v>
      </c>
    </row>
    <row r="2320" spans="1:27" x14ac:dyDescent="0.2">
      <c r="A2320" s="20" t="str">
        <f>A1251</f>
        <v>8.4.1.3 Suivi et évaluation des cadres des services déconcentrés</v>
      </c>
      <c r="B2320" s="149"/>
      <c r="C2320" s="386">
        <f>C1251</f>
        <v>0</v>
      </c>
      <c r="D2320" s="168">
        <f t="shared" si="2280"/>
        <v>0</v>
      </c>
      <c r="E2320" s="168">
        <f t="shared" si="2281"/>
        <v>111.6</v>
      </c>
      <c r="F2320" s="168">
        <f t="shared" si="2282"/>
        <v>0</v>
      </c>
      <c r="G2320" s="168">
        <f t="shared" si="2283"/>
        <v>111.6</v>
      </c>
      <c r="H2320" s="168">
        <f t="shared" si="2284"/>
        <v>0</v>
      </c>
      <c r="I2320" s="166">
        <f t="shared" si="2285"/>
        <v>223.2</v>
      </c>
      <c r="J2320" s="371" t="str">
        <f t="shared" si="2286"/>
        <v>DSG-EPS/ESU-DEP/ETP/MAS</v>
      </c>
      <c r="K2320" s="350">
        <f t="shared" si="2287"/>
        <v>0</v>
      </c>
      <c r="L2320" s="167">
        <f t="shared" ref="L2320:T2320" si="2305">L1251</f>
        <v>0</v>
      </c>
      <c r="M2320" s="168">
        <f t="shared" si="2305"/>
        <v>111600</v>
      </c>
      <c r="N2320" s="168">
        <f t="shared" si="2305"/>
        <v>0</v>
      </c>
      <c r="O2320" s="168">
        <f t="shared" si="2305"/>
        <v>111600</v>
      </c>
      <c r="P2320" s="168">
        <f t="shared" si="2305"/>
        <v>0</v>
      </c>
      <c r="Q2320" s="165">
        <f t="shared" si="2305"/>
        <v>223200</v>
      </c>
      <c r="R2320" s="198" t="str">
        <f t="shared" ref="R2320:S2320" si="2306">R1251</f>
        <v>DSG-EPS/ESU-DEP/ETP/MAS</v>
      </c>
      <c r="S2320" s="115">
        <f t="shared" si="2306"/>
        <v>0</v>
      </c>
      <c r="T2320" s="51">
        <f t="shared" si="2305"/>
        <v>0</v>
      </c>
      <c r="W2320" s="608">
        <f t="shared" si="2289"/>
        <v>223200</v>
      </c>
      <c r="X2320" s="608">
        <f t="shared" si="2290"/>
        <v>0</v>
      </c>
      <c r="Y2320" s="572" t="s">
        <v>1513</v>
      </c>
      <c r="Z2320" s="572">
        <f t="shared" si="2294"/>
        <v>0</v>
      </c>
      <c r="AA2320" s="1">
        <f t="shared" si="2295"/>
        <v>223.2</v>
      </c>
    </row>
    <row r="2321" spans="1:27" x14ac:dyDescent="0.2">
      <c r="A2321" s="14" t="str">
        <f>+A1253</f>
        <v>8.5 Gestion des infrastructures scolaires : Améliorer les capacités de pilotage et de gestion des infrastructures scolaires</v>
      </c>
      <c r="B2321" s="44"/>
      <c r="C2321" s="385">
        <f>C1249</f>
        <v>0</v>
      </c>
      <c r="D2321" s="217">
        <f t="shared" ref="D2321:D2326" si="2307">L2321/1000</f>
        <v>28</v>
      </c>
      <c r="E2321" s="217">
        <f t="shared" si="2281"/>
        <v>51.4</v>
      </c>
      <c r="F2321" s="217">
        <f t="shared" si="2282"/>
        <v>63.7</v>
      </c>
      <c r="G2321" s="217">
        <f t="shared" si="2283"/>
        <v>76</v>
      </c>
      <c r="H2321" s="217">
        <f t="shared" si="2284"/>
        <v>88.3</v>
      </c>
      <c r="I2321" s="220">
        <f t="shared" si="2285"/>
        <v>307.39999999999998</v>
      </c>
      <c r="J2321" s="373">
        <f t="shared" ref="J2321" si="2308">R2321</f>
        <v>0</v>
      </c>
      <c r="K2321" s="346">
        <f t="shared" ref="K2321" si="2309">S2321</f>
        <v>0</v>
      </c>
      <c r="L2321" s="33">
        <f>L2322+L2324</f>
        <v>28000</v>
      </c>
      <c r="M2321" s="32">
        <f t="shared" ref="M2321:Q2321" si="2310">M2322+M2324</f>
        <v>51400</v>
      </c>
      <c r="N2321" s="32">
        <f t="shared" si="2310"/>
        <v>63700</v>
      </c>
      <c r="O2321" s="32">
        <f t="shared" si="2310"/>
        <v>76000</v>
      </c>
      <c r="P2321" s="32">
        <f t="shared" si="2310"/>
        <v>88300</v>
      </c>
      <c r="Q2321" s="25">
        <f t="shared" si="2310"/>
        <v>307400</v>
      </c>
      <c r="R2321" s="515"/>
      <c r="S2321" s="145"/>
      <c r="T2321" s="49">
        <f>T1249</f>
        <v>0</v>
      </c>
      <c r="W2321" s="608">
        <f t="shared" ref="W2321:W2326" si="2311">SUM(L2321:P2321)</f>
        <v>307400</v>
      </c>
      <c r="X2321" s="608">
        <f t="shared" ref="X2321:X2326" si="2312">W2321-Q2321</f>
        <v>0</v>
      </c>
      <c r="Y2321" s="572" t="s">
        <v>1513</v>
      </c>
      <c r="Z2321" s="572">
        <f t="shared" si="2294"/>
        <v>0</v>
      </c>
      <c r="AA2321" s="1">
        <f t="shared" si="2295"/>
        <v>307.39999999999998</v>
      </c>
    </row>
    <row r="2322" spans="1:27" x14ac:dyDescent="0.2">
      <c r="A2322" s="17" t="str">
        <f>+A1254</f>
        <v>8.5.1 Élaboration d'un plan renforcement de DIS au niveau central et déconcentré</v>
      </c>
      <c r="B2322" s="45"/>
      <c r="C2322" s="386">
        <f>+C1254</f>
        <v>0</v>
      </c>
      <c r="D2322" s="157">
        <f t="shared" si="2307"/>
        <v>28</v>
      </c>
      <c r="E2322" s="157">
        <f t="shared" si="2281"/>
        <v>0</v>
      </c>
      <c r="F2322" s="157">
        <f t="shared" si="2282"/>
        <v>0</v>
      </c>
      <c r="G2322" s="157">
        <f t="shared" si="2283"/>
        <v>0</v>
      </c>
      <c r="H2322" s="157">
        <f t="shared" si="2284"/>
        <v>0</v>
      </c>
      <c r="I2322" s="160">
        <f t="shared" si="2285"/>
        <v>28</v>
      </c>
      <c r="J2322" s="374">
        <f>+J1254</f>
        <v>0</v>
      </c>
      <c r="K2322" s="348">
        <f>+K1254</f>
        <v>0</v>
      </c>
      <c r="L2322" s="35">
        <f>+L2323</f>
        <v>28000</v>
      </c>
      <c r="M2322" s="34">
        <f t="shared" ref="M2322:Q2322" si="2313">+M2323</f>
        <v>0</v>
      </c>
      <c r="N2322" s="34">
        <f t="shared" si="2313"/>
        <v>0</v>
      </c>
      <c r="O2322" s="34">
        <f t="shared" si="2313"/>
        <v>0</v>
      </c>
      <c r="P2322" s="34">
        <f t="shared" si="2313"/>
        <v>0</v>
      </c>
      <c r="Q2322" s="26">
        <f t="shared" si="2313"/>
        <v>28000</v>
      </c>
      <c r="R2322" s="209"/>
      <c r="S2322" s="116"/>
      <c r="T2322" s="50">
        <f>+T1254</f>
        <v>0</v>
      </c>
      <c r="W2322" s="608">
        <f t="shared" si="2311"/>
        <v>28000</v>
      </c>
      <c r="X2322" s="608">
        <f t="shared" si="2312"/>
        <v>0</v>
      </c>
      <c r="Y2322" s="572" t="s">
        <v>1513</v>
      </c>
      <c r="Z2322" s="572">
        <f t="shared" si="2294"/>
        <v>0</v>
      </c>
      <c r="AA2322" s="1">
        <f t="shared" si="2295"/>
        <v>28</v>
      </c>
    </row>
    <row r="2323" spans="1:27" x14ac:dyDescent="0.2">
      <c r="A2323" s="20" t="str">
        <f>+A1255</f>
        <v>8.5.1.1 Plan de renforcement des capacités</v>
      </c>
      <c r="B2323" s="149"/>
      <c r="C2323" s="386">
        <f>+C1255</f>
        <v>0</v>
      </c>
      <c r="D2323" s="168">
        <f t="shared" si="2307"/>
        <v>28</v>
      </c>
      <c r="E2323" s="168">
        <f t="shared" si="2281"/>
        <v>0</v>
      </c>
      <c r="F2323" s="168">
        <f t="shared" si="2282"/>
        <v>0</v>
      </c>
      <c r="G2323" s="168">
        <f t="shared" si="2283"/>
        <v>0</v>
      </c>
      <c r="H2323" s="168">
        <f t="shared" si="2284"/>
        <v>0</v>
      </c>
      <c r="I2323" s="166">
        <f t="shared" si="2285"/>
        <v>28</v>
      </c>
      <c r="J2323" s="371">
        <f>+J1255</f>
        <v>0</v>
      </c>
      <c r="K2323" s="350">
        <f>+K1255</f>
        <v>0</v>
      </c>
      <c r="L2323" s="167">
        <f t="shared" ref="L2323:Q2323" si="2314">+L1255</f>
        <v>28000</v>
      </c>
      <c r="M2323" s="168">
        <f t="shared" si="2314"/>
        <v>0</v>
      </c>
      <c r="N2323" s="168">
        <f t="shared" si="2314"/>
        <v>0</v>
      </c>
      <c r="O2323" s="168">
        <f t="shared" si="2314"/>
        <v>0</v>
      </c>
      <c r="P2323" s="168">
        <f t="shared" si="2314"/>
        <v>0</v>
      </c>
      <c r="Q2323" s="165">
        <f t="shared" si="2314"/>
        <v>28000</v>
      </c>
      <c r="R2323" s="198" t="str">
        <f t="shared" ref="R2323:S2323" si="2315">+R1255</f>
        <v>EPS-DIS</v>
      </c>
      <c r="S2323" s="115" t="str">
        <f t="shared" si="2315"/>
        <v>ND</v>
      </c>
      <c r="T2323" s="51">
        <f>+T1255</f>
        <v>0</v>
      </c>
      <c r="W2323" s="608">
        <f t="shared" si="2311"/>
        <v>28000</v>
      </c>
      <c r="X2323" s="608">
        <f t="shared" si="2312"/>
        <v>0</v>
      </c>
      <c r="Y2323" s="572" t="s">
        <v>1513</v>
      </c>
      <c r="Z2323" s="572">
        <f t="shared" si="2294"/>
        <v>0</v>
      </c>
      <c r="AA2323" s="1">
        <f t="shared" si="2295"/>
        <v>28</v>
      </c>
    </row>
    <row r="2324" spans="1:27" x14ac:dyDescent="0.2">
      <c r="A2324" s="17" t="str">
        <f>+A1258</f>
        <v>8.5.2 Mise en place du plan de renforcement des capacités de la DIS</v>
      </c>
      <c r="B2324" s="45"/>
      <c r="C2324" s="386">
        <f>+C1258</f>
        <v>0</v>
      </c>
      <c r="D2324" s="157">
        <f t="shared" si="2307"/>
        <v>0</v>
      </c>
      <c r="E2324" s="157">
        <f t="shared" si="2281"/>
        <v>51.4</v>
      </c>
      <c r="F2324" s="157">
        <f t="shared" si="2282"/>
        <v>63.7</v>
      </c>
      <c r="G2324" s="157">
        <f t="shared" si="2283"/>
        <v>76</v>
      </c>
      <c r="H2324" s="157">
        <f t="shared" si="2284"/>
        <v>88.3</v>
      </c>
      <c r="I2324" s="160">
        <f t="shared" si="2285"/>
        <v>279.39999999999998</v>
      </c>
      <c r="J2324" s="374">
        <f>+J1258</f>
        <v>0</v>
      </c>
      <c r="K2324" s="348">
        <f>+K1258</f>
        <v>0</v>
      </c>
      <c r="L2324" s="35">
        <f>+SUM(L2325:L2326)</f>
        <v>0</v>
      </c>
      <c r="M2324" s="34">
        <f t="shared" ref="M2324:Q2324" si="2316">+SUM(M2325:M2326)</f>
        <v>51400</v>
      </c>
      <c r="N2324" s="34">
        <f t="shared" si="2316"/>
        <v>63700</v>
      </c>
      <c r="O2324" s="34">
        <f t="shared" si="2316"/>
        <v>76000</v>
      </c>
      <c r="P2324" s="34">
        <f t="shared" si="2316"/>
        <v>88300</v>
      </c>
      <c r="Q2324" s="26">
        <f t="shared" si="2316"/>
        <v>279400</v>
      </c>
      <c r="R2324" s="209">
        <f t="shared" ref="R2324:S2324" si="2317">+SUM(R2325:R2326)</f>
        <v>0</v>
      </c>
      <c r="S2324" s="116">
        <f t="shared" si="2317"/>
        <v>0</v>
      </c>
      <c r="T2324" s="50">
        <f>+T1258</f>
        <v>0</v>
      </c>
      <c r="W2324" s="608">
        <f t="shared" ref="W2324:W2325" si="2318">SUM(L2324:P2324)</f>
        <v>279400</v>
      </c>
      <c r="X2324" s="608">
        <f t="shared" ref="X2324:X2325" si="2319">W2324-Q2324</f>
        <v>0</v>
      </c>
      <c r="Y2324" s="572" t="s">
        <v>1513</v>
      </c>
      <c r="Z2324" s="572">
        <f t="shared" si="2294"/>
        <v>0</v>
      </c>
      <c r="AA2324" s="1">
        <f t="shared" si="2295"/>
        <v>279.39999999999998</v>
      </c>
    </row>
    <row r="2325" spans="1:27" x14ac:dyDescent="0.2">
      <c r="A2325" s="20" t="str">
        <f>+A1259</f>
        <v>8.5.2.1 Recrutement d'ingénieurs</v>
      </c>
      <c r="B2325" s="149"/>
      <c r="C2325" s="386">
        <f>+C1259</f>
        <v>0</v>
      </c>
      <c r="D2325" s="168">
        <f t="shared" si="2307"/>
        <v>0</v>
      </c>
      <c r="E2325" s="168">
        <f t="shared" si="2281"/>
        <v>12</v>
      </c>
      <c r="F2325" s="168">
        <f t="shared" si="2282"/>
        <v>24</v>
      </c>
      <c r="G2325" s="168">
        <f t="shared" si="2283"/>
        <v>36</v>
      </c>
      <c r="H2325" s="168">
        <f t="shared" si="2284"/>
        <v>48</v>
      </c>
      <c r="I2325" s="166">
        <f t="shared" si="2285"/>
        <v>120</v>
      </c>
      <c r="J2325" s="371">
        <f>+J1259</f>
        <v>0</v>
      </c>
      <c r="K2325" s="350">
        <f>+K1259</f>
        <v>0</v>
      </c>
      <c r="L2325" s="167">
        <f t="shared" ref="L2325:Q2325" si="2320">+L1259</f>
        <v>0</v>
      </c>
      <c r="M2325" s="168">
        <f t="shared" si="2320"/>
        <v>12000</v>
      </c>
      <c r="N2325" s="168">
        <f t="shared" si="2320"/>
        <v>24000</v>
      </c>
      <c r="O2325" s="168">
        <f t="shared" si="2320"/>
        <v>36000</v>
      </c>
      <c r="P2325" s="168">
        <f t="shared" si="2320"/>
        <v>48000</v>
      </c>
      <c r="Q2325" s="165">
        <f t="shared" si="2320"/>
        <v>120000</v>
      </c>
      <c r="R2325" s="198" t="str">
        <f t="shared" ref="R2325:S2325" si="2321">+R1259</f>
        <v>EPS-DIS</v>
      </c>
      <c r="S2325" s="115" t="str">
        <f t="shared" si="2321"/>
        <v>ND</v>
      </c>
      <c r="T2325" s="51">
        <f>+T1259</f>
        <v>0</v>
      </c>
      <c r="W2325" s="608">
        <f t="shared" si="2318"/>
        <v>120000</v>
      </c>
      <c r="X2325" s="608">
        <f t="shared" si="2319"/>
        <v>0</v>
      </c>
      <c r="Y2325" s="572" t="s">
        <v>1513</v>
      </c>
      <c r="Z2325" s="572">
        <f t="shared" si="2294"/>
        <v>0</v>
      </c>
      <c r="AA2325" s="1">
        <f t="shared" si="2295"/>
        <v>120</v>
      </c>
    </row>
    <row r="2326" spans="1:27" x14ac:dyDescent="0.2">
      <c r="A2326" s="20" t="str">
        <f>+A1261</f>
        <v>8.5.2.2 Actions de formation</v>
      </c>
      <c r="B2326" s="149"/>
      <c r="C2326" s="386">
        <f>+C1261</f>
        <v>0</v>
      </c>
      <c r="D2326" s="168">
        <f t="shared" si="2307"/>
        <v>0</v>
      </c>
      <c r="E2326" s="168">
        <f t="shared" si="2281"/>
        <v>39.4</v>
      </c>
      <c r="F2326" s="168">
        <f t="shared" si="2282"/>
        <v>39.700000000000003</v>
      </c>
      <c r="G2326" s="168">
        <f t="shared" si="2283"/>
        <v>40</v>
      </c>
      <c r="H2326" s="168">
        <f t="shared" si="2284"/>
        <v>40.299999999999997</v>
      </c>
      <c r="I2326" s="166">
        <f t="shared" si="2285"/>
        <v>159.4</v>
      </c>
      <c r="J2326" s="371">
        <f t="shared" ref="J2326:T2326" si="2322">+J1261</f>
        <v>0</v>
      </c>
      <c r="K2326" s="350">
        <f t="shared" si="2322"/>
        <v>0</v>
      </c>
      <c r="L2326" s="167">
        <f t="shared" si="2322"/>
        <v>0</v>
      </c>
      <c r="M2326" s="168">
        <f t="shared" si="2322"/>
        <v>39400</v>
      </c>
      <c r="N2326" s="168">
        <f t="shared" si="2322"/>
        <v>39700</v>
      </c>
      <c r="O2326" s="168">
        <f t="shared" si="2322"/>
        <v>40000</v>
      </c>
      <c r="P2326" s="168">
        <f t="shared" si="2322"/>
        <v>40300</v>
      </c>
      <c r="Q2326" s="165">
        <f t="shared" si="2322"/>
        <v>159400</v>
      </c>
      <c r="R2326" s="198" t="str">
        <f t="shared" ref="R2326:S2326" si="2323">+R1261</f>
        <v>EPS-DIS</v>
      </c>
      <c r="S2326" s="115" t="str">
        <f t="shared" si="2323"/>
        <v>ND</v>
      </c>
      <c r="T2326" s="51">
        <f t="shared" si="2322"/>
        <v>0</v>
      </c>
      <c r="W2326" s="608">
        <f t="shared" si="2311"/>
        <v>159400</v>
      </c>
      <c r="X2326" s="608">
        <f t="shared" si="2312"/>
        <v>0</v>
      </c>
      <c r="Y2326" s="572" t="s">
        <v>1513</v>
      </c>
      <c r="Z2326" s="572">
        <f t="shared" si="2294"/>
        <v>0</v>
      </c>
      <c r="AA2326" s="1">
        <f t="shared" si="2295"/>
        <v>159.4</v>
      </c>
    </row>
    <row r="2327" spans="1:27" x14ac:dyDescent="0.2">
      <c r="A2327" s="14" t="str">
        <f>A1266</f>
        <v>8.6 Redevabilité et gouvernance financière : Assurer la redevabilité des structures et Maitriser les flux ascendants</v>
      </c>
      <c r="B2327" s="44"/>
      <c r="C2327" s="385">
        <f>C1266</f>
        <v>0</v>
      </c>
      <c r="D2327" s="217">
        <f t="shared" ref="D2327:D2330" si="2324">L2327/1000</f>
        <v>343.25</v>
      </c>
      <c r="E2327" s="217">
        <f t="shared" si="2281"/>
        <v>121.75</v>
      </c>
      <c r="F2327" s="217">
        <f t="shared" si="2282"/>
        <v>116</v>
      </c>
      <c r="G2327" s="217">
        <f t="shared" si="2283"/>
        <v>67.5</v>
      </c>
      <c r="H2327" s="217">
        <f t="shared" si="2284"/>
        <v>67.5</v>
      </c>
      <c r="I2327" s="220">
        <f t="shared" si="2285"/>
        <v>716</v>
      </c>
      <c r="J2327" s="373">
        <f t="shared" ref="J2327" si="2325">R2327</f>
        <v>0</v>
      </c>
      <c r="K2327" s="346">
        <f t="shared" ref="K2327" si="2326">S2327</f>
        <v>0</v>
      </c>
      <c r="L2327" s="33">
        <f>+L2328+L2331+L2334+L2336</f>
        <v>343250</v>
      </c>
      <c r="M2327" s="32">
        <f t="shared" ref="M2327:Q2327" si="2327">+M2328+M2331+M2334+M2336</f>
        <v>121750</v>
      </c>
      <c r="N2327" s="32">
        <f t="shared" si="2327"/>
        <v>116000</v>
      </c>
      <c r="O2327" s="32">
        <f t="shared" si="2327"/>
        <v>67500</v>
      </c>
      <c r="P2327" s="32">
        <f t="shared" si="2327"/>
        <v>67500</v>
      </c>
      <c r="Q2327" s="25">
        <f t="shared" si="2327"/>
        <v>716000</v>
      </c>
      <c r="R2327" s="515">
        <f t="shared" ref="R2327:S2327" si="2328">+R2328+R2331+R2334+R2336</f>
        <v>0</v>
      </c>
      <c r="S2327" s="145">
        <f t="shared" si="2328"/>
        <v>0</v>
      </c>
      <c r="T2327" s="49">
        <f>T1266</f>
        <v>3</v>
      </c>
      <c r="W2327" s="608">
        <f t="shared" ref="W2327" si="2329">SUM(L2327:P2327)</f>
        <v>716000</v>
      </c>
      <c r="X2327" s="608">
        <f t="shared" ref="X2327" si="2330">W2327-Q2327</f>
        <v>0</v>
      </c>
      <c r="Y2327" s="572" t="s">
        <v>1513</v>
      </c>
      <c r="Z2327" s="572">
        <f t="shared" si="2294"/>
        <v>0</v>
      </c>
      <c r="AA2327" s="1">
        <f t="shared" si="2295"/>
        <v>716</v>
      </c>
    </row>
    <row r="2328" spans="1:27" x14ac:dyDescent="0.2">
      <c r="A2328" s="17" t="str">
        <f>A1267</f>
        <v>8.6.1 Renforcement des audits internes et externes</v>
      </c>
      <c r="B2328" s="45"/>
      <c r="C2328" s="386">
        <f>C1267</f>
        <v>0</v>
      </c>
      <c r="D2328" s="157">
        <f t="shared" si="2324"/>
        <v>0</v>
      </c>
      <c r="E2328" s="157">
        <f t="shared" si="2281"/>
        <v>16.25</v>
      </c>
      <c r="F2328" s="157">
        <f t="shared" si="2282"/>
        <v>67.5</v>
      </c>
      <c r="G2328" s="157">
        <f t="shared" si="2283"/>
        <v>67.5</v>
      </c>
      <c r="H2328" s="157">
        <f t="shared" si="2284"/>
        <v>67.5</v>
      </c>
      <c r="I2328" s="160">
        <f t="shared" si="2285"/>
        <v>218.75</v>
      </c>
      <c r="J2328" s="374">
        <f>R2328</f>
        <v>0</v>
      </c>
      <c r="K2328" s="348">
        <f>S2328</f>
        <v>0</v>
      </c>
      <c r="L2328" s="35">
        <f>SUM(L2329:L2330)</f>
        <v>0</v>
      </c>
      <c r="M2328" s="34">
        <f t="shared" ref="M2328:Q2328" si="2331">SUM(M2329:M2330)</f>
        <v>16250</v>
      </c>
      <c r="N2328" s="34">
        <f t="shared" si="2331"/>
        <v>67500</v>
      </c>
      <c r="O2328" s="34">
        <f t="shared" si="2331"/>
        <v>67500</v>
      </c>
      <c r="P2328" s="34">
        <f t="shared" si="2331"/>
        <v>67500</v>
      </c>
      <c r="Q2328" s="26">
        <f t="shared" si="2331"/>
        <v>218750</v>
      </c>
      <c r="R2328" s="209">
        <f t="shared" ref="R2328:S2328" si="2332">SUM(R2329:R2330)</f>
        <v>0</v>
      </c>
      <c r="S2328" s="116">
        <f t="shared" si="2332"/>
        <v>0</v>
      </c>
      <c r="T2328" s="50">
        <f>T1267</f>
        <v>0</v>
      </c>
      <c r="W2328" s="608">
        <f>SUM(L2328:P2328)</f>
        <v>218750</v>
      </c>
      <c r="X2328" s="608">
        <f>W2328-Q2328</f>
        <v>0</v>
      </c>
      <c r="Y2328" s="572" t="s">
        <v>1513</v>
      </c>
      <c r="Z2328" s="572">
        <f t="shared" si="2294"/>
        <v>0</v>
      </c>
      <c r="AA2328" s="1">
        <f t="shared" si="2295"/>
        <v>218.75</v>
      </c>
    </row>
    <row r="2329" spans="1:27" x14ac:dyDescent="0.2">
      <c r="A2329" s="20" t="str">
        <f>+A1268</f>
        <v xml:space="preserve">8.6.1.1 Production d'outils d'audits internes et externes </v>
      </c>
      <c r="B2329" s="149"/>
      <c r="C2329" s="386">
        <f>+C1268</f>
        <v>0</v>
      </c>
      <c r="D2329" s="168">
        <f t="shared" si="2324"/>
        <v>0</v>
      </c>
      <c r="E2329" s="168">
        <f t="shared" si="2281"/>
        <v>16.25</v>
      </c>
      <c r="F2329" s="168">
        <f t="shared" si="2282"/>
        <v>0</v>
      </c>
      <c r="G2329" s="168">
        <f t="shared" si="2283"/>
        <v>0</v>
      </c>
      <c r="H2329" s="168">
        <f t="shared" si="2284"/>
        <v>0</v>
      </c>
      <c r="I2329" s="166">
        <f t="shared" si="2285"/>
        <v>16.25</v>
      </c>
      <c r="J2329" s="371">
        <f t="shared" ref="J2329:T2329" si="2333">+J1268</f>
        <v>0</v>
      </c>
      <c r="K2329" s="350">
        <f t="shared" si="2333"/>
        <v>0</v>
      </c>
      <c r="L2329" s="167">
        <f t="shared" si="2333"/>
        <v>0</v>
      </c>
      <c r="M2329" s="168">
        <f t="shared" si="2333"/>
        <v>16250</v>
      </c>
      <c r="N2329" s="168">
        <f t="shared" si="2333"/>
        <v>0</v>
      </c>
      <c r="O2329" s="168">
        <f t="shared" si="2333"/>
        <v>0</v>
      </c>
      <c r="P2329" s="168">
        <f t="shared" si="2333"/>
        <v>0</v>
      </c>
      <c r="Q2329" s="165">
        <f t="shared" si="2333"/>
        <v>16250</v>
      </c>
      <c r="R2329" s="198" t="str">
        <f t="shared" ref="R2329:S2329" si="2334">+R1268</f>
        <v>SPACE/DEP-EPS/ESU/ETP/MAS</v>
      </c>
      <c r="S2329" s="115" t="str">
        <f t="shared" si="2334"/>
        <v>ND</v>
      </c>
      <c r="T2329" s="51">
        <f t="shared" si="2333"/>
        <v>0</v>
      </c>
      <c r="W2329" s="608">
        <f>SUM(L2329:P2329)</f>
        <v>16250</v>
      </c>
      <c r="X2329" s="608">
        <f>W2329-Q2329</f>
        <v>0</v>
      </c>
      <c r="Y2329" s="572" t="s">
        <v>1513</v>
      </c>
      <c r="Z2329" s="572">
        <f t="shared" si="2294"/>
        <v>0</v>
      </c>
      <c r="AA2329" s="1">
        <f t="shared" si="2295"/>
        <v>16.25</v>
      </c>
    </row>
    <row r="2330" spans="1:27" x14ac:dyDescent="0.2">
      <c r="A2330" s="20" t="str">
        <f>A1271</f>
        <v xml:space="preserve">8.6.1.2 Opérations d'audits internes et externes </v>
      </c>
      <c r="B2330" s="149"/>
      <c r="C2330" s="386">
        <f>C1271</f>
        <v>0</v>
      </c>
      <c r="D2330" s="168">
        <f t="shared" si="2324"/>
        <v>0</v>
      </c>
      <c r="E2330" s="168">
        <f t="shared" si="2281"/>
        <v>0</v>
      </c>
      <c r="F2330" s="168">
        <f t="shared" si="2282"/>
        <v>67.5</v>
      </c>
      <c r="G2330" s="168">
        <f t="shared" si="2283"/>
        <v>67.5</v>
      </c>
      <c r="H2330" s="168">
        <f t="shared" si="2284"/>
        <v>67.5</v>
      </c>
      <c r="I2330" s="166">
        <f t="shared" si="2285"/>
        <v>202.5</v>
      </c>
      <c r="J2330" s="371">
        <f t="shared" ref="J2330:T2330" si="2335">J1271</f>
        <v>0</v>
      </c>
      <c r="K2330" s="350">
        <f t="shared" si="2335"/>
        <v>0</v>
      </c>
      <c r="L2330" s="167">
        <f t="shared" si="2335"/>
        <v>0</v>
      </c>
      <c r="M2330" s="168">
        <f t="shared" si="2335"/>
        <v>0</v>
      </c>
      <c r="N2330" s="168">
        <f t="shared" si="2335"/>
        <v>67500</v>
      </c>
      <c r="O2330" s="168">
        <f t="shared" si="2335"/>
        <v>67500</v>
      </c>
      <c r="P2330" s="168">
        <f t="shared" si="2335"/>
        <v>67500</v>
      </c>
      <c r="Q2330" s="165">
        <f t="shared" si="2335"/>
        <v>202500</v>
      </c>
      <c r="R2330" s="198" t="str">
        <f t="shared" ref="R2330:S2330" si="2336">R1271</f>
        <v>SPACE/DEP-EPS/ESU/ETP/MAS</v>
      </c>
      <c r="S2330" s="115" t="str">
        <f t="shared" si="2336"/>
        <v>ND</v>
      </c>
      <c r="T2330" s="51">
        <f t="shared" si="2335"/>
        <v>0</v>
      </c>
      <c r="W2330" s="608">
        <f>SUM(L2330:P2330)</f>
        <v>202500</v>
      </c>
      <c r="X2330" s="608">
        <f>W2330-Q2330</f>
        <v>0</v>
      </c>
      <c r="Y2330" s="572" t="s">
        <v>1513</v>
      </c>
      <c r="Z2330" s="572">
        <f t="shared" si="2294"/>
        <v>0</v>
      </c>
      <c r="AA2330" s="1">
        <f t="shared" si="2295"/>
        <v>202.5</v>
      </c>
    </row>
    <row r="2331" spans="1:27" x14ac:dyDescent="0.2">
      <c r="A2331" s="17" t="str">
        <f>A1275</f>
        <v>8.6.2 Évaluation des besoins de fonctionnement des bureaux gestionnaires et définition des budgets types</v>
      </c>
      <c r="B2331" s="45"/>
      <c r="C2331" s="386" t="str">
        <f>C1275</f>
        <v>à partir de 2017, tous les établissements élaborent un projet</v>
      </c>
      <c r="D2331" s="157">
        <f t="shared" ref="D2331:D2332" si="2337">L2331/1000</f>
        <v>153.75</v>
      </c>
      <c r="E2331" s="157">
        <f t="shared" ref="E2331:E2332" si="2338">M2331/1000</f>
        <v>57</v>
      </c>
      <c r="F2331" s="157">
        <f t="shared" ref="F2331:F2332" si="2339">N2331/1000</f>
        <v>0</v>
      </c>
      <c r="G2331" s="157">
        <f t="shared" ref="G2331:G2332" si="2340">O2331/1000</f>
        <v>0</v>
      </c>
      <c r="H2331" s="157">
        <f t="shared" ref="H2331:H2332" si="2341">P2331/1000</f>
        <v>0</v>
      </c>
      <c r="I2331" s="160">
        <f t="shared" ref="I2331:I2332" si="2342">Q2331/1000</f>
        <v>210.75</v>
      </c>
      <c r="J2331" s="374">
        <f t="shared" ref="J2331:J2332" si="2343">R2331</f>
        <v>0</v>
      </c>
      <c r="K2331" s="348">
        <f t="shared" ref="K2331:K2332" si="2344">S2331</f>
        <v>0</v>
      </c>
      <c r="L2331" s="35">
        <f>SUM(L2332:L2333)</f>
        <v>153750</v>
      </c>
      <c r="M2331" s="34">
        <f t="shared" ref="M2331:Q2331" si="2345">SUM(M2332:M2333)</f>
        <v>57000</v>
      </c>
      <c r="N2331" s="34">
        <f t="shared" si="2345"/>
        <v>0</v>
      </c>
      <c r="O2331" s="34">
        <f t="shared" si="2345"/>
        <v>0</v>
      </c>
      <c r="P2331" s="34">
        <f t="shared" si="2345"/>
        <v>0</v>
      </c>
      <c r="Q2331" s="26">
        <f t="shared" si="2345"/>
        <v>210750</v>
      </c>
      <c r="R2331" s="209">
        <f t="shared" ref="R2331:S2331" si="2346">SUM(R2332:R2333)</f>
        <v>0</v>
      </c>
      <c r="S2331" s="116">
        <f t="shared" si="2346"/>
        <v>0</v>
      </c>
      <c r="T2331" s="50">
        <f>T1275</f>
        <v>0</v>
      </c>
      <c r="W2331" s="608">
        <f t="shared" ref="W2331:W2332" si="2347">SUM(L2331:P2331)</f>
        <v>210750</v>
      </c>
      <c r="X2331" s="608">
        <f t="shared" ref="X2331:X2332" si="2348">W2331-Q2331</f>
        <v>0</v>
      </c>
      <c r="Z2331" s="572">
        <f t="shared" si="2294"/>
        <v>0</v>
      </c>
      <c r="AA2331" s="1">
        <f t="shared" si="2295"/>
        <v>0</v>
      </c>
    </row>
    <row r="2332" spans="1:27" x14ac:dyDescent="0.2">
      <c r="A2332" s="20" t="str">
        <f>A1276</f>
        <v>8.6.2.1 Évaluation des besoins effectifs de fonctionnement des différentes catégories des bureaux gestionnaires</v>
      </c>
      <c r="B2332" s="149"/>
      <c r="C2332" s="386" t="str">
        <f>C1276</f>
        <v>Les besoins réels de fonctionnement des différentes catégories des bureaux gestionnaires sont évalués avec précision</v>
      </c>
      <c r="D2332" s="168">
        <f t="shared" si="2337"/>
        <v>80</v>
      </c>
      <c r="E2332" s="168">
        <f t="shared" si="2338"/>
        <v>0</v>
      </c>
      <c r="F2332" s="168">
        <f t="shared" si="2339"/>
        <v>0</v>
      </c>
      <c r="G2332" s="168">
        <f t="shared" si="2340"/>
        <v>0</v>
      </c>
      <c r="H2332" s="168">
        <f t="shared" si="2341"/>
        <v>0</v>
      </c>
      <c r="I2332" s="166">
        <f t="shared" si="2342"/>
        <v>80</v>
      </c>
      <c r="J2332" s="371" t="str">
        <f t="shared" si="2343"/>
        <v>SPACE</v>
      </c>
      <c r="K2332" s="350" t="str">
        <f t="shared" si="2344"/>
        <v>BM</v>
      </c>
      <c r="L2332" s="167">
        <f t="shared" ref="L2332:Q2332" si="2349">L1276</f>
        <v>80000</v>
      </c>
      <c r="M2332" s="168">
        <f t="shared" si="2349"/>
        <v>0</v>
      </c>
      <c r="N2332" s="168">
        <f t="shared" si="2349"/>
        <v>0</v>
      </c>
      <c r="O2332" s="168">
        <f t="shared" si="2349"/>
        <v>0</v>
      </c>
      <c r="P2332" s="168">
        <f t="shared" si="2349"/>
        <v>0</v>
      </c>
      <c r="Q2332" s="165">
        <f t="shared" si="2349"/>
        <v>80000</v>
      </c>
      <c r="R2332" s="198" t="str">
        <f t="shared" ref="R2332:S2332" si="2350">R1276</f>
        <v>SPACE</v>
      </c>
      <c r="S2332" s="115" t="str">
        <f t="shared" si="2350"/>
        <v>BM</v>
      </c>
      <c r="T2332" s="51">
        <f>T1276</f>
        <v>0</v>
      </c>
      <c r="W2332" s="608">
        <f t="shared" si="2347"/>
        <v>80000</v>
      </c>
      <c r="X2332" s="608">
        <f t="shared" si="2348"/>
        <v>0</v>
      </c>
      <c r="Z2332" s="572">
        <f t="shared" si="2294"/>
        <v>0</v>
      </c>
      <c r="AA2332" s="1">
        <f t="shared" si="2295"/>
        <v>0</v>
      </c>
    </row>
    <row r="2333" spans="1:27" x14ac:dyDescent="0.2">
      <c r="A2333" s="20" t="str">
        <f>A1281</f>
        <v xml:space="preserve">8.6.2.2 Définition des budgets des catégories des BG et des modalités de leur financement </v>
      </c>
      <c r="B2333" s="149"/>
      <c r="C2333" s="386" t="str">
        <f>C1281</f>
        <v>Les budgets types sont définis : Niveaux à retenir, modalité d'élaboration et schéma de financement</v>
      </c>
      <c r="D2333" s="168">
        <f t="shared" ref="D2333:D2335" si="2351">L2333/1000</f>
        <v>73.75</v>
      </c>
      <c r="E2333" s="168">
        <f t="shared" ref="E2333:E2335" si="2352">M2333/1000</f>
        <v>57</v>
      </c>
      <c r="F2333" s="168">
        <f t="shared" ref="F2333:F2335" si="2353">N2333/1000</f>
        <v>0</v>
      </c>
      <c r="G2333" s="168">
        <f t="shared" ref="G2333:G2335" si="2354">O2333/1000</f>
        <v>0</v>
      </c>
      <c r="H2333" s="168">
        <f t="shared" ref="H2333:H2335" si="2355">P2333/1000</f>
        <v>0</v>
      </c>
      <c r="I2333" s="166">
        <f t="shared" ref="I2333:I2335" si="2356">Q2333/1000</f>
        <v>130.75</v>
      </c>
      <c r="J2333" s="371" t="str">
        <f t="shared" ref="J2333:J2335" si="2357">R2333</f>
        <v>SPACE</v>
      </c>
      <c r="K2333" s="350" t="str">
        <f t="shared" ref="K2333:K2335" si="2358">S2333</f>
        <v>BM</v>
      </c>
      <c r="L2333" s="167">
        <f t="shared" ref="L2333:T2333" si="2359">L1281</f>
        <v>73750</v>
      </c>
      <c r="M2333" s="168">
        <f t="shared" si="2359"/>
        <v>57000</v>
      </c>
      <c r="N2333" s="168">
        <f t="shared" si="2359"/>
        <v>0</v>
      </c>
      <c r="O2333" s="168">
        <f t="shared" si="2359"/>
        <v>0</v>
      </c>
      <c r="P2333" s="168">
        <f t="shared" si="2359"/>
        <v>0</v>
      </c>
      <c r="Q2333" s="165">
        <f t="shared" si="2359"/>
        <v>130750</v>
      </c>
      <c r="R2333" s="198" t="str">
        <f t="shared" ref="R2333:S2333" si="2360">R1281</f>
        <v>SPACE</v>
      </c>
      <c r="S2333" s="115" t="str">
        <f t="shared" si="2360"/>
        <v>BM</v>
      </c>
      <c r="T2333" s="51">
        <f t="shared" si="2359"/>
        <v>0</v>
      </c>
      <c r="W2333" s="608">
        <f t="shared" ref="W2333:W2335" si="2361">SUM(L2333:P2333)</f>
        <v>130750</v>
      </c>
      <c r="X2333" s="608">
        <f t="shared" ref="X2333:X2335" si="2362">W2333-Q2333</f>
        <v>0</v>
      </c>
      <c r="Z2333" s="572">
        <f t="shared" si="2294"/>
        <v>0</v>
      </c>
      <c r="AA2333" s="1">
        <f t="shared" si="2295"/>
        <v>0</v>
      </c>
    </row>
    <row r="2334" spans="1:27" x14ac:dyDescent="0.2">
      <c r="A2334" s="17" t="str">
        <f>A1286</f>
        <v>8.6.3 Évaluation des flux ascendants : contributions et circuits</v>
      </c>
      <c r="B2334" s="45"/>
      <c r="C2334" s="386" t="str">
        <f>C1286</f>
        <v>Les flux acsendants sont évalués : montants et affectations à tous les niveaux</v>
      </c>
      <c r="D2334" s="157">
        <f t="shared" si="2351"/>
        <v>141</v>
      </c>
      <c r="E2334" s="157">
        <f t="shared" si="2352"/>
        <v>0</v>
      </c>
      <c r="F2334" s="157">
        <f t="shared" si="2353"/>
        <v>0</v>
      </c>
      <c r="G2334" s="157">
        <f t="shared" si="2354"/>
        <v>0</v>
      </c>
      <c r="H2334" s="157">
        <f t="shared" si="2355"/>
        <v>0</v>
      </c>
      <c r="I2334" s="160">
        <f t="shared" si="2356"/>
        <v>141</v>
      </c>
      <c r="J2334" s="374">
        <f t="shared" si="2357"/>
        <v>0</v>
      </c>
      <c r="K2334" s="348">
        <f t="shared" si="2358"/>
        <v>0</v>
      </c>
      <c r="L2334" s="35">
        <f t="shared" ref="L2334:Q2334" si="2363">SUM(L2335:L2335)</f>
        <v>141000</v>
      </c>
      <c r="M2334" s="34">
        <f t="shared" si="2363"/>
        <v>0</v>
      </c>
      <c r="N2334" s="34">
        <f t="shared" si="2363"/>
        <v>0</v>
      </c>
      <c r="O2334" s="34">
        <f t="shared" si="2363"/>
        <v>0</v>
      </c>
      <c r="P2334" s="34">
        <f t="shared" si="2363"/>
        <v>0</v>
      </c>
      <c r="Q2334" s="26">
        <f t="shared" si="2363"/>
        <v>141000</v>
      </c>
      <c r="R2334" s="209">
        <f t="shared" ref="R2334" si="2364">SUM(R2335:R2335)</f>
        <v>0</v>
      </c>
      <c r="S2334" s="116">
        <f t="shared" ref="S2334" si="2365">SUM(S2335:S2335)</f>
        <v>0</v>
      </c>
      <c r="T2334" s="50">
        <f>T1286</f>
        <v>0</v>
      </c>
      <c r="W2334" s="608">
        <f t="shared" si="2361"/>
        <v>141000</v>
      </c>
      <c r="X2334" s="608">
        <f t="shared" si="2362"/>
        <v>0</v>
      </c>
      <c r="Z2334" s="572">
        <f t="shared" si="2294"/>
        <v>0</v>
      </c>
      <c r="AA2334" s="1">
        <f t="shared" si="2295"/>
        <v>0</v>
      </c>
    </row>
    <row r="2335" spans="1:27" x14ac:dyDescent="0.2">
      <c r="A2335" s="20" t="str">
        <f>A1287</f>
        <v>8.6.3.1 Étude d'évaluation des flux ascendants</v>
      </c>
      <c r="B2335" s="149"/>
      <c r="C2335" s="386">
        <f>C1287</f>
        <v>0</v>
      </c>
      <c r="D2335" s="168">
        <f t="shared" si="2351"/>
        <v>141</v>
      </c>
      <c r="E2335" s="168">
        <f t="shared" si="2352"/>
        <v>0</v>
      </c>
      <c r="F2335" s="168">
        <f t="shared" si="2353"/>
        <v>0</v>
      </c>
      <c r="G2335" s="168">
        <f t="shared" si="2354"/>
        <v>0</v>
      </c>
      <c r="H2335" s="168">
        <f t="shared" si="2355"/>
        <v>0</v>
      </c>
      <c r="I2335" s="166">
        <f t="shared" si="2356"/>
        <v>141</v>
      </c>
      <c r="J2335" s="371" t="str">
        <f t="shared" si="2357"/>
        <v>SPACE</v>
      </c>
      <c r="K2335" s="350" t="str">
        <f t="shared" si="2358"/>
        <v>BM</v>
      </c>
      <c r="L2335" s="167">
        <f t="shared" ref="L2335:Q2335" si="2366">L1287</f>
        <v>141000</v>
      </c>
      <c r="M2335" s="168">
        <f t="shared" si="2366"/>
        <v>0</v>
      </c>
      <c r="N2335" s="168">
        <f t="shared" si="2366"/>
        <v>0</v>
      </c>
      <c r="O2335" s="168">
        <f t="shared" si="2366"/>
        <v>0</v>
      </c>
      <c r="P2335" s="168">
        <f t="shared" si="2366"/>
        <v>0</v>
      </c>
      <c r="Q2335" s="165">
        <f t="shared" si="2366"/>
        <v>141000</v>
      </c>
      <c r="R2335" s="198" t="str">
        <f t="shared" ref="R2335:S2335" si="2367">R1287</f>
        <v>SPACE</v>
      </c>
      <c r="S2335" s="115" t="str">
        <f t="shared" si="2367"/>
        <v>BM</v>
      </c>
      <c r="T2335" s="51">
        <f>T1287</f>
        <v>0</v>
      </c>
      <c r="W2335" s="608">
        <f t="shared" si="2361"/>
        <v>141000</v>
      </c>
      <c r="X2335" s="608">
        <f t="shared" si="2362"/>
        <v>0</v>
      </c>
      <c r="Z2335" s="572">
        <f t="shared" si="2294"/>
        <v>0</v>
      </c>
      <c r="AA2335" s="1">
        <f t="shared" si="2295"/>
        <v>0</v>
      </c>
    </row>
    <row r="2336" spans="1:27" x14ac:dyDescent="0.2">
      <c r="A2336" s="17" t="str">
        <f>A1292</f>
        <v>8.6.4 Commission des flux ascendants : Instance de concertation, de décision et de suivi évaluation</v>
      </c>
      <c r="B2336" s="45"/>
      <c r="C2336" s="386" t="str">
        <f>C1292</f>
        <v>Les flux acsendants sont évalués : montants et affectations à tous les niveaux</v>
      </c>
      <c r="D2336" s="157">
        <f t="shared" ref="D2336:D2337" si="2368">L2336/1000</f>
        <v>48.5</v>
      </c>
      <c r="E2336" s="157">
        <f t="shared" ref="E2336:E2337" si="2369">M2336/1000</f>
        <v>48.5</v>
      </c>
      <c r="F2336" s="157">
        <f t="shared" ref="F2336:F2337" si="2370">N2336/1000</f>
        <v>48.5</v>
      </c>
      <c r="G2336" s="157">
        <f t="shared" ref="G2336:G2337" si="2371">O2336/1000</f>
        <v>0</v>
      </c>
      <c r="H2336" s="157">
        <f t="shared" ref="H2336:H2337" si="2372">P2336/1000</f>
        <v>0</v>
      </c>
      <c r="I2336" s="160">
        <f t="shared" ref="I2336:I2337" si="2373">Q2336/1000</f>
        <v>145.5</v>
      </c>
      <c r="J2336" s="374">
        <f t="shared" ref="J2336:J2337" si="2374">R2336</f>
        <v>0</v>
      </c>
      <c r="K2336" s="348">
        <f t="shared" ref="K2336:K2337" si="2375">S2336</f>
        <v>0</v>
      </c>
      <c r="L2336" s="35">
        <f t="shared" ref="L2336:Q2336" si="2376">SUM(L2337:L2337)</f>
        <v>48500</v>
      </c>
      <c r="M2336" s="34">
        <f t="shared" si="2376"/>
        <v>48500</v>
      </c>
      <c r="N2336" s="34">
        <f t="shared" si="2376"/>
        <v>48500</v>
      </c>
      <c r="O2336" s="34">
        <f t="shared" si="2376"/>
        <v>0</v>
      </c>
      <c r="P2336" s="34">
        <f t="shared" si="2376"/>
        <v>0</v>
      </c>
      <c r="Q2336" s="26">
        <f t="shared" si="2376"/>
        <v>145500</v>
      </c>
      <c r="R2336" s="209">
        <f t="shared" ref="R2336" si="2377">SUM(R2337:R2337)</f>
        <v>0</v>
      </c>
      <c r="S2336" s="116">
        <f t="shared" ref="S2336" si="2378">SUM(S2337:S2337)</f>
        <v>0</v>
      </c>
      <c r="T2336" s="50">
        <f>T1292</f>
        <v>0</v>
      </c>
      <c r="W2336" s="608">
        <f t="shared" ref="W2336:W2337" si="2379">SUM(L2336:P2336)</f>
        <v>145500</v>
      </c>
      <c r="X2336" s="608">
        <f t="shared" ref="X2336:X2337" si="2380">W2336-Q2336</f>
        <v>0</v>
      </c>
      <c r="Z2336" s="572">
        <f t="shared" si="2294"/>
        <v>0</v>
      </c>
      <c r="AA2336" s="1">
        <f t="shared" si="2295"/>
        <v>0</v>
      </c>
    </row>
    <row r="2337" spans="1:27" x14ac:dyDescent="0.2">
      <c r="A2337" s="20" t="str">
        <f>A1293</f>
        <v>8.6.4.1 Fonctionnement régulier de la Commission des flux ascendants</v>
      </c>
      <c r="B2337" s="149"/>
      <c r="C2337" s="386">
        <f>C1293</f>
        <v>0</v>
      </c>
      <c r="D2337" s="168">
        <f t="shared" si="2368"/>
        <v>48.5</v>
      </c>
      <c r="E2337" s="168">
        <f t="shared" si="2369"/>
        <v>48.5</v>
      </c>
      <c r="F2337" s="168">
        <f t="shared" si="2370"/>
        <v>48.5</v>
      </c>
      <c r="G2337" s="168">
        <f t="shared" si="2371"/>
        <v>0</v>
      </c>
      <c r="H2337" s="168">
        <f t="shared" si="2372"/>
        <v>0</v>
      </c>
      <c r="I2337" s="166">
        <f t="shared" si="2373"/>
        <v>145.5</v>
      </c>
      <c r="J2337" s="371" t="str">
        <f t="shared" si="2374"/>
        <v>EPS-Cabinet</v>
      </c>
      <c r="K2337" s="350" t="str">
        <f t="shared" si="2375"/>
        <v>BM</v>
      </c>
      <c r="L2337" s="167">
        <f t="shared" ref="L2337:Q2337" si="2381">L1293</f>
        <v>48500</v>
      </c>
      <c r="M2337" s="168">
        <f t="shared" si="2381"/>
        <v>48500</v>
      </c>
      <c r="N2337" s="168">
        <f t="shared" si="2381"/>
        <v>48500</v>
      </c>
      <c r="O2337" s="168">
        <f t="shared" si="2381"/>
        <v>0</v>
      </c>
      <c r="P2337" s="168">
        <f t="shared" si="2381"/>
        <v>0</v>
      </c>
      <c r="Q2337" s="165">
        <f t="shared" si="2381"/>
        <v>145500</v>
      </c>
      <c r="R2337" s="198" t="str">
        <f t="shared" ref="R2337:S2337" si="2382">R1293</f>
        <v>EPS-Cabinet</v>
      </c>
      <c r="S2337" s="115" t="str">
        <f t="shared" si="2382"/>
        <v>BM</v>
      </c>
      <c r="T2337" s="51">
        <f>T1293</f>
        <v>0</v>
      </c>
      <c r="W2337" s="608">
        <f t="shared" si="2379"/>
        <v>145500</v>
      </c>
      <c r="X2337" s="608">
        <f t="shared" si="2380"/>
        <v>0</v>
      </c>
      <c r="Z2337" s="572">
        <f t="shared" si="2294"/>
        <v>0</v>
      </c>
      <c r="AA2337" s="1">
        <f t="shared" si="2295"/>
        <v>0</v>
      </c>
    </row>
    <row r="2338" spans="1:27" x14ac:dyDescent="0.2">
      <c r="A2338" s="14" t="str">
        <f>A1296</f>
        <v>8.7 Gestion financière des établissements : Renforcer la participation des communautés et des OSC dans la gestion des établissements</v>
      </c>
      <c r="B2338" s="44"/>
      <c r="C2338" s="385">
        <f>C1296</f>
        <v>0</v>
      </c>
      <c r="D2338" s="217">
        <f t="shared" si="2280"/>
        <v>164</v>
      </c>
      <c r="E2338" s="217">
        <f t="shared" si="2281"/>
        <v>164</v>
      </c>
      <c r="F2338" s="217">
        <f t="shared" si="2282"/>
        <v>0</v>
      </c>
      <c r="G2338" s="217">
        <f t="shared" si="2283"/>
        <v>0</v>
      </c>
      <c r="H2338" s="217">
        <f t="shared" si="2284"/>
        <v>0</v>
      </c>
      <c r="I2338" s="220">
        <f t="shared" si="2285"/>
        <v>328</v>
      </c>
      <c r="J2338" s="373">
        <f t="shared" si="2286"/>
        <v>0</v>
      </c>
      <c r="K2338" s="346">
        <f t="shared" si="2287"/>
        <v>0</v>
      </c>
      <c r="L2338" s="33">
        <f t="shared" ref="L2338:Q2338" si="2383">L2339+L2343</f>
        <v>164000</v>
      </c>
      <c r="M2338" s="32">
        <f t="shared" si="2383"/>
        <v>164000</v>
      </c>
      <c r="N2338" s="32">
        <f t="shared" si="2383"/>
        <v>0</v>
      </c>
      <c r="O2338" s="32">
        <f t="shared" si="2383"/>
        <v>0</v>
      </c>
      <c r="P2338" s="32">
        <f t="shared" si="2383"/>
        <v>0</v>
      </c>
      <c r="Q2338" s="25">
        <f t="shared" si="2383"/>
        <v>328000</v>
      </c>
      <c r="R2338" s="515">
        <f t="shared" ref="R2338:S2338" si="2384">R2339+R2343</f>
        <v>0</v>
      </c>
      <c r="S2338" s="145">
        <f t="shared" si="2384"/>
        <v>0</v>
      </c>
      <c r="T2338" s="49">
        <f>T1296</f>
        <v>3</v>
      </c>
      <c r="W2338" s="608">
        <f t="shared" si="2289"/>
        <v>328000</v>
      </c>
      <c r="X2338" s="608">
        <f t="shared" si="2290"/>
        <v>0</v>
      </c>
      <c r="Z2338" s="572">
        <f t="shared" si="2294"/>
        <v>0</v>
      </c>
      <c r="AA2338" s="1">
        <f t="shared" si="2295"/>
        <v>0</v>
      </c>
    </row>
    <row r="2339" spans="1:27" x14ac:dyDescent="0.2">
      <c r="A2339" s="17" t="str">
        <f>A1297</f>
        <v>8.7.1 Systématiser les projets d'établissement</v>
      </c>
      <c r="B2339" s="45"/>
      <c r="C2339" s="386" t="str">
        <f>C1297</f>
        <v>à partir de 2017, tous les établissements élaborent un projet</v>
      </c>
      <c r="D2339" s="157">
        <f t="shared" si="2280"/>
        <v>138</v>
      </c>
      <c r="E2339" s="157">
        <f t="shared" si="2281"/>
        <v>138</v>
      </c>
      <c r="F2339" s="157">
        <f t="shared" si="2282"/>
        <v>0</v>
      </c>
      <c r="G2339" s="157">
        <f t="shared" si="2283"/>
        <v>0</v>
      </c>
      <c r="H2339" s="157">
        <f t="shared" si="2284"/>
        <v>0</v>
      </c>
      <c r="I2339" s="160">
        <f t="shared" si="2285"/>
        <v>276</v>
      </c>
      <c r="J2339" s="374">
        <f t="shared" si="2286"/>
        <v>0</v>
      </c>
      <c r="K2339" s="348">
        <f t="shared" si="2287"/>
        <v>0</v>
      </c>
      <c r="L2339" s="35">
        <f t="shared" ref="L2339:Q2339" si="2385">SUM(L2340:L2342)</f>
        <v>138000</v>
      </c>
      <c r="M2339" s="34">
        <f t="shared" si="2385"/>
        <v>138000</v>
      </c>
      <c r="N2339" s="34">
        <f t="shared" si="2385"/>
        <v>0</v>
      </c>
      <c r="O2339" s="34">
        <f t="shared" si="2385"/>
        <v>0</v>
      </c>
      <c r="P2339" s="34">
        <f t="shared" si="2385"/>
        <v>0</v>
      </c>
      <c r="Q2339" s="26">
        <f t="shared" si="2385"/>
        <v>276000</v>
      </c>
      <c r="R2339" s="209">
        <f t="shared" ref="R2339:S2339" si="2386">SUM(R2340:R2342)</f>
        <v>0</v>
      </c>
      <c r="S2339" s="116">
        <f t="shared" si="2386"/>
        <v>0</v>
      </c>
      <c r="T2339" s="50">
        <f>T1297</f>
        <v>0</v>
      </c>
      <c r="W2339" s="608">
        <f t="shared" si="2289"/>
        <v>276000</v>
      </c>
      <c r="X2339" s="608">
        <f t="shared" si="2290"/>
        <v>0</v>
      </c>
      <c r="Z2339" s="572">
        <f t="shared" si="2294"/>
        <v>0</v>
      </c>
      <c r="AA2339" s="1">
        <f t="shared" si="2295"/>
        <v>0</v>
      </c>
    </row>
    <row r="2340" spans="1:27" x14ac:dyDescent="0.2">
      <c r="A2340" s="20" t="str">
        <f>A1298</f>
        <v>8.7.1.1 Accompagnement des structures dans l'élaboration d'un projet a l'EPSINC</v>
      </c>
      <c r="B2340" s="149"/>
      <c r="C2340" s="386">
        <f>C1298</f>
        <v>0</v>
      </c>
      <c r="D2340" s="168">
        <f t="shared" si="2280"/>
        <v>84</v>
      </c>
      <c r="E2340" s="168">
        <f t="shared" si="2281"/>
        <v>84</v>
      </c>
      <c r="F2340" s="168">
        <f t="shared" si="2282"/>
        <v>0</v>
      </c>
      <c r="G2340" s="168">
        <f t="shared" si="2283"/>
        <v>0</v>
      </c>
      <c r="H2340" s="168">
        <f t="shared" si="2284"/>
        <v>0</v>
      </c>
      <c r="I2340" s="166">
        <f t="shared" si="2285"/>
        <v>168</v>
      </c>
      <c r="J2340" s="371" t="str">
        <f t="shared" si="2286"/>
        <v>SPACE/EPS-DEP</v>
      </c>
      <c r="K2340" s="350" t="str">
        <f t="shared" si="2287"/>
        <v>BM</v>
      </c>
      <c r="L2340" s="167">
        <f t="shared" ref="L2340:Q2340" si="2387">L1298</f>
        <v>84000</v>
      </c>
      <c r="M2340" s="36">
        <f t="shared" si="2387"/>
        <v>84000</v>
      </c>
      <c r="N2340" s="36">
        <f t="shared" si="2387"/>
        <v>0</v>
      </c>
      <c r="O2340" s="36">
        <f t="shared" si="2387"/>
        <v>0</v>
      </c>
      <c r="P2340" s="36">
        <f t="shared" si="2387"/>
        <v>0</v>
      </c>
      <c r="Q2340" s="27">
        <f t="shared" si="2387"/>
        <v>168000</v>
      </c>
      <c r="R2340" s="198" t="str">
        <f t="shared" ref="R2340:S2340" si="2388">R1298</f>
        <v>SPACE/EPS-DEP</v>
      </c>
      <c r="S2340" s="115" t="str">
        <f t="shared" si="2388"/>
        <v>BM</v>
      </c>
      <c r="T2340" s="51">
        <f>T1298</f>
        <v>0</v>
      </c>
      <c r="W2340" s="608">
        <f t="shared" si="2289"/>
        <v>168000</v>
      </c>
      <c r="X2340" s="608">
        <f t="shared" si="2290"/>
        <v>0</v>
      </c>
      <c r="Z2340" s="572">
        <f t="shared" si="2294"/>
        <v>0</v>
      </c>
      <c r="AA2340" s="1">
        <f t="shared" si="2295"/>
        <v>0</v>
      </c>
    </row>
    <row r="2341" spans="1:27" x14ac:dyDescent="0.2">
      <c r="A2341" s="20" t="str">
        <f>A1302</f>
        <v>8.7.1.2 Accompagnement des structures dans l'élaboration d'un projet au MAS</v>
      </c>
      <c r="B2341" s="149"/>
      <c r="C2341" s="386">
        <f>C1302</f>
        <v>0</v>
      </c>
      <c r="D2341" s="168">
        <f t="shared" si="2280"/>
        <v>27</v>
      </c>
      <c r="E2341" s="168">
        <f t="shared" si="2281"/>
        <v>27</v>
      </c>
      <c r="F2341" s="168">
        <f t="shared" si="2282"/>
        <v>0</v>
      </c>
      <c r="G2341" s="168">
        <f t="shared" si="2283"/>
        <v>0</v>
      </c>
      <c r="H2341" s="168">
        <f t="shared" si="2284"/>
        <v>0</v>
      </c>
      <c r="I2341" s="166">
        <f t="shared" si="2285"/>
        <v>54</v>
      </c>
      <c r="J2341" s="371" t="str">
        <f t="shared" si="2286"/>
        <v>SPACE/MAS-DEP-DGENF</v>
      </c>
      <c r="K2341" s="350" t="str">
        <f t="shared" si="2287"/>
        <v>ND</v>
      </c>
      <c r="L2341" s="167">
        <f t="shared" ref="L2341:T2341" si="2389">L1302</f>
        <v>27000</v>
      </c>
      <c r="M2341" s="36">
        <f t="shared" si="2389"/>
        <v>27000</v>
      </c>
      <c r="N2341" s="36">
        <f t="shared" si="2389"/>
        <v>0</v>
      </c>
      <c r="O2341" s="36">
        <f t="shared" si="2389"/>
        <v>0</v>
      </c>
      <c r="P2341" s="36">
        <f t="shared" si="2389"/>
        <v>0</v>
      </c>
      <c r="Q2341" s="27">
        <f t="shared" si="2389"/>
        <v>54000</v>
      </c>
      <c r="R2341" s="198" t="str">
        <f t="shared" ref="R2341:S2341" si="2390">R1302</f>
        <v>SPACE/MAS-DEP-DGENF</v>
      </c>
      <c r="S2341" s="115" t="str">
        <f t="shared" si="2390"/>
        <v>ND</v>
      </c>
      <c r="T2341" s="51">
        <f t="shared" si="2389"/>
        <v>0</v>
      </c>
      <c r="W2341" s="608">
        <f t="shared" si="2289"/>
        <v>54000</v>
      </c>
      <c r="X2341" s="608">
        <f t="shared" si="2290"/>
        <v>0</v>
      </c>
      <c r="Z2341" s="572">
        <f t="shared" si="2294"/>
        <v>0</v>
      </c>
      <c r="AA2341" s="1">
        <f t="shared" si="2295"/>
        <v>0</v>
      </c>
    </row>
    <row r="2342" spans="1:27" x14ac:dyDescent="0.2">
      <c r="A2342" s="20" t="str">
        <f>A1306</f>
        <v xml:space="preserve">8.7.1.3 Accompagnement des structures dans l'élaboration d'un projet de l'ETP </v>
      </c>
      <c r="B2342" s="149"/>
      <c r="C2342" s="386">
        <f>C1306</f>
        <v>0</v>
      </c>
      <c r="D2342" s="168">
        <f t="shared" si="2280"/>
        <v>27</v>
      </c>
      <c r="E2342" s="168">
        <f t="shared" si="2281"/>
        <v>27</v>
      </c>
      <c r="F2342" s="168">
        <f t="shared" si="2282"/>
        <v>0</v>
      </c>
      <c r="G2342" s="168">
        <f t="shared" si="2283"/>
        <v>0</v>
      </c>
      <c r="H2342" s="168">
        <f t="shared" si="2284"/>
        <v>0</v>
      </c>
      <c r="I2342" s="166">
        <f t="shared" si="2285"/>
        <v>54</v>
      </c>
      <c r="J2342" s="371" t="str">
        <f t="shared" si="2286"/>
        <v>SPACE/EPT</v>
      </c>
      <c r="K2342" s="350" t="str">
        <f t="shared" si="2287"/>
        <v>BM</v>
      </c>
      <c r="L2342" s="167">
        <f t="shared" ref="L2342:T2342" si="2391">L1306</f>
        <v>27000</v>
      </c>
      <c r="M2342" s="36">
        <f t="shared" si="2391"/>
        <v>27000</v>
      </c>
      <c r="N2342" s="36">
        <f t="shared" si="2391"/>
        <v>0</v>
      </c>
      <c r="O2342" s="36">
        <f t="shared" si="2391"/>
        <v>0</v>
      </c>
      <c r="P2342" s="36">
        <f t="shared" si="2391"/>
        <v>0</v>
      </c>
      <c r="Q2342" s="27">
        <f t="shared" si="2391"/>
        <v>54000</v>
      </c>
      <c r="R2342" s="198" t="str">
        <f t="shared" ref="R2342:S2342" si="2392">R1306</f>
        <v>SPACE/EPT</v>
      </c>
      <c r="S2342" s="115" t="str">
        <f t="shared" si="2392"/>
        <v>BM</v>
      </c>
      <c r="T2342" s="51">
        <f t="shared" si="2391"/>
        <v>0</v>
      </c>
      <c r="W2342" s="608">
        <f t="shared" si="2289"/>
        <v>54000</v>
      </c>
      <c r="X2342" s="608">
        <f t="shared" si="2290"/>
        <v>0</v>
      </c>
      <c r="Z2342" s="572">
        <f t="shared" si="2294"/>
        <v>0</v>
      </c>
      <c r="AA2342" s="1">
        <f t="shared" si="2295"/>
        <v>0</v>
      </c>
    </row>
    <row r="2343" spans="1:27" x14ac:dyDescent="0.2">
      <c r="A2343" s="17" t="str">
        <f>A1310</f>
        <v>8.7.2 Outils standards pour le compte rendu du budget</v>
      </c>
      <c r="B2343" s="45"/>
      <c r="C2343" s="386" t="str">
        <f>C1310</f>
        <v>Des rapports type sont élaborés et diffusés</v>
      </c>
      <c r="D2343" s="157">
        <f t="shared" si="2280"/>
        <v>26</v>
      </c>
      <c r="E2343" s="157">
        <f t="shared" si="2281"/>
        <v>26</v>
      </c>
      <c r="F2343" s="157">
        <f t="shared" si="2282"/>
        <v>0</v>
      </c>
      <c r="G2343" s="157">
        <f t="shared" si="2283"/>
        <v>0</v>
      </c>
      <c r="H2343" s="157">
        <f t="shared" si="2284"/>
        <v>0</v>
      </c>
      <c r="I2343" s="160">
        <f t="shared" si="2285"/>
        <v>52</v>
      </c>
      <c r="J2343" s="374">
        <f t="shared" si="2286"/>
        <v>0</v>
      </c>
      <c r="K2343" s="348">
        <f t="shared" si="2287"/>
        <v>0</v>
      </c>
      <c r="L2343" s="35">
        <f t="shared" ref="L2343:S2343" si="2393">SUM(L2344:L2344)</f>
        <v>26000</v>
      </c>
      <c r="M2343" s="34">
        <f t="shared" si="2393"/>
        <v>26000</v>
      </c>
      <c r="N2343" s="34">
        <f t="shared" si="2393"/>
        <v>0</v>
      </c>
      <c r="O2343" s="34">
        <f t="shared" si="2393"/>
        <v>0</v>
      </c>
      <c r="P2343" s="34">
        <f t="shared" si="2393"/>
        <v>0</v>
      </c>
      <c r="Q2343" s="26">
        <f t="shared" si="2393"/>
        <v>52000</v>
      </c>
      <c r="R2343" s="209">
        <f t="shared" si="2393"/>
        <v>0</v>
      </c>
      <c r="S2343" s="116">
        <f t="shared" si="2393"/>
        <v>0</v>
      </c>
      <c r="T2343" s="50">
        <f>T1310</f>
        <v>0</v>
      </c>
      <c r="W2343" s="608">
        <f t="shared" si="2289"/>
        <v>52000</v>
      </c>
      <c r="X2343" s="608">
        <f t="shared" si="2290"/>
        <v>0</v>
      </c>
      <c r="Z2343" s="572">
        <f t="shared" si="2294"/>
        <v>0</v>
      </c>
      <c r="AA2343" s="1">
        <f t="shared" si="2295"/>
        <v>0</v>
      </c>
    </row>
    <row r="2344" spans="1:27" x14ac:dyDescent="0.2">
      <c r="A2344" s="20" t="str">
        <f>A1311</f>
        <v>8.7.2.1 Élaboration et diffusion des projets d'établissement</v>
      </c>
      <c r="B2344" s="149"/>
      <c r="C2344" s="386">
        <f>C1311</f>
        <v>0</v>
      </c>
      <c r="D2344" s="168">
        <f t="shared" si="2280"/>
        <v>26</v>
      </c>
      <c r="E2344" s="168">
        <f t="shared" si="2281"/>
        <v>26</v>
      </c>
      <c r="F2344" s="168">
        <f t="shared" si="2282"/>
        <v>0</v>
      </c>
      <c r="G2344" s="168">
        <f t="shared" si="2283"/>
        <v>0</v>
      </c>
      <c r="H2344" s="168">
        <f t="shared" si="2284"/>
        <v>0</v>
      </c>
      <c r="I2344" s="166">
        <f t="shared" si="2285"/>
        <v>52</v>
      </c>
      <c r="J2344" s="371" t="str">
        <f t="shared" si="2286"/>
        <v>SPACE/DEP-EPS/ETP/MAS</v>
      </c>
      <c r="K2344" s="350" t="str">
        <f t="shared" si="2287"/>
        <v>BM</v>
      </c>
      <c r="L2344" s="167">
        <f t="shared" ref="L2344:Q2344" si="2394">L1311</f>
        <v>26000</v>
      </c>
      <c r="M2344" s="168">
        <f t="shared" si="2394"/>
        <v>26000</v>
      </c>
      <c r="N2344" s="168">
        <f t="shared" si="2394"/>
        <v>0</v>
      </c>
      <c r="O2344" s="168">
        <f t="shared" si="2394"/>
        <v>0</v>
      </c>
      <c r="P2344" s="168">
        <f t="shared" si="2394"/>
        <v>0</v>
      </c>
      <c r="Q2344" s="165">
        <f t="shared" si="2394"/>
        <v>52000</v>
      </c>
      <c r="R2344" s="198" t="str">
        <f t="shared" ref="R2344:S2344" si="2395">R1311</f>
        <v>SPACE/DEP-EPS/ETP/MAS</v>
      </c>
      <c r="S2344" s="115" t="str">
        <f t="shared" si="2395"/>
        <v>BM</v>
      </c>
      <c r="T2344" s="51">
        <f>T1311</f>
        <v>0</v>
      </c>
      <c r="W2344" s="608">
        <f t="shared" si="2289"/>
        <v>52000</v>
      </c>
      <c r="X2344" s="608">
        <f t="shared" si="2290"/>
        <v>0</v>
      </c>
      <c r="Z2344" s="572">
        <f t="shared" si="2294"/>
        <v>0</v>
      </c>
      <c r="AA2344" s="1">
        <f t="shared" si="2295"/>
        <v>0</v>
      </c>
    </row>
    <row r="2345" spans="1:27" x14ac:dyDescent="0.2">
      <c r="A2345" s="14" t="str">
        <f>A1314</f>
        <v>8.8 Gestion des manuels scolaires : amélioration des capacité de production et de gestion des manuels</v>
      </c>
      <c r="B2345" s="44"/>
      <c r="C2345" s="385">
        <f>C1314</f>
        <v>0</v>
      </c>
      <c r="D2345" s="217">
        <f t="shared" si="2280"/>
        <v>105.2</v>
      </c>
      <c r="E2345" s="217">
        <f t="shared" si="2281"/>
        <v>25</v>
      </c>
      <c r="F2345" s="217">
        <f t="shared" si="2282"/>
        <v>0</v>
      </c>
      <c r="G2345" s="217">
        <f t="shared" si="2283"/>
        <v>0</v>
      </c>
      <c r="H2345" s="217">
        <f t="shared" si="2284"/>
        <v>0</v>
      </c>
      <c r="I2345" s="220">
        <f t="shared" si="2285"/>
        <v>130.19999999999999</v>
      </c>
      <c r="J2345" s="373">
        <f t="shared" si="2286"/>
        <v>0</v>
      </c>
      <c r="K2345" s="346">
        <f t="shared" si="2287"/>
        <v>0</v>
      </c>
      <c r="L2345" s="33">
        <f t="shared" ref="L2345:Q2345" si="2396">L2346+L2348</f>
        <v>105200</v>
      </c>
      <c r="M2345" s="32">
        <f t="shared" si="2396"/>
        <v>25000</v>
      </c>
      <c r="N2345" s="32">
        <f t="shared" si="2396"/>
        <v>0</v>
      </c>
      <c r="O2345" s="32">
        <f t="shared" si="2396"/>
        <v>0</v>
      </c>
      <c r="P2345" s="32">
        <f t="shared" si="2396"/>
        <v>0</v>
      </c>
      <c r="Q2345" s="25">
        <f t="shared" si="2396"/>
        <v>130200</v>
      </c>
      <c r="R2345" s="16">
        <f t="shared" ref="R2345:S2345" si="2397">R2346+R2348</f>
        <v>0</v>
      </c>
      <c r="S2345" s="15">
        <f t="shared" si="2397"/>
        <v>0</v>
      </c>
      <c r="T2345" s="112">
        <f>T1314</f>
        <v>3</v>
      </c>
      <c r="W2345" s="608">
        <f t="shared" si="2289"/>
        <v>130200</v>
      </c>
      <c r="X2345" s="608">
        <f t="shared" si="2290"/>
        <v>0</v>
      </c>
      <c r="Y2345" s="572" t="s">
        <v>1513</v>
      </c>
      <c r="Z2345" s="572">
        <f t="shared" si="2294"/>
        <v>0</v>
      </c>
      <c r="AA2345" s="1">
        <f t="shared" si="2295"/>
        <v>130.19999999999999</v>
      </c>
    </row>
    <row r="2346" spans="1:27" x14ac:dyDescent="0.2">
      <c r="A2346" s="17" t="str">
        <f>A1315</f>
        <v>8.8.1 Étude sur la production des manuels</v>
      </c>
      <c r="B2346" s="45"/>
      <c r="C2346" s="386">
        <f>C1315</f>
        <v>0</v>
      </c>
      <c r="D2346" s="157">
        <f t="shared" si="2280"/>
        <v>0</v>
      </c>
      <c r="E2346" s="157">
        <f t="shared" si="2281"/>
        <v>25</v>
      </c>
      <c r="F2346" s="157">
        <f t="shared" si="2282"/>
        <v>0</v>
      </c>
      <c r="G2346" s="157">
        <f t="shared" si="2283"/>
        <v>0</v>
      </c>
      <c r="H2346" s="157">
        <f t="shared" si="2284"/>
        <v>0</v>
      </c>
      <c r="I2346" s="160">
        <f t="shared" si="2285"/>
        <v>25</v>
      </c>
      <c r="J2346" s="374">
        <f t="shared" si="2286"/>
        <v>0</v>
      </c>
      <c r="K2346" s="348">
        <f t="shared" si="2287"/>
        <v>0</v>
      </c>
      <c r="L2346" s="35">
        <f t="shared" ref="L2346:S2346" si="2398">SUM(L2347:L2347)</f>
        <v>0</v>
      </c>
      <c r="M2346" s="34">
        <f t="shared" si="2398"/>
        <v>25000</v>
      </c>
      <c r="N2346" s="34">
        <f t="shared" si="2398"/>
        <v>0</v>
      </c>
      <c r="O2346" s="34">
        <f t="shared" si="2398"/>
        <v>0</v>
      </c>
      <c r="P2346" s="34">
        <f t="shared" si="2398"/>
        <v>0</v>
      </c>
      <c r="Q2346" s="26">
        <f t="shared" si="2398"/>
        <v>25000</v>
      </c>
      <c r="R2346" s="19">
        <f t="shared" si="2398"/>
        <v>0</v>
      </c>
      <c r="S2346" s="18">
        <f t="shared" si="2398"/>
        <v>0</v>
      </c>
      <c r="T2346" s="51">
        <f>T1315</f>
        <v>0</v>
      </c>
      <c r="W2346" s="608">
        <f t="shared" si="2289"/>
        <v>25000</v>
      </c>
      <c r="X2346" s="608">
        <f t="shared" si="2290"/>
        <v>0</v>
      </c>
      <c r="Z2346" s="572">
        <f t="shared" si="2294"/>
        <v>0</v>
      </c>
      <c r="AA2346" s="1">
        <f t="shared" si="2295"/>
        <v>0</v>
      </c>
    </row>
    <row r="2347" spans="1:27" x14ac:dyDescent="0.2">
      <c r="A2347" s="20" t="str">
        <f>A1316</f>
        <v>8.8.1.1 Production et distribution du document de la politique nationale du livre scolaire</v>
      </c>
      <c r="B2347" s="108"/>
      <c r="C2347" s="386">
        <f>C1316</f>
        <v>0</v>
      </c>
      <c r="D2347" s="168">
        <f t="shared" si="2280"/>
        <v>0</v>
      </c>
      <c r="E2347" s="168">
        <f t="shared" si="2281"/>
        <v>25</v>
      </c>
      <c r="F2347" s="168">
        <f t="shared" si="2282"/>
        <v>0</v>
      </c>
      <c r="G2347" s="168">
        <f t="shared" si="2283"/>
        <v>0</v>
      </c>
      <c r="H2347" s="168">
        <f t="shared" si="2284"/>
        <v>0</v>
      </c>
      <c r="I2347" s="166">
        <f t="shared" si="2285"/>
        <v>25</v>
      </c>
      <c r="J2347" s="371" t="str">
        <f t="shared" si="2286"/>
        <v>EPS-DIPROMAD</v>
      </c>
      <c r="K2347" s="350" t="str">
        <f t="shared" si="2287"/>
        <v>ND</v>
      </c>
      <c r="L2347" s="167">
        <f t="shared" ref="L2347:Q2347" si="2399">L1316</f>
        <v>0</v>
      </c>
      <c r="M2347" s="168">
        <f t="shared" si="2399"/>
        <v>25000</v>
      </c>
      <c r="N2347" s="168">
        <f t="shared" si="2399"/>
        <v>0</v>
      </c>
      <c r="O2347" s="168">
        <f t="shared" si="2399"/>
        <v>0</v>
      </c>
      <c r="P2347" s="168">
        <f t="shared" si="2399"/>
        <v>0</v>
      </c>
      <c r="Q2347" s="165">
        <f t="shared" si="2399"/>
        <v>25000</v>
      </c>
      <c r="R2347" s="198" t="str">
        <f t="shared" ref="R2347:S2347" si="2400">R1316</f>
        <v>EPS-DIPROMAD</v>
      </c>
      <c r="S2347" s="115" t="str">
        <f t="shared" si="2400"/>
        <v>ND</v>
      </c>
      <c r="T2347" s="51">
        <f>T1316</f>
        <v>0</v>
      </c>
      <c r="W2347" s="608">
        <f t="shared" si="2289"/>
        <v>25000</v>
      </c>
      <c r="X2347" s="608">
        <f t="shared" si="2290"/>
        <v>0</v>
      </c>
      <c r="Z2347" s="572">
        <f t="shared" si="2294"/>
        <v>0</v>
      </c>
      <c r="AA2347" s="1">
        <f t="shared" si="2295"/>
        <v>0</v>
      </c>
    </row>
    <row r="2348" spans="1:27" x14ac:dyDescent="0.2">
      <c r="A2348" s="17" t="str">
        <f>A1318</f>
        <v>8.8.2 Amélioration des capacités de production et de gestion des manuels</v>
      </c>
      <c r="B2348" s="45"/>
      <c r="C2348" s="386">
        <f>C1318</f>
        <v>0</v>
      </c>
      <c r="D2348" s="157">
        <f t="shared" si="2280"/>
        <v>105.2</v>
      </c>
      <c r="E2348" s="157">
        <f t="shared" si="2281"/>
        <v>0</v>
      </c>
      <c r="F2348" s="157">
        <f t="shared" si="2282"/>
        <v>0</v>
      </c>
      <c r="G2348" s="157">
        <f t="shared" si="2283"/>
        <v>0</v>
      </c>
      <c r="H2348" s="157">
        <f t="shared" si="2284"/>
        <v>0</v>
      </c>
      <c r="I2348" s="160">
        <f t="shared" si="2285"/>
        <v>105.2</v>
      </c>
      <c r="J2348" s="374">
        <f t="shared" si="2286"/>
        <v>0</v>
      </c>
      <c r="K2348" s="348">
        <f t="shared" si="2287"/>
        <v>0</v>
      </c>
      <c r="L2348" s="35">
        <f t="shared" ref="L2348:Q2348" si="2401">SUM(L2349:L2350)</f>
        <v>105200</v>
      </c>
      <c r="M2348" s="34">
        <f t="shared" si="2401"/>
        <v>0</v>
      </c>
      <c r="N2348" s="34">
        <f t="shared" si="2401"/>
        <v>0</v>
      </c>
      <c r="O2348" s="34">
        <f t="shared" si="2401"/>
        <v>0</v>
      </c>
      <c r="P2348" s="34">
        <f t="shared" si="2401"/>
        <v>0</v>
      </c>
      <c r="Q2348" s="26">
        <f t="shared" si="2401"/>
        <v>105200</v>
      </c>
      <c r="R2348" s="19">
        <f t="shared" ref="R2348:S2348" si="2402">SUM(R2349:R2350)</f>
        <v>0</v>
      </c>
      <c r="S2348" s="18">
        <f t="shared" si="2402"/>
        <v>0</v>
      </c>
      <c r="T2348" s="51">
        <f>T1318</f>
        <v>0</v>
      </c>
      <c r="W2348" s="608">
        <f t="shared" si="2289"/>
        <v>105200</v>
      </c>
      <c r="X2348" s="608">
        <f t="shared" si="2290"/>
        <v>0</v>
      </c>
      <c r="Y2348" s="572" t="s">
        <v>1513</v>
      </c>
      <c r="Z2348" s="572">
        <f t="shared" si="2294"/>
        <v>0</v>
      </c>
      <c r="AA2348" s="1">
        <f t="shared" si="2295"/>
        <v>105.2</v>
      </c>
    </row>
    <row r="2349" spans="1:27" x14ac:dyDescent="0.2">
      <c r="A2349" s="20" t="str">
        <f>A1319</f>
        <v>8.8.2.1 Élaboration d'un guide à destination des concepteurs des manuels tenant compte des questions transversales (genre, éducation à la vie, paix et citoyenneté, environnement et santé)</v>
      </c>
      <c r="B2349" s="141"/>
      <c r="C2349" s="386">
        <f>C1319</f>
        <v>0</v>
      </c>
      <c r="D2349" s="168">
        <f t="shared" si="2280"/>
        <v>71.2</v>
      </c>
      <c r="E2349" s="168">
        <f t="shared" si="2281"/>
        <v>0</v>
      </c>
      <c r="F2349" s="168">
        <f t="shared" si="2282"/>
        <v>0</v>
      </c>
      <c r="G2349" s="168">
        <f t="shared" si="2283"/>
        <v>0</v>
      </c>
      <c r="H2349" s="168">
        <f t="shared" si="2284"/>
        <v>0</v>
      </c>
      <c r="I2349" s="166">
        <f t="shared" si="2285"/>
        <v>71.2</v>
      </c>
      <c r="J2349" s="371" t="str">
        <f t="shared" si="2286"/>
        <v>EPS-DIPROMAD</v>
      </c>
      <c r="K2349" s="350" t="str">
        <f t="shared" si="2287"/>
        <v>ND</v>
      </c>
      <c r="L2349" s="167">
        <f t="shared" ref="L2349:Q2349" si="2403">L1319</f>
        <v>71200</v>
      </c>
      <c r="M2349" s="36">
        <f t="shared" si="2403"/>
        <v>0</v>
      </c>
      <c r="N2349" s="36">
        <f t="shared" si="2403"/>
        <v>0</v>
      </c>
      <c r="O2349" s="36">
        <f t="shared" si="2403"/>
        <v>0</v>
      </c>
      <c r="P2349" s="36">
        <f t="shared" si="2403"/>
        <v>0</v>
      </c>
      <c r="Q2349" s="27">
        <f t="shared" si="2403"/>
        <v>71200</v>
      </c>
      <c r="R2349" s="198" t="str">
        <f t="shared" ref="R2349:S2349" si="2404">R1319</f>
        <v>EPS-DIPROMAD</v>
      </c>
      <c r="S2349" s="115" t="str">
        <f t="shared" si="2404"/>
        <v>ND</v>
      </c>
      <c r="T2349" s="51">
        <f>T1319</f>
        <v>0</v>
      </c>
      <c r="W2349" s="608">
        <f t="shared" si="2289"/>
        <v>71200</v>
      </c>
      <c r="X2349" s="608">
        <f t="shared" si="2290"/>
        <v>0</v>
      </c>
      <c r="Y2349" s="572" t="s">
        <v>1513</v>
      </c>
      <c r="Z2349" s="572">
        <f t="shared" si="2294"/>
        <v>0</v>
      </c>
      <c r="AA2349" s="1">
        <f t="shared" si="2295"/>
        <v>71.2</v>
      </c>
    </row>
    <row r="2350" spans="1:27" x14ac:dyDescent="0.2">
      <c r="A2350" s="20" t="str">
        <f>A1323</f>
        <v>8.8.2.2 Renforcement des capacités à l'élaboration et à la gestion des manuels scolaires</v>
      </c>
      <c r="B2350" s="46"/>
      <c r="C2350" s="386">
        <f>C1323</f>
        <v>0</v>
      </c>
      <c r="D2350" s="168">
        <f t="shared" si="2280"/>
        <v>34</v>
      </c>
      <c r="E2350" s="168">
        <f t="shared" si="2281"/>
        <v>0</v>
      </c>
      <c r="F2350" s="168">
        <f t="shared" si="2282"/>
        <v>0</v>
      </c>
      <c r="G2350" s="168">
        <f t="shared" si="2283"/>
        <v>0</v>
      </c>
      <c r="H2350" s="168">
        <f t="shared" si="2284"/>
        <v>0</v>
      </c>
      <c r="I2350" s="166">
        <f t="shared" si="2285"/>
        <v>34</v>
      </c>
      <c r="J2350" s="371" t="str">
        <f t="shared" si="2286"/>
        <v>EPS-DIPROMAD</v>
      </c>
      <c r="K2350" s="350" t="str">
        <f t="shared" si="2287"/>
        <v>ND</v>
      </c>
      <c r="L2350" s="167">
        <f t="shared" ref="L2350:T2350" si="2405">L1323</f>
        <v>34000</v>
      </c>
      <c r="M2350" s="168">
        <f t="shared" si="2405"/>
        <v>0</v>
      </c>
      <c r="N2350" s="168">
        <f t="shared" si="2405"/>
        <v>0</v>
      </c>
      <c r="O2350" s="168">
        <f t="shared" si="2405"/>
        <v>0</v>
      </c>
      <c r="P2350" s="168">
        <f t="shared" si="2405"/>
        <v>0</v>
      </c>
      <c r="Q2350" s="165">
        <f t="shared" si="2405"/>
        <v>34000</v>
      </c>
      <c r="R2350" s="198" t="str">
        <f t="shared" ref="R2350:S2350" si="2406">R1323</f>
        <v>EPS-DIPROMAD</v>
      </c>
      <c r="S2350" s="21" t="str">
        <f t="shared" si="2406"/>
        <v>ND</v>
      </c>
      <c r="T2350" s="51">
        <f t="shared" si="2405"/>
        <v>0</v>
      </c>
      <c r="W2350" s="608">
        <f t="shared" si="2289"/>
        <v>34000</v>
      </c>
      <c r="X2350" s="608">
        <f t="shared" si="2290"/>
        <v>0</v>
      </c>
      <c r="Y2350" s="572" t="s">
        <v>1513</v>
      </c>
      <c r="Z2350" s="572">
        <f t="shared" si="2294"/>
        <v>0</v>
      </c>
      <c r="AA2350" s="1">
        <f t="shared" si="2295"/>
        <v>34</v>
      </c>
    </row>
    <row r="2351" spans="1:27" x14ac:dyDescent="0.2">
      <c r="A2351" s="14" t="str">
        <f>A1326</f>
        <v xml:space="preserve">8.9 Gestion décentralisée : Améliorer le cadre institutionnel pour une meilleure gestion décentralisée du secteur de l’éducation </v>
      </c>
      <c r="B2351" s="44"/>
      <c r="C2351" s="385">
        <f>C1326</f>
        <v>0</v>
      </c>
      <c r="D2351" s="217">
        <f t="shared" si="2280"/>
        <v>63.5</v>
      </c>
      <c r="E2351" s="217">
        <f t="shared" si="2281"/>
        <v>175.4</v>
      </c>
      <c r="F2351" s="217">
        <f t="shared" si="2282"/>
        <v>54</v>
      </c>
      <c r="G2351" s="217">
        <f t="shared" si="2283"/>
        <v>0</v>
      </c>
      <c r="H2351" s="217">
        <f t="shared" si="2284"/>
        <v>0</v>
      </c>
      <c r="I2351" s="220">
        <f t="shared" si="2285"/>
        <v>292.89999999999998</v>
      </c>
      <c r="J2351" s="373">
        <f t="shared" si="2286"/>
        <v>0</v>
      </c>
      <c r="K2351" s="346">
        <f t="shared" si="2287"/>
        <v>0</v>
      </c>
      <c r="L2351" s="33">
        <f t="shared" ref="L2351:Q2351" si="2407">L2352+L2354+L2356</f>
        <v>63500</v>
      </c>
      <c r="M2351" s="32">
        <f t="shared" si="2407"/>
        <v>175400</v>
      </c>
      <c r="N2351" s="32">
        <f t="shared" si="2407"/>
        <v>54000</v>
      </c>
      <c r="O2351" s="32">
        <f t="shared" si="2407"/>
        <v>0</v>
      </c>
      <c r="P2351" s="32">
        <f t="shared" si="2407"/>
        <v>0</v>
      </c>
      <c r="Q2351" s="25">
        <f t="shared" si="2407"/>
        <v>292900</v>
      </c>
      <c r="R2351" s="515">
        <f t="shared" ref="R2351:S2351" si="2408">R2352+R2354+R2356</f>
        <v>0</v>
      </c>
      <c r="S2351" s="145">
        <f t="shared" si="2408"/>
        <v>0</v>
      </c>
      <c r="T2351" s="49">
        <f>T1326</f>
        <v>3</v>
      </c>
      <c r="W2351" s="608">
        <f t="shared" si="2289"/>
        <v>292900</v>
      </c>
      <c r="X2351" s="608">
        <f t="shared" si="2290"/>
        <v>0</v>
      </c>
      <c r="Y2351" s="572" t="s">
        <v>1513</v>
      </c>
      <c r="Z2351" s="572">
        <f t="shared" si="2294"/>
        <v>0</v>
      </c>
      <c r="AA2351" s="1">
        <f t="shared" si="2295"/>
        <v>292.89999999999998</v>
      </c>
    </row>
    <row r="2352" spans="1:27" x14ac:dyDescent="0.2">
      <c r="A2352" s="17" t="str">
        <f>A1327</f>
        <v>8.9.1 Convention de gestion avec les confessions</v>
      </c>
      <c r="B2352" s="45"/>
      <c r="C2352" s="386">
        <f>C1327</f>
        <v>0</v>
      </c>
      <c r="D2352" s="157">
        <f t="shared" si="2280"/>
        <v>0</v>
      </c>
      <c r="E2352" s="157">
        <f t="shared" si="2281"/>
        <v>101</v>
      </c>
      <c r="F2352" s="157">
        <f t="shared" si="2282"/>
        <v>0</v>
      </c>
      <c r="G2352" s="157">
        <f t="shared" si="2283"/>
        <v>0</v>
      </c>
      <c r="H2352" s="157">
        <f t="shared" si="2284"/>
        <v>0</v>
      </c>
      <c r="I2352" s="160">
        <f t="shared" si="2285"/>
        <v>101</v>
      </c>
      <c r="J2352" s="374">
        <f t="shared" si="2286"/>
        <v>0</v>
      </c>
      <c r="K2352" s="348">
        <f t="shared" si="2287"/>
        <v>0</v>
      </c>
      <c r="L2352" s="35">
        <f t="shared" ref="L2352:S2352" si="2409">SUM(L2353:L2353)</f>
        <v>0</v>
      </c>
      <c r="M2352" s="34">
        <f t="shared" si="2409"/>
        <v>101000</v>
      </c>
      <c r="N2352" s="34">
        <f t="shared" si="2409"/>
        <v>0</v>
      </c>
      <c r="O2352" s="34">
        <f t="shared" si="2409"/>
        <v>0</v>
      </c>
      <c r="P2352" s="34">
        <f t="shared" si="2409"/>
        <v>0</v>
      </c>
      <c r="Q2352" s="26">
        <f t="shared" si="2409"/>
        <v>101000</v>
      </c>
      <c r="R2352" s="209">
        <f t="shared" si="2409"/>
        <v>0</v>
      </c>
      <c r="S2352" s="116">
        <f t="shared" si="2409"/>
        <v>0</v>
      </c>
      <c r="T2352" s="50">
        <f>T1327</f>
        <v>0</v>
      </c>
      <c r="W2352" s="608">
        <f t="shared" si="2289"/>
        <v>101000</v>
      </c>
      <c r="X2352" s="608">
        <f t="shared" si="2290"/>
        <v>0</v>
      </c>
      <c r="Z2352" s="572">
        <f t="shared" si="2294"/>
        <v>0</v>
      </c>
      <c r="AA2352" s="1">
        <f t="shared" si="2295"/>
        <v>0</v>
      </c>
    </row>
    <row r="2353" spans="1:27" x14ac:dyDescent="0.2">
      <c r="A2353" s="20" t="str">
        <f>A1328</f>
        <v>8.9.1.1 Élaboration et mise en place d'une nouvelle convention</v>
      </c>
      <c r="B2353" s="149"/>
      <c r="C2353" s="386" t="str">
        <f>C1328</f>
        <v>Conventions révisées en 2017</v>
      </c>
      <c r="D2353" s="168">
        <f t="shared" si="2280"/>
        <v>0</v>
      </c>
      <c r="E2353" s="168">
        <f t="shared" si="2281"/>
        <v>101</v>
      </c>
      <c r="F2353" s="168">
        <f t="shared" si="2282"/>
        <v>0</v>
      </c>
      <c r="G2353" s="168">
        <f t="shared" si="2283"/>
        <v>0</v>
      </c>
      <c r="H2353" s="168">
        <f t="shared" si="2284"/>
        <v>0</v>
      </c>
      <c r="I2353" s="166">
        <f t="shared" si="2285"/>
        <v>101</v>
      </c>
      <c r="J2353" s="371" t="str">
        <f t="shared" si="2286"/>
        <v>SPACE/EPS/ETP/MAS</v>
      </c>
      <c r="K2353" s="350" t="str">
        <f t="shared" si="2287"/>
        <v>ND</v>
      </c>
      <c r="L2353" s="167">
        <f t="shared" ref="L2353:Q2353" si="2410">L1328</f>
        <v>0</v>
      </c>
      <c r="M2353" s="168">
        <f t="shared" si="2410"/>
        <v>101000</v>
      </c>
      <c r="N2353" s="168">
        <f t="shared" si="2410"/>
        <v>0</v>
      </c>
      <c r="O2353" s="168">
        <f t="shared" si="2410"/>
        <v>0</v>
      </c>
      <c r="P2353" s="168">
        <f t="shared" si="2410"/>
        <v>0</v>
      </c>
      <c r="Q2353" s="165">
        <f t="shared" si="2410"/>
        <v>101000</v>
      </c>
      <c r="R2353" s="198" t="str">
        <f t="shared" ref="R2353:S2353" si="2411">R1328</f>
        <v>SPACE/EPS/ETP/MAS</v>
      </c>
      <c r="S2353" s="115" t="str">
        <f t="shared" si="2411"/>
        <v>ND</v>
      </c>
      <c r="T2353" s="51">
        <f>T1328</f>
        <v>0</v>
      </c>
      <c r="W2353" s="608">
        <f t="shared" si="2289"/>
        <v>101000</v>
      </c>
      <c r="X2353" s="608">
        <f t="shared" si="2290"/>
        <v>0</v>
      </c>
      <c r="Z2353" s="572">
        <f t="shared" si="2294"/>
        <v>0</v>
      </c>
      <c r="AA2353" s="1">
        <f t="shared" si="2295"/>
        <v>0</v>
      </c>
    </row>
    <row r="2354" spans="1:27" x14ac:dyDescent="0.2">
      <c r="A2354" s="17" t="str">
        <f>A1331</f>
        <v>8.9.2 Rôles des acteurs centraux, provinciaux, BG et établissements</v>
      </c>
      <c r="B2354" s="45"/>
      <c r="C2354" s="386" t="str">
        <f>C1331</f>
        <v>Textes règlementaires pris en 2016 et 2017</v>
      </c>
      <c r="D2354" s="157">
        <f t="shared" si="2280"/>
        <v>9.5</v>
      </c>
      <c r="E2354" s="157">
        <f t="shared" si="2281"/>
        <v>20.399999999999999</v>
      </c>
      <c r="F2354" s="157">
        <f t="shared" si="2282"/>
        <v>0</v>
      </c>
      <c r="G2354" s="157">
        <f t="shared" si="2283"/>
        <v>0</v>
      </c>
      <c r="H2354" s="157">
        <f t="shared" si="2284"/>
        <v>0</v>
      </c>
      <c r="I2354" s="160">
        <f t="shared" si="2285"/>
        <v>29.9</v>
      </c>
      <c r="J2354" s="374">
        <f t="shared" si="2286"/>
        <v>0</v>
      </c>
      <c r="K2354" s="348">
        <f t="shared" si="2287"/>
        <v>0</v>
      </c>
      <c r="L2354" s="35">
        <f t="shared" ref="L2354:S2354" si="2412">SUM(L2355:L2355)</f>
        <v>9500</v>
      </c>
      <c r="M2354" s="34">
        <f t="shared" si="2412"/>
        <v>20400</v>
      </c>
      <c r="N2354" s="34">
        <f t="shared" si="2412"/>
        <v>0</v>
      </c>
      <c r="O2354" s="34">
        <f t="shared" si="2412"/>
        <v>0</v>
      </c>
      <c r="P2354" s="34">
        <f t="shared" si="2412"/>
        <v>0</v>
      </c>
      <c r="Q2354" s="26">
        <f t="shared" si="2412"/>
        <v>29900</v>
      </c>
      <c r="R2354" s="209">
        <f t="shared" si="2412"/>
        <v>0</v>
      </c>
      <c r="S2354" s="116">
        <f t="shared" si="2412"/>
        <v>0</v>
      </c>
      <c r="T2354" s="50">
        <f>T1331</f>
        <v>0</v>
      </c>
      <c r="W2354" s="608">
        <f t="shared" si="2289"/>
        <v>29900</v>
      </c>
      <c r="X2354" s="608">
        <f t="shared" si="2290"/>
        <v>0</v>
      </c>
      <c r="Z2354" s="572">
        <f t="shared" si="2294"/>
        <v>0</v>
      </c>
      <c r="AA2354" s="1">
        <f t="shared" si="2295"/>
        <v>0</v>
      </c>
    </row>
    <row r="2355" spans="1:27" x14ac:dyDescent="0.2">
      <c r="A2355" s="20" t="str">
        <f>A1332</f>
        <v>8.9.2.1 Révision et mise à jour des textes réglementaires</v>
      </c>
      <c r="B2355" s="149"/>
      <c r="C2355" s="386">
        <f>C1332</f>
        <v>0</v>
      </c>
      <c r="D2355" s="168">
        <f t="shared" si="2280"/>
        <v>9.5</v>
      </c>
      <c r="E2355" s="168">
        <f t="shared" si="2281"/>
        <v>20.399999999999999</v>
      </c>
      <c r="F2355" s="168">
        <f t="shared" si="2282"/>
        <v>0</v>
      </c>
      <c r="G2355" s="168">
        <f t="shared" si="2283"/>
        <v>0</v>
      </c>
      <c r="H2355" s="168">
        <f t="shared" si="2284"/>
        <v>0</v>
      </c>
      <c r="I2355" s="166">
        <f t="shared" si="2285"/>
        <v>29.9</v>
      </c>
      <c r="J2355" s="371" t="str">
        <f t="shared" si="2286"/>
        <v>SPACE/EPS/ETP/MAS</v>
      </c>
      <c r="K2355" s="350" t="str">
        <f t="shared" si="2287"/>
        <v>ND</v>
      </c>
      <c r="L2355" s="167">
        <f t="shared" ref="L2355:Q2355" si="2413">L1332</f>
        <v>9500</v>
      </c>
      <c r="M2355" s="36">
        <f t="shared" si="2413"/>
        <v>20400</v>
      </c>
      <c r="N2355" s="36">
        <f t="shared" si="2413"/>
        <v>0</v>
      </c>
      <c r="O2355" s="36">
        <f t="shared" si="2413"/>
        <v>0</v>
      </c>
      <c r="P2355" s="36">
        <f t="shared" si="2413"/>
        <v>0</v>
      </c>
      <c r="Q2355" s="27">
        <f t="shared" si="2413"/>
        <v>29900</v>
      </c>
      <c r="R2355" s="198" t="str">
        <f t="shared" ref="R2355:S2355" si="2414">R1332</f>
        <v>SPACE/EPS/ETP/MAS</v>
      </c>
      <c r="S2355" s="115" t="str">
        <f t="shared" si="2414"/>
        <v>ND</v>
      </c>
      <c r="T2355" s="51">
        <f>T1332</f>
        <v>0</v>
      </c>
      <c r="W2355" s="608">
        <f t="shared" si="2289"/>
        <v>29900</v>
      </c>
      <c r="X2355" s="608">
        <f t="shared" si="2290"/>
        <v>0</v>
      </c>
      <c r="Z2355" s="572">
        <f t="shared" si="2294"/>
        <v>0</v>
      </c>
      <c r="AA2355" s="1">
        <f t="shared" si="2295"/>
        <v>0</v>
      </c>
    </row>
    <row r="2356" spans="1:27" x14ac:dyDescent="0.2">
      <c r="A2356" s="17" t="str">
        <f>A1336</f>
        <v>8.9.3 Renforcement des COPA et COGES</v>
      </c>
      <c r="B2356" s="45"/>
      <c r="C2356" s="386">
        <f>C1336</f>
        <v>0</v>
      </c>
      <c r="D2356" s="157">
        <f t="shared" si="2280"/>
        <v>54</v>
      </c>
      <c r="E2356" s="157">
        <f t="shared" si="2281"/>
        <v>54</v>
      </c>
      <c r="F2356" s="157">
        <f t="shared" si="2282"/>
        <v>54</v>
      </c>
      <c r="G2356" s="157">
        <f t="shared" si="2283"/>
        <v>0</v>
      </c>
      <c r="H2356" s="157">
        <f t="shared" si="2284"/>
        <v>0</v>
      </c>
      <c r="I2356" s="160">
        <f t="shared" si="2285"/>
        <v>162</v>
      </c>
      <c r="J2356" s="374">
        <f t="shared" si="2286"/>
        <v>0</v>
      </c>
      <c r="K2356" s="348">
        <f t="shared" si="2287"/>
        <v>0</v>
      </c>
      <c r="L2356" s="35">
        <f t="shared" ref="L2356:S2356" si="2415">SUM(L2357:L2357)</f>
        <v>54000</v>
      </c>
      <c r="M2356" s="34">
        <f t="shared" si="2415"/>
        <v>54000</v>
      </c>
      <c r="N2356" s="34">
        <f t="shared" si="2415"/>
        <v>54000</v>
      </c>
      <c r="O2356" s="34">
        <f t="shared" si="2415"/>
        <v>0</v>
      </c>
      <c r="P2356" s="34">
        <f t="shared" si="2415"/>
        <v>0</v>
      </c>
      <c r="Q2356" s="26">
        <f t="shared" si="2415"/>
        <v>162000</v>
      </c>
      <c r="R2356" s="209">
        <f t="shared" si="2415"/>
        <v>0</v>
      </c>
      <c r="S2356" s="116">
        <f t="shared" si="2415"/>
        <v>0</v>
      </c>
      <c r="T2356" s="50">
        <f>T1336</f>
        <v>0</v>
      </c>
      <c r="W2356" s="608">
        <f t="shared" si="2289"/>
        <v>162000</v>
      </c>
      <c r="X2356" s="608">
        <f t="shared" si="2290"/>
        <v>0</v>
      </c>
      <c r="Y2356" s="572" t="s">
        <v>1513</v>
      </c>
      <c r="Z2356" s="572">
        <f t="shared" si="2294"/>
        <v>0</v>
      </c>
      <c r="AA2356" s="1">
        <f t="shared" si="2295"/>
        <v>162</v>
      </c>
    </row>
    <row r="2357" spans="1:27" x14ac:dyDescent="0.2">
      <c r="A2357" s="20" t="str">
        <f>A1337</f>
        <v xml:space="preserve">8.9.3.1 Formation et échange d'expérience entre différents COGES et COPA </v>
      </c>
      <c r="B2357" s="149"/>
      <c r="C2357" s="386">
        <f>C1337</f>
        <v>0</v>
      </c>
      <c r="D2357" s="168">
        <f t="shared" si="2280"/>
        <v>54</v>
      </c>
      <c r="E2357" s="168">
        <f t="shared" si="2281"/>
        <v>54</v>
      </c>
      <c r="F2357" s="168">
        <f t="shared" si="2282"/>
        <v>54</v>
      </c>
      <c r="G2357" s="168">
        <f t="shared" si="2283"/>
        <v>0</v>
      </c>
      <c r="H2357" s="168">
        <f t="shared" si="2284"/>
        <v>0</v>
      </c>
      <c r="I2357" s="166">
        <f t="shared" si="2285"/>
        <v>162</v>
      </c>
      <c r="J2357" s="371" t="str">
        <f t="shared" si="2286"/>
        <v>SPACE/EPS/ETP</v>
      </c>
      <c r="K2357" s="350" t="str">
        <f t="shared" si="2287"/>
        <v>ND</v>
      </c>
      <c r="L2357" s="167">
        <f t="shared" ref="L2357:Q2357" si="2416">L1337</f>
        <v>54000</v>
      </c>
      <c r="M2357" s="168">
        <f t="shared" si="2416"/>
        <v>54000</v>
      </c>
      <c r="N2357" s="168">
        <f t="shared" si="2416"/>
        <v>54000</v>
      </c>
      <c r="O2357" s="168">
        <f t="shared" si="2416"/>
        <v>0</v>
      </c>
      <c r="P2357" s="168">
        <f t="shared" si="2416"/>
        <v>0</v>
      </c>
      <c r="Q2357" s="165">
        <f t="shared" si="2416"/>
        <v>162000</v>
      </c>
      <c r="R2357" s="198" t="str">
        <f t="shared" ref="R2357:S2357" si="2417">R1337</f>
        <v>SPACE/EPS/ETP</v>
      </c>
      <c r="S2357" s="115" t="str">
        <f t="shared" si="2417"/>
        <v>ND</v>
      </c>
      <c r="T2357" s="51">
        <f>T1337</f>
        <v>0</v>
      </c>
      <c r="W2357" s="608">
        <f t="shared" si="2289"/>
        <v>162000</v>
      </c>
      <c r="X2357" s="608">
        <f t="shared" si="2290"/>
        <v>0</v>
      </c>
      <c r="Y2357" s="572" t="s">
        <v>1513</v>
      </c>
      <c r="Z2357" s="572">
        <f t="shared" si="2294"/>
        <v>0</v>
      </c>
      <c r="AA2357" s="1">
        <f t="shared" si="2295"/>
        <v>162</v>
      </c>
    </row>
    <row r="2358" spans="1:27" x14ac:dyDescent="0.2">
      <c r="A2358" s="14" t="str">
        <f>A1340</f>
        <v>8.10 Curricula et Méthodes pédagogiques innovantes : Réformer les programmes, harmoniser les référentiels de compétences et promouvoir des méthodes pédagogiques innovantes</v>
      </c>
      <c r="B2358" s="44"/>
      <c r="C2358" s="385">
        <f>C1340</f>
        <v>0</v>
      </c>
      <c r="D2358" s="217">
        <f t="shared" si="2280"/>
        <v>144.85</v>
      </c>
      <c r="E2358" s="217">
        <f t="shared" si="2281"/>
        <v>45</v>
      </c>
      <c r="F2358" s="217">
        <f t="shared" si="2282"/>
        <v>45</v>
      </c>
      <c r="G2358" s="217">
        <f t="shared" si="2283"/>
        <v>45</v>
      </c>
      <c r="H2358" s="217">
        <f t="shared" si="2284"/>
        <v>10</v>
      </c>
      <c r="I2358" s="220">
        <f t="shared" si="2285"/>
        <v>289.85000000000002</v>
      </c>
      <c r="J2358" s="373">
        <f t="shared" si="2286"/>
        <v>0</v>
      </c>
      <c r="K2358" s="346">
        <f t="shared" si="2287"/>
        <v>0</v>
      </c>
      <c r="L2358" s="33">
        <f>L2359+L2362+L2365</f>
        <v>144850</v>
      </c>
      <c r="M2358" s="32">
        <f t="shared" ref="M2358:Q2358" si="2418">M2359+M2362+M2365</f>
        <v>45000</v>
      </c>
      <c r="N2358" s="32">
        <f t="shared" si="2418"/>
        <v>45000</v>
      </c>
      <c r="O2358" s="32">
        <f t="shared" si="2418"/>
        <v>45000</v>
      </c>
      <c r="P2358" s="32">
        <f t="shared" si="2418"/>
        <v>10000</v>
      </c>
      <c r="Q2358" s="25">
        <f t="shared" si="2418"/>
        <v>289850</v>
      </c>
      <c r="R2358" s="517"/>
      <c r="S2358" s="179"/>
      <c r="T2358" s="49">
        <f>T1340</f>
        <v>3</v>
      </c>
      <c r="W2358" s="608">
        <f t="shared" si="2289"/>
        <v>289850</v>
      </c>
      <c r="X2358" s="608">
        <f t="shared" si="2290"/>
        <v>0</v>
      </c>
      <c r="Z2358" s="572">
        <f t="shared" si="2294"/>
        <v>0</v>
      </c>
      <c r="AA2358" s="1">
        <f t="shared" si="2295"/>
        <v>0</v>
      </c>
    </row>
    <row r="2359" spans="1:27" x14ac:dyDescent="0.2">
      <c r="A2359" s="17" t="str">
        <f>A1341</f>
        <v xml:space="preserve">8.10.1 Création d'un Comité scientifique </v>
      </c>
      <c r="B2359" s="45"/>
      <c r="C2359" s="386" t="str">
        <f>C1341</f>
        <v xml:space="preserve">Un Comité scientifique réunissant tous les secteurs chargé de définir les socles de compétences et les profils de sortie est constitué </v>
      </c>
      <c r="D2359" s="157">
        <f t="shared" si="2280"/>
        <v>13.1</v>
      </c>
      <c r="E2359" s="157">
        <f t="shared" si="2281"/>
        <v>10</v>
      </c>
      <c r="F2359" s="157">
        <f t="shared" si="2282"/>
        <v>10</v>
      </c>
      <c r="G2359" s="157">
        <f t="shared" si="2283"/>
        <v>10</v>
      </c>
      <c r="H2359" s="157">
        <f t="shared" si="2284"/>
        <v>10</v>
      </c>
      <c r="I2359" s="160">
        <f t="shared" si="2285"/>
        <v>53.1</v>
      </c>
      <c r="J2359" s="374">
        <f t="shared" si="2286"/>
        <v>0</v>
      </c>
      <c r="K2359" s="348">
        <f t="shared" si="2287"/>
        <v>0</v>
      </c>
      <c r="L2359" s="35">
        <f t="shared" ref="L2359:Q2359" si="2419">SUM(L2360:L2361)</f>
        <v>13100</v>
      </c>
      <c r="M2359" s="34">
        <f t="shared" si="2419"/>
        <v>10000</v>
      </c>
      <c r="N2359" s="34">
        <f t="shared" si="2419"/>
        <v>10000</v>
      </c>
      <c r="O2359" s="34">
        <f t="shared" si="2419"/>
        <v>10000</v>
      </c>
      <c r="P2359" s="34">
        <f t="shared" si="2419"/>
        <v>10000</v>
      </c>
      <c r="Q2359" s="26">
        <f t="shared" si="2419"/>
        <v>53100</v>
      </c>
      <c r="R2359" s="518">
        <f t="shared" ref="R2359:S2359" si="2420">SUM(R2360:R2361)</f>
        <v>0</v>
      </c>
      <c r="S2359" s="181">
        <f t="shared" si="2420"/>
        <v>0</v>
      </c>
      <c r="T2359" s="50">
        <f>T1341</f>
        <v>0</v>
      </c>
      <c r="W2359" s="608">
        <f t="shared" si="2289"/>
        <v>53100</v>
      </c>
      <c r="X2359" s="608">
        <f t="shared" si="2290"/>
        <v>0</v>
      </c>
      <c r="Z2359" s="572">
        <f t="shared" si="2294"/>
        <v>0</v>
      </c>
      <c r="AA2359" s="1">
        <f t="shared" si="2295"/>
        <v>0</v>
      </c>
    </row>
    <row r="2360" spans="1:27" x14ac:dyDescent="0.2">
      <c r="A2360" s="20" t="str">
        <f>A1342</f>
        <v>8.10.1.1 Définition des prérogatives et de la composition du Comité scientifique</v>
      </c>
      <c r="B2360" s="46"/>
      <c r="C2360" s="386">
        <f>C1342</f>
        <v>0</v>
      </c>
      <c r="D2360" s="168">
        <f t="shared" si="2280"/>
        <v>13.1</v>
      </c>
      <c r="E2360" s="168">
        <f t="shared" si="2281"/>
        <v>0</v>
      </c>
      <c r="F2360" s="168">
        <f t="shared" si="2282"/>
        <v>0</v>
      </c>
      <c r="G2360" s="168">
        <f t="shared" si="2283"/>
        <v>0</v>
      </c>
      <c r="H2360" s="168">
        <f t="shared" si="2284"/>
        <v>0</v>
      </c>
      <c r="I2360" s="166">
        <f t="shared" si="2285"/>
        <v>13.1</v>
      </c>
      <c r="J2360" s="371" t="str">
        <f t="shared" si="2286"/>
        <v>SPACE/EPS/ESU/ETP/MAS</v>
      </c>
      <c r="K2360" s="350" t="str">
        <f t="shared" si="2287"/>
        <v>ND</v>
      </c>
      <c r="L2360" s="167">
        <f t="shared" ref="L2360:Q2360" si="2421">L1342</f>
        <v>13100</v>
      </c>
      <c r="M2360" s="36">
        <f t="shared" si="2421"/>
        <v>0</v>
      </c>
      <c r="N2360" s="36">
        <f t="shared" si="2421"/>
        <v>0</v>
      </c>
      <c r="O2360" s="36">
        <f t="shared" si="2421"/>
        <v>0</v>
      </c>
      <c r="P2360" s="36">
        <f t="shared" si="2421"/>
        <v>0</v>
      </c>
      <c r="Q2360" s="27">
        <f t="shared" si="2421"/>
        <v>13100</v>
      </c>
      <c r="R2360" s="205" t="str">
        <f t="shared" ref="R2360:S2360" si="2422">R1342</f>
        <v>SPACE/EPS/ESU/ETP/MAS</v>
      </c>
      <c r="S2360" s="183" t="str">
        <f t="shared" si="2422"/>
        <v>ND</v>
      </c>
      <c r="T2360" s="51">
        <f>T1342</f>
        <v>0</v>
      </c>
      <c r="W2360" s="608">
        <f t="shared" si="2289"/>
        <v>13100</v>
      </c>
      <c r="X2360" s="608">
        <f t="shared" si="2290"/>
        <v>0</v>
      </c>
      <c r="Z2360" s="572">
        <f t="shared" si="2294"/>
        <v>0</v>
      </c>
      <c r="AA2360" s="1">
        <f t="shared" si="2295"/>
        <v>0</v>
      </c>
    </row>
    <row r="2361" spans="1:27" x14ac:dyDescent="0.2">
      <c r="A2361" s="20" t="str">
        <f>A1346</f>
        <v>8.10.1.2 Mise en place du Comité scientifique</v>
      </c>
      <c r="B2361" s="46"/>
      <c r="C2361" s="386">
        <f>C1346</f>
        <v>0</v>
      </c>
      <c r="D2361" s="168">
        <f t="shared" si="2280"/>
        <v>0</v>
      </c>
      <c r="E2361" s="168">
        <f t="shared" si="2281"/>
        <v>10</v>
      </c>
      <c r="F2361" s="168">
        <f t="shared" si="2282"/>
        <v>10</v>
      </c>
      <c r="G2361" s="168">
        <f t="shared" si="2283"/>
        <v>10</v>
      </c>
      <c r="H2361" s="168">
        <f t="shared" si="2284"/>
        <v>10</v>
      </c>
      <c r="I2361" s="166">
        <f t="shared" si="2285"/>
        <v>40</v>
      </c>
      <c r="J2361" s="371" t="str">
        <f t="shared" si="2286"/>
        <v>SPACE/EPS/ESU/ETP/MAS</v>
      </c>
      <c r="K2361" s="350" t="str">
        <f t="shared" si="2287"/>
        <v>ND</v>
      </c>
      <c r="L2361" s="167">
        <f t="shared" ref="L2361:T2361" si="2423">L1346</f>
        <v>0</v>
      </c>
      <c r="M2361" s="168">
        <f t="shared" si="2423"/>
        <v>10000</v>
      </c>
      <c r="N2361" s="168">
        <f t="shared" si="2423"/>
        <v>10000</v>
      </c>
      <c r="O2361" s="168">
        <f t="shared" si="2423"/>
        <v>10000</v>
      </c>
      <c r="P2361" s="168">
        <f t="shared" si="2423"/>
        <v>10000</v>
      </c>
      <c r="Q2361" s="165">
        <f t="shared" si="2423"/>
        <v>40000</v>
      </c>
      <c r="R2361" s="205" t="str">
        <f t="shared" ref="R2361:S2361" si="2424">R1346</f>
        <v>SPACE/EPS/ESU/ETP/MAS</v>
      </c>
      <c r="S2361" s="183" t="str">
        <f t="shared" si="2424"/>
        <v>ND</v>
      </c>
      <c r="T2361" s="51">
        <f t="shared" si="2423"/>
        <v>0</v>
      </c>
      <c r="W2361" s="608">
        <f t="shared" si="2289"/>
        <v>40000</v>
      </c>
      <c r="X2361" s="608">
        <f t="shared" si="2290"/>
        <v>0</v>
      </c>
      <c r="Z2361" s="572">
        <f t="shared" si="2294"/>
        <v>0</v>
      </c>
      <c r="AA2361" s="1">
        <f t="shared" si="2295"/>
        <v>0</v>
      </c>
    </row>
    <row r="2362" spans="1:27" x14ac:dyDescent="0.2">
      <c r="A2362" s="122" t="str">
        <f>A1348</f>
        <v>8.10.2 Réforme des curricula</v>
      </c>
      <c r="B2362" s="152"/>
      <c r="C2362" s="389" t="str">
        <f>C1348</f>
        <v>Étude en 2016</v>
      </c>
      <c r="D2362" s="157">
        <f t="shared" ref="D2362:D2426" si="2425">L2362/1000</f>
        <v>92.5</v>
      </c>
      <c r="E2362" s="157">
        <f t="shared" ref="E2362:E2426" si="2426">M2362/1000</f>
        <v>35</v>
      </c>
      <c r="F2362" s="157">
        <f t="shared" ref="F2362:F2426" si="2427">N2362/1000</f>
        <v>35</v>
      </c>
      <c r="G2362" s="157">
        <f t="shared" ref="G2362:G2426" si="2428">O2362/1000</f>
        <v>35</v>
      </c>
      <c r="H2362" s="157">
        <f t="shared" ref="H2362:H2426" si="2429">P2362/1000</f>
        <v>0</v>
      </c>
      <c r="I2362" s="160">
        <f t="shared" ref="I2362:I2426" si="2430">Q2362/1000</f>
        <v>197.5</v>
      </c>
      <c r="J2362" s="374">
        <f t="shared" ref="J2362:J2426" si="2431">R2362</f>
        <v>0</v>
      </c>
      <c r="K2362" s="341">
        <f t="shared" ref="K2362:K2426" si="2432">S2362</f>
        <v>0</v>
      </c>
      <c r="L2362" s="35">
        <f t="shared" ref="L2362:Q2362" si="2433">SUM(L2363:L2364)</f>
        <v>92500</v>
      </c>
      <c r="M2362" s="34">
        <f t="shared" si="2433"/>
        <v>35000</v>
      </c>
      <c r="N2362" s="34">
        <f t="shared" si="2433"/>
        <v>35000</v>
      </c>
      <c r="O2362" s="34">
        <f t="shared" si="2433"/>
        <v>35000</v>
      </c>
      <c r="P2362" s="34">
        <f t="shared" si="2433"/>
        <v>0</v>
      </c>
      <c r="Q2362" s="26">
        <f t="shared" si="2433"/>
        <v>197500</v>
      </c>
      <c r="R2362" s="520">
        <f t="shared" ref="R2362:S2362" si="2434">SUM(R2363:R2364)</f>
        <v>0</v>
      </c>
      <c r="S2362" s="201">
        <f t="shared" si="2434"/>
        <v>0</v>
      </c>
      <c r="T2362" s="154">
        <f>T1348</f>
        <v>0</v>
      </c>
      <c r="W2362" s="608">
        <f t="shared" ref="W2362:W2426" si="2435">SUM(L2362:P2362)</f>
        <v>197500</v>
      </c>
      <c r="X2362" s="608">
        <f t="shared" ref="X2362:X2426" si="2436">W2362-Q2362</f>
        <v>0</v>
      </c>
      <c r="Z2362" s="572">
        <f t="shared" si="2294"/>
        <v>0</v>
      </c>
      <c r="AA2362" s="1">
        <f t="shared" si="2295"/>
        <v>0</v>
      </c>
    </row>
    <row r="2363" spans="1:27" x14ac:dyDescent="0.2">
      <c r="A2363" s="123" t="str">
        <f>A1349</f>
        <v>8.10.2.1 Mise en place de la réforme des curricula aux différents et entre les niveaux</v>
      </c>
      <c r="B2363" s="152"/>
      <c r="C2363" s="389">
        <f>C1349</f>
        <v>0</v>
      </c>
      <c r="D2363" s="157">
        <f t="shared" si="2425"/>
        <v>54.5</v>
      </c>
      <c r="E2363" s="157">
        <f t="shared" si="2426"/>
        <v>35</v>
      </c>
      <c r="F2363" s="157">
        <f t="shared" si="2427"/>
        <v>35</v>
      </c>
      <c r="G2363" s="157">
        <f t="shared" si="2428"/>
        <v>35</v>
      </c>
      <c r="H2363" s="157">
        <f t="shared" si="2429"/>
        <v>0</v>
      </c>
      <c r="I2363" s="160">
        <f t="shared" si="2430"/>
        <v>159.5</v>
      </c>
      <c r="J2363" s="374" t="str">
        <f t="shared" si="2431"/>
        <v>SPACE/EPS/ESU/ETP/MAS</v>
      </c>
      <c r="K2363" s="341" t="str">
        <f t="shared" si="2432"/>
        <v>ND</v>
      </c>
      <c r="L2363" s="167">
        <f t="shared" ref="L2363:Q2363" si="2437">L1349</f>
        <v>54500</v>
      </c>
      <c r="M2363" s="36">
        <f t="shared" si="2437"/>
        <v>35000</v>
      </c>
      <c r="N2363" s="36">
        <f t="shared" si="2437"/>
        <v>35000</v>
      </c>
      <c r="O2363" s="36">
        <f t="shared" si="2437"/>
        <v>35000</v>
      </c>
      <c r="P2363" s="36">
        <f t="shared" si="2437"/>
        <v>0</v>
      </c>
      <c r="Q2363" s="27">
        <f t="shared" si="2437"/>
        <v>159500</v>
      </c>
      <c r="R2363" s="519" t="str">
        <f t="shared" ref="R2363:S2363" si="2438">R1349</f>
        <v>SPACE/EPS/ESU/ETP/MAS</v>
      </c>
      <c r="S2363" s="224" t="str">
        <f t="shared" si="2438"/>
        <v>ND</v>
      </c>
      <c r="T2363" s="154">
        <f>T1349</f>
        <v>0</v>
      </c>
      <c r="W2363" s="608">
        <f t="shared" si="2435"/>
        <v>159500</v>
      </c>
      <c r="X2363" s="608">
        <f t="shared" si="2436"/>
        <v>0</v>
      </c>
      <c r="Z2363" s="572">
        <f t="shared" si="2294"/>
        <v>0</v>
      </c>
      <c r="AA2363" s="1">
        <f t="shared" si="2295"/>
        <v>0</v>
      </c>
    </row>
    <row r="2364" spans="1:27" x14ac:dyDescent="0.2">
      <c r="A2364" s="123" t="str">
        <f>A1354</f>
        <v>8.10.2.2 Étude sur l'harmonisation des profils de sortie</v>
      </c>
      <c r="B2364" s="152"/>
      <c r="C2364" s="389" t="str">
        <f>C1354</f>
        <v>Étude en 2016</v>
      </c>
      <c r="D2364" s="157">
        <f t="shared" si="2425"/>
        <v>38</v>
      </c>
      <c r="E2364" s="157">
        <f t="shared" si="2426"/>
        <v>0</v>
      </c>
      <c r="F2364" s="157">
        <f t="shared" si="2427"/>
        <v>0</v>
      </c>
      <c r="G2364" s="157">
        <f t="shared" si="2428"/>
        <v>0</v>
      </c>
      <c r="H2364" s="157">
        <f t="shared" si="2429"/>
        <v>0</v>
      </c>
      <c r="I2364" s="160">
        <f t="shared" si="2430"/>
        <v>38</v>
      </c>
      <c r="J2364" s="374" t="str">
        <f t="shared" si="2431"/>
        <v>SPACE/EPS/ESU/ETP/MAS</v>
      </c>
      <c r="K2364" s="341" t="str">
        <f t="shared" si="2432"/>
        <v>ND</v>
      </c>
      <c r="L2364" s="167">
        <f t="shared" ref="L2364:T2364" si="2439">L1354</f>
        <v>38000</v>
      </c>
      <c r="M2364" s="36">
        <f t="shared" si="2439"/>
        <v>0</v>
      </c>
      <c r="N2364" s="36">
        <f t="shared" si="2439"/>
        <v>0</v>
      </c>
      <c r="O2364" s="36">
        <f t="shared" si="2439"/>
        <v>0</v>
      </c>
      <c r="P2364" s="36">
        <f t="shared" si="2439"/>
        <v>0</v>
      </c>
      <c r="Q2364" s="27">
        <f t="shared" si="2439"/>
        <v>38000</v>
      </c>
      <c r="R2364" s="519" t="str">
        <f t="shared" ref="R2364:S2364" si="2440">R1354</f>
        <v>SPACE/EPS/ESU/ETP/MAS</v>
      </c>
      <c r="S2364" s="224" t="str">
        <f t="shared" si="2440"/>
        <v>ND</v>
      </c>
      <c r="T2364" s="154">
        <f t="shared" si="2439"/>
        <v>0</v>
      </c>
      <c r="W2364" s="608">
        <f t="shared" si="2435"/>
        <v>38000</v>
      </c>
      <c r="X2364" s="608">
        <f t="shared" si="2436"/>
        <v>0</v>
      </c>
      <c r="Z2364" s="572">
        <f t="shared" si="2294"/>
        <v>0</v>
      </c>
      <c r="AA2364" s="1">
        <f t="shared" si="2295"/>
        <v>0</v>
      </c>
    </row>
    <row r="2365" spans="1:27" x14ac:dyDescent="0.2">
      <c r="A2365" s="122" t="str">
        <f>+A1358</f>
        <v>8.10.3 Former les enseignants aux méthodes innovantes</v>
      </c>
      <c r="B2365" s="152"/>
      <c r="C2365" s="389">
        <f>C1355</f>
        <v>0</v>
      </c>
      <c r="D2365" s="157">
        <f t="shared" ref="D2365:D2366" si="2441">L2365/1000</f>
        <v>39.25</v>
      </c>
      <c r="E2365" s="157">
        <f t="shared" si="2426"/>
        <v>0</v>
      </c>
      <c r="F2365" s="157">
        <f t="shared" si="2427"/>
        <v>0</v>
      </c>
      <c r="G2365" s="157">
        <f t="shared" si="2428"/>
        <v>0</v>
      </c>
      <c r="H2365" s="157">
        <f t="shared" si="2429"/>
        <v>0</v>
      </c>
      <c r="I2365" s="160">
        <f t="shared" si="2430"/>
        <v>39.25</v>
      </c>
      <c r="J2365" s="374">
        <f t="shared" ref="J2365" si="2442">R2365</f>
        <v>0</v>
      </c>
      <c r="K2365" s="341">
        <f t="shared" ref="K2365" si="2443">S2365</f>
        <v>0</v>
      </c>
      <c r="L2365" s="161">
        <f>+L2366</f>
        <v>39250</v>
      </c>
      <c r="M2365" s="34">
        <f t="shared" ref="M2365:Q2365" si="2444">+M2366</f>
        <v>0</v>
      </c>
      <c r="N2365" s="34">
        <f t="shared" si="2444"/>
        <v>0</v>
      </c>
      <c r="O2365" s="34">
        <f t="shared" si="2444"/>
        <v>0</v>
      </c>
      <c r="P2365" s="34">
        <f t="shared" si="2444"/>
        <v>0</v>
      </c>
      <c r="Q2365" s="26">
        <f t="shared" si="2444"/>
        <v>39250</v>
      </c>
      <c r="R2365" s="519"/>
      <c r="S2365" s="224"/>
      <c r="T2365" s="154">
        <f>T1355</f>
        <v>0</v>
      </c>
      <c r="W2365" s="608">
        <f t="shared" ref="W2365" si="2445">SUM(L2365:P2365)</f>
        <v>39250</v>
      </c>
      <c r="X2365" s="608">
        <f t="shared" ref="X2365" si="2446">W2365-Q2365</f>
        <v>0</v>
      </c>
      <c r="Z2365" s="572">
        <f t="shared" si="2294"/>
        <v>0</v>
      </c>
      <c r="AA2365" s="1">
        <f t="shared" si="2295"/>
        <v>0</v>
      </c>
    </row>
    <row r="2366" spans="1:27" x14ac:dyDescent="0.2">
      <c r="A2366" s="123" t="str">
        <f>+A1359</f>
        <v xml:space="preserve">8.10.3.1 Élaboration de modules de formation </v>
      </c>
      <c r="B2366" s="152"/>
      <c r="C2366" s="389">
        <f>C1356</f>
        <v>0</v>
      </c>
      <c r="D2366" s="168">
        <f t="shared" si="2441"/>
        <v>39.25</v>
      </c>
      <c r="E2366" s="168">
        <f t="shared" si="2426"/>
        <v>0</v>
      </c>
      <c r="F2366" s="168">
        <f t="shared" si="2427"/>
        <v>0</v>
      </c>
      <c r="G2366" s="168">
        <f t="shared" si="2428"/>
        <v>0</v>
      </c>
      <c r="H2366" s="168">
        <f t="shared" si="2429"/>
        <v>0</v>
      </c>
      <c r="I2366" s="166">
        <f t="shared" si="2430"/>
        <v>39.25</v>
      </c>
      <c r="J2366" s="374" t="str">
        <f t="shared" ref="J2366" si="2447">R2366</f>
        <v>SPACE/EPS/ESU/ETP/MAS</v>
      </c>
      <c r="K2366" s="341" t="str">
        <f t="shared" ref="K2366" si="2448">S2366</f>
        <v>ND</v>
      </c>
      <c r="L2366" s="167">
        <f t="shared" ref="L2366:Q2366" si="2449">+L1359</f>
        <v>39250</v>
      </c>
      <c r="M2366" s="36">
        <f t="shared" si="2449"/>
        <v>0</v>
      </c>
      <c r="N2366" s="36">
        <f t="shared" si="2449"/>
        <v>0</v>
      </c>
      <c r="O2366" s="36">
        <f t="shared" si="2449"/>
        <v>0</v>
      </c>
      <c r="P2366" s="36">
        <f t="shared" si="2449"/>
        <v>0</v>
      </c>
      <c r="Q2366" s="27">
        <f t="shared" si="2449"/>
        <v>39250</v>
      </c>
      <c r="R2366" s="519" t="str">
        <f t="shared" ref="R2366:S2366" si="2450">+R1359</f>
        <v>SPACE/EPS/ESU/ETP/MAS</v>
      </c>
      <c r="S2366" s="224" t="str">
        <f t="shared" si="2450"/>
        <v>ND</v>
      </c>
      <c r="T2366" s="154">
        <f t="shared" ref="T2366" si="2451">T1356</f>
        <v>0</v>
      </c>
      <c r="W2366" s="608">
        <f t="shared" ref="W2366" si="2452">SUM(L2366:P2366)</f>
        <v>39250</v>
      </c>
      <c r="X2366" s="608">
        <f t="shared" ref="X2366" si="2453">W2366-Q2366</f>
        <v>0</v>
      </c>
      <c r="Z2366" s="572">
        <f t="shared" si="2294"/>
        <v>0</v>
      </c>
      <c r="AA2366" s="1">
        <f t="shared" si="2295"/>
        <v>0</v>
      </c>
    </row>
    <row r="2367" spans="1:27" x14ac:dyDescent="0.2">
      <c r="A2367" s="14" t="str">
        <f>A1364</f>
        <v>8.11 Assurance qualité et Pilotage de la qualité : développer une culture et des mécanismes de suivi et évaluation et de pilotage de la qualité des apprentissages</v>
      </c>
      <c r="B2367" s="44"/>
      <c r="C2367" s="385">
        <f>C1364</f>
        <v>0</v>
      </c>
      <c r="D2367" s="217">
        <f t="shared" si="2425"/>
        <v>464.3</v>
      </c>
      <c r="E2367" s="217">
        <f t="shared" si="2426"/>
        <v>835.3</v>
      </c>
      <c r="F2367" s="217">
        <f t="shared" si="2427"/>
        <v>558</v>
      </c>
      <c r="G2367" s="217">
        <f t="shared" si="2428"/>
        <v>613</v>
      </c>
      <c r="H2367" s="217">
        <f t="shared" si="2429"/>
        <v>558</v>
      </c>
      <c r="I2367" s="220">
        <f t="shared" si="2430"/>
        <v>3028.6</v>
      </c>
      <c r="J2367" s="373">
        <f t="shared" si="2431"/>
        <v>0</v>
      </c>
      <c r="K2367" s="346">
        <f t="shared" si="2432"/>
        <v>0</v>
      </c>
      <c r="L2367" s="33">
        <f>L2368+L2371+L2375+L2379+L2382</f>
        <v>464300</v>
      </c>
      <c r="M2367" s="32">
        <f t="shared" ref="M2367:Q2367" si="2454">M2368+M2371+M2375+M2379+M2382</f>
        <v>835300</v>
      </c>
      <c r="N2367" s="32">
        <f t="shared" si="2454"/>
        <v>558000</v>
      </c>
      <c r="O2367" s="32">
        <f t="shared" si="2454"/>
        <v>613000</v>
      </c>
      <c r="P2367" s="32">
        <f t="shared" si="2454"/>
        <v>558000</v>
      </c>
      <c r="Q2367" s="25">
        <f t="shared" si="2454"/>
        <v>3028600</v>
      </c>
      <c r="R2367" s="526">
        <f t="shared" ref="R2367:S2367" si="2455">R2368+R2371+R2375+R2379+R2382</f>
        <v>0</v>
      </c>
      <c r="S2367" s="527">
        <f t="shared" si="2455"/>
        <v>0</v>
      </c>
      <c r="T2367" s="49">
        <f>T1364</f>
        <v>3</v>
      </c>
      <c r="W2367" s="608">
        <f t="shared" si="2435"/>
        <v>3028600</v>
      </c>
      <c r="X2367" s="608">
        <f t="shared" si="2436"/>
        <v>0</v>
      </c>
      <c r="Y2367" s="572" t="s">
        <v>1512</v>
      </c>
      <c r="Z2367" s="572">
        <f t="shared" si="2294"/>
        <v>3028.6</v>
      </c>
      <c r="AA2367" s="1">
        <f t="shared" si="2295"/>
        <v>0</v>
      </c>
    </row>
    <row r="2368" spans="1:27" x14ac:dyDescent="0.2">
      <c r="A2368" s="17" t="str">
        <f>A1365</f>
        <v>8.11.1 Formation des inspecteurs de l'ESU</v>
      </c>
      <c r="B2368" s="45"/>
      <c r="C2368" s="387" t="str">
        <f>C1365</f>
        <v>Tous les inspecteurs bénéficient de deux semaines de formation tous les deux ans</v>
      </c>
      <c r="D2368" s="157">
        <f t="shared" si="2425"/>
        <v>8.5</v>
      </c>
      <c r="E2368" s="157">
        <f t="shared" si="2426"/>
        <v>55</v>
      </c>
      <c r="F2368" s="157">
        <f t="shared" si="2427"/>
        <v>0</v>
      </c>
      <c r="G2368" s="157">
        <f t="shared" si="2428"/>
        <v>55</v>
      </c>
      <c r="H2368" s="157">
        <f t="shared" si="2429"/>
        <v>0</v>
      </c>
      <c r="I2368" s="160">
        <f t="shared" si="2430"/>
        <v>118.5</v>
      </c>
      <c r="J2368" s="374">
        <f t="shared" si="2431"/>
        <v>0</v>
      </c>
      <c r="K2368" s="348">
        <f t="shared" si="2432"/>
        <v>0</v>
      </c>
      <c r="L2368" s="35">
        <f t="shared" ref="L2368:Q2368" si="2456">SUM(L2369:L2370)</f>
        <v>8500</v>
      </c>
      <c r="M2368" s="34">
        <f t="shared" si="2456"/>
        <v>55000</v>
      </c>
      <c r="N2368" s="34">
        <f t="shared" si="2456"/>
        <v>0</v>
      </c>
      <c r="O2368" s="34">
        <f t="shared" si="2456"/>
        <v>55000</v>
      </c>
      <c r="P2368" s="34">
        <f t="shared" si="2456"/>
        <v>0</v>
      </c>
      <c r="Q2368" s="26">
        <f t="shared" si="2456"/>
        <v>118500</v>
      </c>
      <c r="R2368" s="518">
        <f t="shared" ref="R2368:S2368" si="2457">SUM(R2369:R2370)</f>
        <v>0</v>
      </c>
      <c r="S2368" s="181">
        <f t="shared" si="2457"/>
        <v>0</v>
      </c>
      <c r="T2368" s="50">
        <f>T1365</f>
        <v>0</v>
      </c>
      <c r="W2368" s="608">
        <f t="shared" si="2435"/>
        <v>118500</v>
      </c>
      <c r="X2368" s="608">
        <f t="shared" si="2436"/>
        <v>0</v>
      </c>
      <c r="Y2368" s="572" t="s">
        <v>1512</v>
      </c>
      <c r="Z2368" s="572">
        <f t="shared" si="2294"/>
        <v>118.5</v>
      </c>
      <c r="AA2368" s="1">
        <f t="shared" si="2295"/>
        <v>0</v>
      </c>
    </row>
    <row r="2369" spans="1:27" x14ac:dyDescent="0.2">
      <c r="A2369" s="20" t="str">
        <f>A1366</f>
        <v>8.11.1.1 Élaboration d'un module de formation</v>
      </c>
      <c r="B2369" s="46"/>
      <c r="C2369" s="386">
        <f>C1366</f>
        <v>0</v>
      </c>
      <c r="D2369" s="168">
        <f t="shared" si="2425"/>
        <v>8.5</v>
      </c>
      <c r="E2369" s="168">
        <f t="shared" si="2426"/>
        <v>0</v>
      </c>
      <c r="F2369" s="168">
        <f t="shared" si="2427"/>
        <v>0</v>
      </c>
      <c r="G2369" s="168">
        <f t="shared" si="2428"/>
        <v>0</v>
      </c>
      <c r="H2369" s="168">
        <f t="shared" si="2429"/>
        <v>0</v>
      </c>
      <c r="I2369" s="166">
        <f t="shared" si="2430"/>
        <v>8.5</v>
      </c>
      <c r="J2369" s="371" t="str">
        <f t="shared" si="2431"/>
        <v>MESU-Corps des inspecteurs</v>
      </c>
      <c r="K2369" s="350" t="str">
        <f t="shared" si="2432"/>
        <v>ND</v>
      </c>
      <c r="L2369" s="167">
        <f t="shared" ref="L2369:Q2369" si="2458">L1366</f>
        <v>8500</v>
      </c>
      <c r="M2369" s="168">
        <f t="shared" si="2458"/>
        <v>0</v>
      </c>
      <c r="N2369" s="168">
        <f t="shared" si="2458"/>
        <v>0</v>
      </c>
      <c r="O2369" s="168">
        <f t="shared" si="2458"/>
        <v>0</v>
      </c>
      <c r="P2369" s="168">
        <f t="shared" si="2458"/>
        <v>0</v>
      </c>
      <c r="Q2369" s="165">
        <f t="shared" si="2458"/>
        <v>8500</v>
      </c>
      <c r="R2369" s="205" t="str">
        <f t="shared" ref="R2369:S2369" si="2459">R1366</f>
        <v>MESU-Corps des inspecteurs</v>
      </c>
      <c r="S2369" s="183" t="str">
        <f t="shared" si="2459"/>
        <v>ND</v>
      </c>
      <c r="T2369" s="51">
        <f>T1366</f>
        <v>0</v>
      </c>
      <c r="W2369" s="608">
        <f t="shared" si="2435"/>
        <v>8500</v>
      </c>
      <c r="X2369" s="608">
        <f t="shared" si="2436"/>
        <v>0</v>
      </c>
      <c r="Y2369" s="572" t="s">
        <v>1512</v>
      </c>
      <c r="Z2369" s="572">
        <f t="shared" si="2294"/>
        <v>8.5</v>
      </c>
      <c r="AA2369" s="1">
        <f t="shared" si="2295"/>
        <v>0</v>
      </c>
    </row>
    <row r="2370" spans="1:27" x14ac:dyDescent="0.2">
      <c r="A2370" s="20" t="str">
        <f>A1369</f>
        <v>8.11.1.2 Formation des inspecteurs de l'ESU</v>
      </c>
      <c r="B2370" s="46"/>
      <c r="C2370" s="386">
        <f>C1369</f>
        <v>0</v>
      </c>
      <c r="D2370" s="168">
        <f t="shared" si="2425"/>
        <v>0</v>
      </c>
      <c r="E2370" s="168">
        <f t="shared" si="2426"/>
        <v>55</v>
      </c>
      <c r="F2370" s="168">
        <f t="shared" si="2427"/>
        <v>0</v>
      </c>
      <c r="G2370" s="168">
        <f t="shared" si="2428"/>
        <v>55</v>
      </c>
      <c r="H2370" s="168">
        <f t="shared" si="2429"/>
        <v>0</v>
      </c>
      <c r="I2370" s="166">
        <f t="shared" si="2430"/>
        <v>110</v>
      </c>
      <c r="J2370" s="371" t="str">
        <f t="shared" si="2431"/>
        <v>MESU-Corps des inspecteurs</v>
      </c>
      <c r="K2370" s="350" t="str">
        <f t="shared" si="2432"/>
        <v>ND</v>
      </c>
      <c r="L2370" s="167">
        <f t="shared" ref="L2370:T2370" si="2460">L1369</f>
        <v>0</v>
      </c>
      <c r="M2370" s="168">
        <f t="shared" si="2460"/>
        <v>55000</v>
      </c>
      <c r="N2370" s="168">
        <f t="shared" si="2460"/>
        <v>0</v>
      </c>
      <c r="O2370" s="168">
        <f t="shared" si="2460"/>
        <v>55000</v>
      </c>
      <c r="P2370" s="168">
        <f t="shared" si="2460"/>
        <v>0</v>
      </c>
      <c r="Q2370" s="165">
        <f t="shared" si="2460"/>
        <v>110000</v>
      </c>
      <c r="R2370" s="205" t="str">
        <f t="shared" ref="R2370:S2370" si="2461">R1369</f>
        <v>MESU-Corps des inspecteurs</v>
      </c>
      <c r="S2370" s="183" t="str">
        <f t="shared" si="2461"/>
        <v>ND</v>
      </c>
      <c r="T2370" s="51">
        <f t="shared" si="2460"/>
        <v>0</v>
      </c>
      <c r="W2370" s="608">
        <f t="shared" si="2435"/>
        <v>110000</v>
      </c>
      <c r="X2370" s="608">
        <f t="shared" si="2436"/>
        <v>0</v>
      </c>
      <c r="Y2370" s="572" t="s">
        <v>1512</v>
      </c>
      <c r="Z2370" s="572">
        <f t="shared" si="2294"/>
        <v>110</v>
      </c>
      <c r="AA2370" s="1">
        <f t="shared" si="2295"/>
        <v>0</v>
      </c>
    </row>
    <row r="2371" spans="1:27" x14ac:dyDescent="0.2">
      <c r="A2371" s="17" t="str">
        <f>A1371</f>
        <v>8.11.2 Évaluation des acquis scolaires : mise en place d'un système d'évaluation des acquis scolaires</v>
      </c>
      <c r="B2371" s="45"/>
      <c r="C2371" s="386">
        <f>C1371</f>
        <v>0</v>
      </c>
      <c r="D2371" s="157">
        <f t="shared" si="2425"/>
        <v>436.3</v>
      </c>
      <c r="E2371" s="157">
        <f t="shared" si="2426"/>
        <v>556.79999999999995</v>
      </c>
      <c r="F2371" s="157">
        <f t="shared" si="2427"/>
        <v>548</v>
      </c>
      <c r="G2371" s="157">
        <f t="shared" si="2428"/>
        <v>548</v>
      </c>
      <c r="H2371" s="157">
        <f t="shared" si="2429"/>
        <v>548</v>
      </c>
      <c r="I2371" s="160">
        <f t="shared" si="2430"/>
        <v>2637.1</v>
      </c>
      <c r="J2371" s="371">
        <f t="shared" si="2431"/>
        <v>0</v>
      </c>
      <c r="K2371" s="348">
        <f t="shared" si="2432"/>
        <v>0</v>
      </c>
      <c r="L2371" s="35">
        <f t="shared" ref="L2371:Q2371" si="2462">SUM(L2372:L2374)</f>
        <v>436300</v>
      </c>
      <c r="M2371" s="34">
        <f t="shared" si="2462"/>
        <v>556800</v>
      </c>
      <c r="N2371" s="34">
        <f t="shared" si="2462"/>
        <v>548000</v>
      </c>
      <c r="O2371" s="34">
        <f t="shared" si="2462"/>
        <v>548000</v>
      </c>
      <c r="P2371" s="34">
        <f t="shared" si="2462"/>
        <v>548000</v>
      </c>
      <c r="Q2371" s="26">
        <f t="shared" si="2462"/>
        <v>2637100</v>
      </c>
      <c r="R2371" s="518">
        <f t="shared" ref="R2371:S2371" si="2463">SUM(R2372:R2374)</f>
        <v>0</v>
      </c>
      <c r="S2371" s="181">
        <f t="shared" si="2463"/>
        <v>0</v>
      </c>
      <c r="T2371" s="50">
        <f>T1371</f>
        <v>0</v>
      </c>
      <c r="W2371" s="608">
        <f t="shared" si="2435"/>
        <v>2637100</v>
      </c>
      <c r="X2371" s="608">
        <f t="shared" si="2436"/>
        <v>0</v>
      </c>
      <c r="Z2371" s="572">
        <f t="shared" si="2294"/>
        <v>0</v>
      </c>
      <c r="AA2371" s="1">
        <f t="shared" si="2295"/>
        <v>0</v>
      </c>
    </row>
    <row r="2372" spans="1:27" x14ac:dyDescent="0.2">
      <c r="A2372" s="20" t="str">
        <f>A1372</f>
        <v>8.11.2.1 Mise en place d'une Cellule indépendante de l'évaluation des acquis scolaires</v>
      </c>
      <c r="B2372" s="46"/>
      <c r="C2372" s="387" t="str">
        <f>C1372</f>
        <v>Évaluations tous les deux ans</v>
      </c>
      <c r="D2372" s="168">
        <f t="shared" ref="D2372:D2378" si="2464">L2372/1000</f>
        <v>294.3</v>
      </c>
      <c r="E2372" s="168">
        <f t="shared" si="2426"/>
        <v>8.8000000000000007</v>
      </c>
      <c r="F2372" s="168">
        <f t="shared" si="2427"/>
        <v>0</v>
      </c>
      <c r="G2372" s="168">
        <f t="shared" si="2428"/>
        <v>0</v>
      </c>
      <c r="H2372" s="168">
        <f t="shared" si="2429"/>
        <v>0</v>
      </c>
      <c r="I2372" s="166">
        <f t="shared" si="2430"/>
        <v>303.10000000000002</v>
      </c>
      <c r="J2372" s="371" t="str">
        <f t="shared" si="2431"/>
        <v>SPACE/EPS/ESU/ETP/MAS</v>
      </c>
      <c r="K2372" s="350">
        <f t="shared" si="2432"/>
        <v>0</v>
      </c>
      <c r="L2372" s="167">
        <f t="shared" ref="L2372:Q2372" si="2465">L1372</f>
        <v>294300</v>
      </c>
      <c r="M2372" s="36">
        <f t="shared" si="2465"/>
        <v>8800</v>
      </c>
      <c r="N2372" s="36">
        <f t="shared" si="2465"/>
        <v>0</v>
      </c>
      <c r="O2372" s="36">
        <f t="shared" si="2465"/>
        <v>0</v>
      </c>
      <c r="P2372" s="36">
        <f t="shared" si="2465"/>
        <v>0</v>
      </c>
      <c r="Q2372" s="27">
        <f t="shared" si="2465"/>
        <v>303100</v>
      </c>
      <c r="R2372" s="205" t="str">
        <f t="shared" ref="R2372:S2372" si="2466">R1372</f>
        <v>SPACE/EPS/ESU/ETP/MAS</v>
      </c>
      <c r="S2372" s="183">
        <f t="shared" si="2466"/>
        <v>0</v>
      </c>
      <c r="T2372" s="51">
        <f>T1372</f>
        <v>0</v>
      </c>
      <c r="W2372" s="608">
        <f t="shared" si="2435"/>
        <v>303100</v>
      </c>
      <c r="X2372" s="608">
        <f t="shared" si="2436"/>
        <v>0</v>
      </c>
      <c r="Z2372" s="572">
        <f t="shared" si="2294"/>
        <v>0</v>
      </c>
      <c r="AA2372" s="1">
        <f t="shared" si="2295"/>
        <v>0</v>
      </c>
    </row>
    <row r="2373" spans="1:27" x14ac:dyDescent="0.2">
      <c r="A2373" s="20" t="str">
        <f>A1378</f>
        <v>8.11.2.2 Développement des outils d'évaluation</v>
      </c>
      <c r="B2373" s="46"/>
      <c r="C2373" s="386">
        <f>C1378</f>
        <v>0</v>
      </c>
      <c r="D2373" s="168">
        <f t="shared" si="2464"/>
        <v>142</v>
      </c>
      <c r="E2373" s="168">
        <f t="shared" si="2426"/>
        <v>0</v>
      </c>
      <c r="F2373" s="168">
        <f t="shared" si="2427"/>
        <v>0</v>
      </c>
      <c r="G2373" s="168">
        <f t="shared" si="2428"/>
        <v>0</v>
      </c>
      <c r="H2373" s="168">
        <f t="shared" si="2429"/>
        <v>0</v>
      </c>
      <c r="I2373" s="166">
        <f t="shared" si="2430"/>
        <v>142</v>
      </c>
      <c r="J2373" s="371" t="str">
        <f t="shared" si="2431"/>
        <v>SPACE/EPS/ESU/ETP/MAS</v>
      </c>
      <c r="K2373" s="350">
        <f t="shared" si="2432"/>
        <v>0</v>
      </c>
      <c r="L2373" s="167">
        <f t="shared" ref="L2373:T2373" si="2467">L1378</f>
        <v>142000</v>
      </c>
      <c r="M2373" s="36">
        <f t="shared" si="2467"/>
        <v>0</v>
      </c>
      <c r="N2373" s="36">
        <f t="shared" si="2467"/>
        <v>0</v>
      </c>
      <c r="O2373" s="36">
        <f t="shared" si="2467"/>
        <v>0</v>
      </c>
      <c r="P2373" s="36">
        <f t="shared" si="2467"/>
        <v>0</v>
      </c>
      <c r="Q2373" s="27">
        <f t="shared" si="2467"/>
        <v>142000</v>
      </c>
      <c r="R2373" s="205" t="str">
        <f t="shared" ref="R2373:S2373" si="2468">R1378</f>
        <v>SPACE/EPS/ESU/ETP/MAS</v>
      </c>
      <c r="S2373" s="183">
        <f t="shared" si="2468"/>
        <v>0</v>
      </c>
      <c r="T2373" s="51">
        <f t="shared" si="2467"/>
        <v>0</v>
      </c>
      <c r="W2373" s="608">
        <f t="shared" si="2435"/>
        <v>142000</v>
      </c>
      <c r="X2373" s="608">
        <f t="shared" si="2436"/>
        <v>0</v>
      </c>
      <c r="Z2373" s="572">
        <f t="shared" si="2294"/>
        <v>0</v>
      </c>
      <c r="AA2373" s="1">
        <f t="shared" si="2295"/>
        <v>0</v>
      </c>
    </row>
    <row r="2374" spans="1:27" x14ac:dyDescent="0.2">
      <c r="A2374" s="20" t="str">
        <f>A1382</f>
        <v>8.11.2.3 Administration des évaluations nationales et fonctionnement de la Cellule</v>
      </c>
      <c r="B2374" s="46"/>
      <c r="C2374" s="386">
        <f>C1382</f>
        <v>0</v>
      </c>
      <c r="D2374" s="168">
        <f t="shared" si="2464"/>
        <v>0</v>
      </c>
      <c r="E2374" s="168">
        <f t="shared" si="2426"/>
        <v>548</v>
      </c>
      <c r="F2374" s="168">
        <f t="shared" si="2427"/>
        <v>548</v>
      </c>
      <c r="G2374" s="168">
        <f t="shared" si="2428"/>
        <v>548</v>
      </c>
      <c r="H2374" s="168">
        <f t="shared" si="2429"/>
        <v>548</v>
      </c>
      <c r="I2374" s="166">
        <f t="shared" si="2430"/>
        <v>2192</v>
      </c>
      <c r="J2374" s="371" t="str">
        <f t="shared" si="2431"/>
        <v>SPACE/EPS/ESU/ETP/MAS</v>
      </c>
      <c r="K2374" s="350">
        <f t="shared" si="2432"/>
        <v>0</v>
      </c>
      <c r="L2374" s="167">
        <f t="shared" ref="L2374:T2374" si="2469">L1382</f>
        <v>0</v>
      </c>
      <c r="M2374" s="36">
        <f t="shared" si="2469"/>
        <v>548000</v>
      </c>
      <c r="N2374" s="36">
        <f t="shared" si="2469"/>
        <v>548000</v>
      </c>
      <c r="O2374" s="36">
        <f t="shared" si="2469"/>
        <v>548000</v>
      </c>
      <c r="P2374" s="36">
        <f t="shared" si="2469"/>
        <v>548000</v>
      </c>
      <c r="Q2374" s="27">
        <f t="shared" si="2469"/>
        <v>2192000</v>
      </c>
      <c r="R2374" s="205" t="str">
        <f t="shared" ref="R2374:S2374" si="2470">R1382</f>
        <v>SPACE/EPS/ESU/ETP/MAS</v>
      </c>
      <c r="S2374" s="183">
        <f t="shared" si="2470"/>
        <v>0</v>
      </c>
      <c r="T2374" s="51">
        <f t="shared" si="2469"/>
        <v>0</v>
      </c>
      <c r="W2374" s="608">
        <f t="shared" si="2435"/>
        <v>2192000</v>
      </c>
      <c r="X2374" s="608">
        <f t="shared" si="2436"/>
        <v>0</v>
      </c>
      <c r="Z2374" s="572">
        <f t="shared" si="2294"/>
        <v>0</v>
      </c>
      <c r="AA2374" s="1">
        <f t="shared" si="2295"/>
        <v>0</v>
      </c>
    </row>
    <row r="2375" spans="1:27" x14ac:dyDescent="0.2">
      <c r="A2375" s="17" t="str">
        <f>+A1386</f>
        <v>8.11.3 EPT : Mettre en place une Commission Nationale de Qualification et de Certification</v>
      </c>
      <c r="B2375" s="45"/>
      <c r="C2375" s="386">
        <f>C1375</f>
        <v>0</v>
      </c>
      <c r="D2375" s="157">
        <f t="shared" si="2464"/>
        <v>19.5</v>
      </c>
      <c r="E2375" s="157">
        <f t="shared" si="2426"/>
        <v>10</v>
      </c>
      <c r="F2375" s="157">
        <f t="shared" si="2427"/>
        <v>10</v>
      </c>
      <c r="G2375" s="157">
        <f t="shared" si="2428"/>
        <v>10</v>
      </c>
      <c r="H2375" s="157">
        <f t="shared" si="2429"/>
        <v>10</v>
      </c>
      <c r="I2375" s="160">
        <f t="shared" si="2430"/>
        <v>59.5</v>
      </c>
      <c r="J2375" s="371">
        <f t="shared" ref="J2375" si="2471">R2375</f>
        <v>0</v>
      </c>
      <c r="K2375" s="348">
        <f t="shared" ref="K2375" si="2472">S2375</f>
        <v>0</v>
      </c>
      <c r="L2375" s="35">
        <f t="shared" ref="L2375:Q2375" si="2473">SUM(L2376:L2378)</f>
        <v>19500</v>
      </c>
      <c r="M2375" s="34">
        <f t="shared" si="2473"/>
        <v>10000</v>
      </c>
      <c r="N2375" s="34">
        <f t="shared" si="2473"/>
        <v>10000</v>
      </c>
      <c r="O2375" s="34">
        <f t="shared" si="2473"/>
        <v>10000</v>
      </c>
      <c r="P2375" s="34">
        <f t="shared" si="2473"/>
        <v>10000</v>
      </c>
      <c r="Q2375" s="26">
        <f t="shared" si="2473"/>
        <v>59500</v>
      </c>
      <c r="R2375" s="518">
        <f t="shared" ref="R2375:S2375" si="2474">SUM(R2376:R2378)</f>
        <v>0</v>
      </c>
      <c r="S2375" s="181">
        <f t="shared" si="2474"/>
        <v>0</v>
      </c>
      <c r="T2375" s="50">
        <f>T1375</f>
        <v>0</v>
      </c>
      <c r="W2375" s="608">
        <f t="shared" ref="W2375:W2378" si="2475">SUM(L2375:P2375)</f>
        <v>59500</v>
      </c>
      <c r="X2375" s="608">
        <f t="shared" ref="X2375:X2378" si="2476">W2375-Q2375</f>
        <v>0</v>
      </c>
      <c r="Z2375" s="572">
        <f t="shared" si="2294"/>
        <v>0</v>
      </c>
      <c r="AA2375" s="1">
        <f t="shared" si="2295"/>
        <v>0</v>
      </c>
    </row>
    <row r="2376" spans="1:27" x14ac:dyDescent="0.2">
      <c r="A2376" s="20" t="str">
        <f>+A1387</f>
        <v>8.11.3.1 Définition d'un commission de Qualification et de Certification</v>
      </c>
      <c r="B2376" s="46"/>
      <c r="C2376" s="387">
        <f>+C1387</f>
        <v>0</v>
      </c>
      <c r="D2376" s="168">
        <f t="shared" si="2464"/>
        <v>9.5</v>
      </c>
      <c r="E2376" s="168">
        <f t="shared" si="2426"/>
        <v>0</v>
      </c>
      <c r="F2376" s="168">
        <f t="shared" si="2427"/>
        <v>0</v>
      </c>
      <c r="G2376" s="168">
        <f t="shared" si="2428"/>
        <v>0</v>
      </c>
      <c r="H2376" s="168">
        <f t="shared" si="2429"/>
        <v>0</v>
      </c>
      <c r="I2376" s="166">
        <f t="shared" si="2430"/>
        <v>9.5</v>
      </c>
      <c r="J2376" s="371">
        <f t="shared" ref="J2376:Q2376" si="2477">+J1387</f>
        <v>0</v>
      </c>
      <c r="K2376" s="350">
        <f t="shared" si="2477"/>
        <v>0</v>
      </c>
      <c r="L2376" s="167">
        <f t="shared" si="2477"/>
        <v>9500</v>
      </c>
      <c r="M2376" s="36">
        <f t="shared" si="2477"/>
        <v>0</v>
      </c>
      <c r="N2376" s="36">
        <f t="shared" si="2477"/>
        <v>0</v>
      </c>
      <c r="O2376" s="36">
        <f t="shared" si="2477"/>
        <v>0</v>
      </c>
      <c r="P2376" s="36">
        <f t="shared" si="2477"/>
        <v>0</v>
      </c>
      <c r="Q2376" s="27">
        <f t="shared" si="2477"/>
        <v>9500</v>
      </c>
      <c r="R2376" s="205" t="str">
        <f t="shared" ref="R2376:S2376" si="2478">+R1387</f>
        <v>ETP</v>
      </c>
      <c r="S2376" s="183" t="str">
        <f t="shared" si="2478"/>
        <v>ND</v>
      </c>
      <c r="T2376" s="51">
        <f>T1376</f>
        <v>0</v>
      </c>
      <c r="W2376" s="608">
        <f t="shared" si="2475"/>
        <v>9500</v>
      </c>
      <c r="X2376" s="608">
        <f t="shared" si="2476"/>
        <v>0</v>
      </c>
      <c r="Z2376" s="572">
        <f t="shared" si="2294"/>
        <v>0</v>
      </c>
      <c r="AA2376" s="1">
        <f t="shared" si="2295"/>
        <v>0</v>
      </c>
    </row>
    <row r="2377" spans="1:27" x14ac:dyDescent="0.2">
      <c r="A2377" s="20" t="str">
        <f>+A1390</f>
        <v>8.11.3.2 Textes réglementaires de création de la CNQC</v>
      </c>
      <c r="B2377" s="46"/>
      <c r="C2377" s="386">
        <f>+C1390</f>
        <v>0</v>
      </c>
      <c r="D2377" s="168">
        <f t="shared" si="2464"/>
        <v>0</v>
      </c>
      <c r="E2377" s="168">
        <f t="shared" si="2426"/>
        <v>0</v>
      </c>
      <c r="F2377" s="168">
        <f t="shared" si="2427"/>
        <v>0</v>
      </c>
      <c r="G2377" s="168">
        <f t="shared" si="2428"/>
        <v>0</v>
      </c>
      <c r="H2377" s="168">
        <f t="shared" si="2429"/>
        <v>0</v>
      </c>
      <c r="I2377" s="166">
        <f t="shared" si="2430"/>
        <v>0</v>
      </c>
      <c r="J2377" s="371">
        <f t="shared" ref="J2377:Q2378" si="2479">+J1390</f>
        <v>0</v>
      </c>
      <c r="K2377" s="350">
        <f t="shared" si="2479"/>
        <v>0</v>
      </c>
      <c r="L2377" s="167">
        <f t="shared" si="2479"/>
        <v>0</v>
      </c>
      <c r="M2377" s="36">
        <f t="shared" si="2479"/>
        <v>0</v>
      </c>
      <c r="N2377" s="36">
        <f t="shared" si="2479"/>
        <v>0</v>
      </c>
      <c r="O2377" s="36">
        <f t="shared" si="2479"/>
        <v>0</v>
      </c>
      <c r="P2377" s="36">
        <f t="shared" si="2479"/>
        <v>0</v>
      </c>
      <c r="Q2377" s="27">
        <f t="shared" si="2479"/>
        <v>0</v>
      </c>
      <c r="R2377" s="205" t="str">
        <f t="shared" ref="R2377:S2377" si="2480">+R1390</f>
        <v>ETP</v>
      </c>
      <c r="S2377" s="183">
        <f t="shared" si="2480"/>
        <v>0</v>
      </c>
      <c r="T2377" s="51">
        <f>T1382</f>
        <v>0</v>
      </c>
      <c r="W2377" s="608">
        <f t="shared" si="2475"/>
        <v>0</v>
      </c>
      <c r="X2377" s="608">
        <f t="shared" si="2476"/>
        <v>0</v>
      </c>
      <c r="Z2377" s="572">
        <f t="shared" si="2294"/>
        <v>0</v>
      </c>
      <c r="AA2377" s="1">
        <f t="shared" si="2295"/>
        <v>0</v>
      </c>
    </row>
    <row r="2378" spans="1:27" x14ac:dyDescent="0.2">
      <c r="A2378" s="20" t="str">
        <f>+A1391</f>
        <v xml:space="preserve">8.11.3.3 Mise en place et fonctionnement de la CNQC </v>
      </c>
      <c r="B2378" s="46"/>
      <c r="C2378" s="386">
        <f>+C1391</f>
        <v>0</v>
      </c>
      <c r="D2378" s="168">
        <f t="shared" si="2464"/>
        <v>10</v>
      </c>
      <c r="E2378" s="168">
        <f t="shared" si="2426"/>
        <v>10</v>
      </c>
      <c r="F2378" s="168">
        <f t="shared" si="2427"/>
        <v>10</v>
      </c>
      <c r="G2378" s="168">
        <f t="shared" si="2428"/>
        <v>10</v>
      </c>
      <c r="H2378" s="168">
        <f t="shared" si="2429"/>
        <v>10</v>
      </c>
      <c r="I2378" s="166">
        <f t="shared" si="2430"/>
        <v>50</v>
      </c>
      <c r="J2378" s="371">
        <f t="shared" si="2479"/>
        <v>0</v>
      </c>
      <c r="K2378" s="350">
        <f t="shared" si="2479"/>
        <v>0</v>
      </c>
      <c r="L2378" s="167">
        <f t="shared" si="2479"/>
        <v>10000</v>
      </c>
      <c r="M2378" s="36">
        <f t="shared" si="2479"/>
        <v>10000</v>
      </c>
      <c r="N2378" s="36">
        <f t="shared" si="2479"/>
        <v>10000</v>
      </c>
      <c r="O2378" s="36">
        <f t="shared" si="2479"/>
        <v>10000</v>
      </c>
      <c r="P2378" s="36">
        <f t="shared" si="2479"/>
        <v>10000</v>
      </c>
      <c r="Q2378" s="27">
        <f t="shared" si="2479"/>
        <v>50000</v>
      </c>
      <c r="R2378" s="205" t="str">
        <f t="shared" ref="R2378:S2378" si="2481">+R1391</f>
        <v>ETP</v>
      </c>
      <c r="S2378" s="183" t="str">
        <f t="shared" si="2481"/>
        <v>ND</v>
      </c>
      <c r="T2378" s="51">
        <f>T1386</f>
        <v>0</v>
      </c>
      <c r="W2378" s="608">
        <f t="shared" si="2475"/>
        <v>50000</v>
      </c>
      <c r="X2378" s="608">
        <f t="shared" si="2476"/>
        <v>0</v>
      </c>
      <c r="Z2378" s="572">
        <f t="shared" ref="Z2378:Z2441" si="2482">IF($Y2378="P",$I2378,)</f>
        <v>0</v>
      </c>
      <c r="AA2378" s="1">
        <f t="shared" ref="AA2378:AA2441" si="2483">IF($Y2378="G",$I2378,)</f>
        <v>0</v>
      </c>
    </row>
    <row r="2379" spans="1:27" x14ac:dyDescent="0.2">
      <c r="A2379" s="17" t="str">
        <f>A1393</f>
        <v>8.11.4 Pilotage de la qualité : Guides de diagnostic de facteurs de non qualité</v>
      </c>
      <c r="B2379" s="45"/>
      <c r="C2379" s="387" t="str">
        <f>C1393</f>
        <v>Guide élaboré et diffusé aux établissements en 2017</v>
      </c>
      <c r="D2379" s="157">
        <f t="shared" ref="D2379:I2383" si="2484">L2379/1000</f>
        <v>0</v>
      </c>
      <c r="E2379" s="157">
        <f t="shared" si="2484"/>
        <v>202.5</v>
      </c>
      <c r="F2379" s="157">
        <f t="shared" si="2484"/>
        <v>0</v>
      </c>
      <c r="G2379" s="157">
        <f t="shared" si="2484"/>
        <v>0</v>
      </c>
      <c r="H2379" s="157">
        <f t="shared" si="2484"/>
        <v>0</v>
      </c>
      <c r="I2379" s="160">
        <f t="shared" si="2484"/>
        <v>202.5</v>
      </c>
      <c r="J2379" s="374">
        <f t="shared" ref="J2379:K2383" si="2485">R2379</f>
        <v>0</v>
      </c>
      <c r="K2379" s="348">
        <f t="shared" si="2485"/>
        <v>0</v>
      </c>
      <c r="L2379" s="35">
        <f t="shared" ref="L2379:Q2379" si="2486">SUM(L2380:L2381)</f>
        <v>0</v>
      </c>
      <c r="M2379" s="34">
        <f t="shared" si="2486"/>
        <v>202500</v>
      </c>
      <c r="N2379" s="34">
        <f t="shared" si="2486"/>
        <v>0</v>
      </c>
      <c r="O2379" s="34">
        <f t="shared" si="2486"/>
        <v>0</v>
      </c>
      <c r="P2379" s="34">
        <f t="shared" si="2486"/>
        <v>0</v>
      </c>
      <c r="Q2379" s="26">
        <f t="shared" si="2486"/>
        <v>202500</v>
      </c>
      <c r="R2379" s="518">
        <f t="shared" ref="R2379:S2379" si="2487">SUM(R2380:R2381)</f>
        <v>0</v>
      </c>
      <c r="S2379" s="181">
        <f t="shared" si="2487"/>
        <v>0</v>
      </c>
      <c r="T2379" s="50">
        <f>T1393</f>
        <v>0</v>
      </c>
      <c r="W2379" s="608">
        <f>SUM(L2379:P2379)</f>
        <v>202500</v>
      </c>
      <c r="X2379" s="608">
        <f>W2379-Q2379</f>
        <v>0</v>
      </c>
      <c r="Z2379" s="572">
        <f t="shared" si="2482"/>
        <v>0</v>
      </c>
      <c r="AA2379" s="1">
        <f t="shared" si="2483"/>
        <v>0</v>
      </c>
    </row>
    <row r="2380" spans="1:27" x14ac:dyDescent="0.2">
      <c r="A2380" s="20" t="str">
        <f>A1394</f>
        <v>8.11.4.1 Élaboration des guides de diagnostic par type d'établissement</v>
      </c>
      <c r="B2380" s="46"/>
      <c r="C2380" s="386">
        <f>C1394</f>
        <v>0</v>
      </c>
      <c r="D2380" s="168">
        <f t="shared" si="2484"/>
        <v>0</v>
      </c>
      <c r="E2380" s="168">
        <f t="shared" si="2484"/>
        <v>42.5</v>
      </c>
      <c r="F2380" s="168">
        <f t="shared" si="2484"/>
        <v>0</v>
      </c>
      <c r="G2380" s="168">
        <f t="shared" si="2484"/>
        <v>0</v>
      </c>
      <c r="H2380" s="168">
        <f t="shared" si="2484"/>
        <v>0</v>
      </c>
      <c r="I2380" s="166">
        <f t="shared" si="2484"/>
        <v>42.5</v>
      </c>
      <c r="J2380" s="371" t="str">
        <f t="shared" si="2485"/>
        <v>SPACE/EPS/ESU/ETP/MAS</v>
      </c>
      <c r="K2380" s="350" t="str">
        <f t="shared" si="2485"/>
        <v>ND</v>
      </c>
      <c r="L2380" s="167">
        <f t="shared" ref="L2380:Q2380" si="2488">L1394</f>
        <v>0</v>
      </c>
      <c r="M2380" s="168">
        <f t="shared" si="2488"/>
        <v>42500</v>
      </c>
      <c r="N2380" s="168">
        <f t="shared" si="2488"/>
        <v>0</v>
      </c>
      <c r="O2380" s="168">
        <f t="shared" si="2488"/>
        <v>0</v>
      </c>
      <c r="P2380" s="168">
        <f t="shared" si="2488"/>
        <v>0</v>
      </c>
      <c r="Q2380" s="168">
        <f t="shared" si="2488"/>
        <v>42500</v>
      </c>
      <c r="R2380" s="205" t="str">
        <f t="shared" ref="R2380:S2380" si="2489">R1394</f>
        <v>SPACE/EPS/ESU/ETP/MAS</v>
      </c>
      <c r="S2380" s="183" t="str">
        <f t="shared" si="2489"/>
        <v>ND</v>
      </c>
      <c r="T2380" s="51">
        <f>T1394</f>
        <v>0</v>
      </c>
      <c r="W2380" s="608">
        <f>SUM(L2380:P2380)</f>
        <v>42500</v>
      </c>
      <c r="X2380" s="608">
        <f>W2380-Q2380</f>
        <v>0</v>
      </c>
      <c r="Z2380" s="572">
        <f t="shared" si="2482"/>
        <v>0</v>
      </c>
      <c r="AA2380" s="1">
        <f t="shared" si="2483"/>
        <v>0</v>
      </c>
    </row>
    <row r="2381" spans="1:27" x14ac:dyDescent="0.2">
      <c r="A2381" s="20" t="str">
        <f>A1398</f>
        <v>8.11.4.2 Acquisition et diffusion des guides de diagnostic</v>
      </c>
      <c r="B2381" s="46"/>
      <c r="C2381" s="386">
        <f>C1398</f>
        <v>0</v>
      </c>
      <c r="D2381" s="168">
        <f t="shared" si="2484"/>
        <v>0</v>
      </c>
      <c r="E2381" s="168">
        <f t="shared" si="2484"/>
        <v>160</v>
      </c>
      <c r="F2381" s="168">
        <f t="shared" si="2484"/>
        <v>0</v>
      </c>
      <c r="G2381" s="168">
        <f t="shared" si="2484"/>
        <v>0</v>
      </c>
      <c r="H2381" s="168">
        <f t="shared" si="2484"/>
        <v>0</v>
      </c>
      <c r="I2381" s="166">
        <f t="shared" si="2484"/>
        <v>160</v>
      </c>
      <c r="J2381" s="371" t="str">
        <f t="shared" si="2485"/>
        <v>SPACE/EPS/ESU/ETP/MAS</v>
      </c>
      <c r="K2381" s="350" t="str">
        <f t="shared" si="2485"/>
        <v>ND</v>
      </c>
      <c r="L2381" s="167">
        <f t="shared" ref="L2381:T2381" si="2490">L1398</f>
        <v>0</v>
      </c>
      <c r="M2381" s="168">
        <f t="shared" si="2490"/>
        <v>160000</v>
      </c>
      <c r="N2381" s="168">
        <f t="shared" si="2490"/>
        <v>0</v>
      </c>
      <c r="O2381" s="168">
        <f t="shared" si="2490"/>
        <v>0</v>
      </c>
      <c r="P2381" s="168">
        <f t="shared" si="2490"/>
        <v>0</v>
      </c>
      <c r="Q2381" s="168">
        <f t="shared" si="2490"/>
        <v>160000</v>
      </c>
      <c r="R2381" s="205" t="str">
        <f t="shared" ref="R2381:S2381" si="2491">R1398</f>
        <v>SPACE/EPS/ESU/ETP/MAS</v>
      </c>
      <c r="S2381" s="183" t="str">
        <f t="shared" si="2491"/>
        <v>ND</v>
      </c>
      <c r="T2381" s="51">
        <f t="shared" si="2490"/>
        <v>0</v>
      </c>
      <c r="W2381" s="608">
        <f>SUM(L2381:P2381)</f>
        <v>160000</v>
      </c>
      <c r="X2381" s="608">
        <f>W2381-Q2381</f>
        <v>0</v>
      </c>
      <c r="Z2381" s="572">
        <f t="shared" si="2482"/>
        <v>0</v>
      </c>
      <c r="AA2381" s="1">
        <f t="shared" si="2483"/>
        <v>0</v>
      </c>
    </row>
    <row r="2382" spans="1:27" x14ac:dyDescent="0.2">
      <c r="A2382" s="17" t="str">
        <f>A1400</f>
        <v>8.11.5 Formation des inspecteurs et directeurs</v>
      </c>
      <c r="B2382" s="45"/>
      <c r="C2382" s="387" t="str">
        <f>C1400</f>
        <v>Préparation d'un module de formation pouvant être utilisé pendant les périodes de formation en 2017</v>
      </c>
      <c r="D2382" s="157">
        <f t="shared" si="2484"/>
        <v>0</v>
      </c>
      <c r="E2382" s="157">
        <f t="shared" si="2484"/>
        <v>11</v>
      </c>
      <c r="F2382" s="157">
        <f t="shared" si="2484"/>
        <v>0</v>
      </c>
      <c r="G2382" s="157">
        <f t="shared" si="2484"/>
        <v>0</v>
      </c>
      <c r="H2382" s="157">
        <f t="shared" si="2484"/>
        <v>0</v>
      </c>
      <c r="I2382" s="160">
        <f t="shared" si="2484"/>
        <v>11</v>
      </c>
      <c r="J2382" s="374">
        <f t="shared" si="2485"/>
        <v>0</v>
      </c>
      <c r="K2382" s="348">
        <f t="shared" si="2485"/>
        <v>0</v>
      </c>
      <c r="L2382" s="35">
        <f t="shared" ref="L2382:S2382" si="2492">SUM(L2383:L2383)</f>
        <v>0</v>
      </c>
      <c r="M2382" s="34">
        <f t="shared" si="2492"/>
        <v>11000</v>
      </c>
      <c r="N2382" s="34">
        <f t="shared" si="2492"/>
        <v>0</v>
      </c>
      <c r="O2382" s="34">
        <f t="shared" si="2492"/>
        <v>0</v>
      </c>
      <c r="P2382" s="34">
        <f t="shared" si="2492"/>
        <v>0</v>
      </c>
      <c r="Q2382" s="26">
        <f t="shared" si="2492"/>
        <v>11000</v>
      </c>
      <c r="R2382" s="518">
        <f t="shared" si="2492"/>
        <v>0</v>
      </c>
      <c r="S2382" s="181">
        <f t="shared" si="2492"/>
        <v>0</v>
      </c>
      <c r="T2382" s="50">
        <f>T1400</f>
        <v>0</v>
      </c>
      <c r="W2382" s="608">
        <f>SUM(L2382:P2382)</f>
        <v>11000</v>
      </c>
      <c r="X2382" s="608">
        <f>W2382-Q2382</f>
        <v>0</v>
      </c>
      <c r="Y2382" s="572" t="s">
        <v>1512</v>
      </c>
      <c r="Z2382" s="572">
        <f t="shared" si="2482"/>
        <v>11</v>
      </c>
      <c r="AA2382" s="1">
        <f t="shared" si="2483"/>
        <v>0</v>
      </c>
    </row>
    <row r="2383" spans="1:27" x14ac:dyDescent="0.2">
      <c r="A2383" s="20" t="str">
        <f>A1401</f>
        <v>8.11.5.1 Élaboration d'un module de formation aux guides de diagnostic</v>
      </c>
      <c r="B2383" s="46"/>
      <c r="C2383" s="386">
        <f>C1401</f>
        <v>0</v>
      </c>
      <c r="D2383" s="168">
        <f t="shared" si="2484"/>
        <v>0</v>
      </c>
      <c r="E2383" s="168">
        <f t="shared" si="2484"/>
        <v>11</v>
      </c>
      <c r="F2383" s="168">
        <f t="shared" si="2484"/>
        <v>0</v>
      </c>
      <c r="G2383" s="168">
        <f t="shared" si="2484"/>
        <v>0</v>
      </c>
      <c r="H2383" s="168">
        <f t="shared" si="2484"/>
        <v>0</v>
      </c>
      <c r="I2383" s="166">
        <f t="shared" si="2484"/>
        <v>11</v>
      </c>
      <c r="J2383" s="371" t="str">
        <f t="shared" si="2485"/>
        <v>SPACE/EPS/ESU/ETP/MAS</v>
      </c>
      <c r="K2383" s="350" t="str">
        <f t="shared" si="2485"/>
        <v>ND</v>
      </c>
      <c r="L2383" s="167">
        <f t="shared" ref="L2383:Q2383" si="2493">L1401</f>
        <v>0</v>
      </c>
      <c r="M2383" s="168">
        <f t="shared" si="2493"/>
        <v>11000</v>
      </c>
      <c r="N2383" s="168">
        <f t="shared" si="2493"/>
        <v>0</v>
      </c>
      <c r="O2383" s="168">
        <f t="shared" si="2493"/>
        <v>0</v>
      </c>
      <c r="P2383" s="168">
        <f t="shared" si="2493"/>
        <v>0</v>
      </c>
      <c r="Q2383" s="165">
        <f t="shared" si="2493"/>
        <v>11000</v>
      </c>
      <c r="R2383" s="205" t="str">
        <f t="shared" ref="R2383:S2383" si="2494">R1401</f>
        <v>SPACE/EPS/ESU/ETP/MAS</v>
      </c>
      <c r="S2383" s="183" t="str">
        <f t="shared" si="2494"/>
        <v>ND</v>
      </c>
      <c r="T2383" s="51">
        <f>T1401</f>
        <v>0</v>
      </c>
      <c r="W2383" s="608">
        <f>SUM(L2383:P2383)</f>
        <v>11000</v>
      </c>
      <c r="X2383" s="608">
        <f>W2383-Q2383</f>
        <v>0</v>
      </c>
      <c r="Y2383" s="572" t="s">
        <v>1512</v>
      </c>
      <c r="Z2383" s="572">
        <f t="shared" si="2482"/>
        <v>11</v>
      </c>
      <c r="AA2383" s="1">
        <f t="shared" si="2483"/>
        <v>0</v>
      </c>
    </row>
    <row r="2384" spans="1:27" x14ac:dyDescent="0.2">
      <c r="A2384" s="14" t="str">
        <f>A1404</f>
        <v xml:space="preserve">8.12 Gestion des flux d'élèves : améliorer les instruments de gestion des flux et mise en place de l’éducation de base </v>
      </c>
      <c r="B2384" s="44"/>
      <c r="C2384" s="385">
        <f>C1404</f>
        <v>0</v>
      </c>
      <c r="D2384" s="217">
        <f t="shared" si="2425"/>
        <v>0</v>
      </c>
      <c r="E2384" s="217">
        <f t="shared" si="2426"/>
        <v>138.9</v>
      </c>
      <c r="F2384" s="217">
        <f t="shared" si="2427"/>
        <v>61.25</v>
      </c>
      <c r="G2384" s="217">
        <f t="shared" si="2428"/>
        <v>0</v>
      </c>
      <c r="H2384" s="217">
        <f t="shared" si="2429"/>
        <v>0</v>
      </c>
      <c r="I2384" s="220">
        <f t="shared" si="2430"/>
        <v>200.15</v>
      </c>
      <c r="J2384" s="373">
        <f t="shared" si="2431"/>
        <v>0</v>
      </c>
      <c r="K2384" s="346">
        <f t="shared" si="2432"/>
        <v>0</v>
      </c>
      <c r="L2384" s="33">
        <f t="shared" ref="L2384:Q2384" si="2495">L2385+L2388+L2393</f>
        <v>0</v>
      </c>
      <c r="M2384" s="32">
        <f t="shared" si="2495"/>
        <v>138900</v>
      </c>
      <c r="N2384" s="32">
        <f t="shared" si="2495"/>
        <v>61250</v>
      </c>
      <c r="O2384" s="32">
        <f t="shared" si="2495"/>
        <v>0</v>
      </c>
      <c r="P2384" s="32">
        <f t="shared" si="2495"/>
        <v>0</v>
      </c>
      <c r="Q2384" s="25">
        <f t="shared" si="2495"/>
        <v>200150</v>
      </c>
      <c r="R2384" s="517">
        <f t="shared" ref="R2384:S2384" si="2496">R2385+R2388+R2393</f>
        <v>0</v>
      </c>
      <c r="S2384" s="179">
        <f t="shared" si="2496"/>
        <v>0</v>
      </c>
      <c r="T2384" s="49">
        <f>T1404</f>
        <v>3</v>
      </c>
      <c r="W2384" s="608">
        <f t="shared" si="2435"/>
        <v>200150</v>
      </c>
      <c r="X2384" s="608">
        <f t="shared" si="2436"/>
        <v>0</v>
      </c>
      <c r="Z2384" s="572">
        <f t="shared" si="2482"/>
        <v>0</v>
      </c>
      <c r="AA2384" s="1">
        <f t="shared" si="2483"/>
        <v>0</v>
      </c>
    </row>
    <row r="2385" spans="1:27" x14ac:dyDescent="0.2">
      <c r="A2385" s="122" t="str">
        <f>A1405</f>
        <v>8.12.1 Étude sur les passerelles</v>
      </c>
      <c r="B2385" s="152"/>
      <c r="C2385" s="390" t="str">
        <f>C1405</f>
        <v>Étude menée en 2017</v>
      </c>
      <c r="D2385" s="157">
        <f t="shared" si="2425"/>
        <v>0</v>
      </c>
      <c r="E2385" s="168">
        <f t="shared" si="2426"/>
        <v>47.5</v>
      </c>
      <c r="F2385" s="168">
        <f t="shared" si="2427"/>
        <v>0</v>
      </c>
      <c r="G2385" s="168">
        <f t="shared" si="2428"/>
        <v>0</v>
      </c>
      <c r="H2385" s="168">
        <f t="shared" si="2429"/>
        <v>0</v>
      </c>
      <c r="I2385" s="166">
        <f t="shared" si="2430"/>
        <v>47.5</v>
      </c>
      <c r="J2385" s="371">
        <f t="shared" si="2431"/>
        <v>0</v>
      </c>
      <c r="K2385" s="341">
        <f t="shared" si="2432"/>
        <v>0</v>
      </c>
      <c r="L2385" s="35">
        <f t="shared" ref="L2385:Q2385" si="2497">SUM(L2386:L2387)</f>
        <v>0</v>
      </c>
      <c r="M2385" s="34">
        <f t="shared" si="2497"/>
        <v>47500</v>
      </c>
      <c r="N2385" s="34">
        <f t="shared" si="2497"/>
        <v>0</v>
      </c>
      <c r="O2385" s="34">
        <f t="shared" si="2497"/>
        <v>0</v>
      </c>
      <c r="P2385" s="34">
        <f t="shared" si="2497"/>
        <v>0</v>
      </c>
      <c r="Q2385" s="26">
        <f t="shared" si="2497"/>
        <v>47500</v>
      </c>
      <c r="R2385" s="520">
        <f t="shared" ref="R2385:S2385" si="2498">SUM(R2386:R2387)</f>
        <v>0</v>
      </c>
      <c r="S2385" s="201">
        <f t="shared" si="2498"/>
        <v>0</v>
      </c>
      <c r="T2385" s="154">
        <f>T1405</f>
        <v>0</v>
      </c>
      <c r="W2385" s="608">
        <f t="shared" si="2435"/>
        <v>47500</v>
      </c>
      <c r="X2385" s="608">
        <f t="shared" si="2436"/>
        <v>0</v>
      </c>
      <c r="Z2385" s="572">
        <f t="shared" si="2482"/>
        <v>0</v>
      </c>
      <c r="AA2385" s="1">
        <f t="shared" si="2483"/>
        <v>0</v>
      </c>
    </row>
    <row r="2386" spans="1:27" x14ac:dyDescent="0.2">
      <c r="A2386" s="123" t="str">
        <f>A1406</f>
        <v xml:space="preserve">8.12.1.1 Étude sur la mise en place de passerelles entre les filières </v>
      </c>
      <c r="B2386" s="202"/>
      <c r="C2386" s="389">
        <f>C1406</f>
        <v>0</v>
      </c>
      <c r="D2386" s="168">
        <f t="shared" si="2425"/>
        <v>0</v>
      </c>
      <c r="E2386" s="168">
        <f t="shared" si="2426"/>
        <v>47.5</v>
      </c>
      <c r="F2386" s="168">
        <f t="shared" si="2427"/>
        <v>0</v>
      </c>
      <c r="G2386" s="168">
        <f t="shared" si="2428"/>
        <v>0</v>
      </c>
      <c r="H2386" s="168">
        <f t="shared" si="2429"/>
        <v>0</v>
      </c>
      <c r="I2386" s="166">
        <f t="shared" si="2430"/>
        <v>47.5</v>
      </c>
      <c r="J2386" s="371" t="str">
        <f t="shared" si="2431"/>
        <v>SPACE/EPS/ESU/ETP/MASND</v>
      </c>
      <c r="K2386" s="342" t="str">
        <f t="shared" si="2432"/>
        <v>ND</v>
      </c>
      <c r="L2386" s="167">
        <f t="shared" ref="L2386:Q2386" si="2499">L1406</f>
        <v>0</v>
      </c>
      <c r="M2386" s="168">
        <f t="shared" si="2499"/>
        <v>47500</v>
      </c>
      <c r="N2386" s="168">
        <f t="shared" si="2499"/>
        <v>0</v>
      </c>
      <c r="O2386" s="168">
        <f t="shared" si="2499"/>
        <v>0</v>
      </c>
      <c r="P2386" s="168">
        <f t="shared" si="2499"/>
        <v>0</v>
      </c>
      <c r="Q2386" s="168">
        <f t="shared" si="2499"/>
        <v>47500</v>
      </c>
      <c r="R2386" s="521" t="str">
        <f t="shared" ref="R2386:S2386" si="2500">R1406</f>
        <v>SPACE/EPS/ESU/ETP/MASND</v>
      </c>
      <c r="S2386" s="94" t="str">
        <f t="shared" si="2500"/>
        <v>ND</v>
      </c>
      <c r="T2386" s="153">
        <f>T1406</f>
        <v>0</v>
      </c>
      <c r="W2386" s="608">
        <f t="shared" si="2435"/>
        <v>47500</v>
      </c>
      <c r="X2386" s="608">
        <f t="shared" si="2436"/>
        <v>0</v>
      </c>
      <c r="Z2386" s="572">
        <f t="shared" si="2482"/>
        <v>0</v>
      </c>
      <c r="AA2386" s="1">
        <f t="shared" si="2483"/>
        <v>0</v>
      </c>
    </row>
    <row r="2387" spans="1:27" x14ac:dyDescent="0.2">
      <c r="A2387" s="20" t="str">
        <f>A1411</f>
        <v>8.12.1.2 Mise en place des passerelles entre les filières à partir de 2018</v>
      </c>
      <c r="B2387" s="46"/>
      <c r="C2387" s="386">
        <f>C1411</f>
        <v>0</v>
      </c>
      <c r="D2387" s="168">
        <f t="shared" si="2425"/>
        <v>0</v>
      </c>
      <c r="E2387" s="168">
        <f t="shared" si="2426"/>
        <v>0</v>
      </c>
      <c r="F2387" s="168">
        <f t="shared" si="2427"/>
        <v>0</v>
      </c>
      <c r="G2387" s="168">
        <f t="shared" si="2428"/>
        <v>0</v>
      </c>
      <c r="H2387" s="168">
        <f t="shared" si="2429"/>
        <v>0</v>
      </c>
      <c r="I2387" s="166">
        <f t="shared" si="2430"/>
        <v>0</v>
      </c>
      <c r="J2387" s="371">
        <f t="shared" si="2431"/>
        <v>0</v>
      </c>
      <c r="K2387" s="350">
        <f t="shared" si="2432"/>
        <v>0</v>
      </c>
      <c r="L2387" s="167">
        <f t="shared" ref="L2387:T2387" si="2501">L1411</f>
        <v>0</v>
      </c>
      <c r="M2387" s="168">
        <f t="shared" si="2501"/>
        <v>0</v>
      </c>
      <c r="N2387" s="168">
        <f t="shared" si="2501"/>
        <v>0</v>
      </c>
      <c r="O2387" s="168">
        <f t="shared" si="2501"/>
        <v>0</v>
      </c>
      <c r="P2387" s="168">
        <f t="shared" si="2501"/>
        <v>0</v>
      </c>
      <c r="Q2387" s="165">
        <f t="shared" si="2501"/>
        <v>0</v>
      </c>
      <c r="R2387" s="205">
        <f t="shared" ref="R2387:S2387" si="2502">R1411</f>
        <v>0</v>
      </c>
      <c r="S2387" s="183">
        <f t="shared" si="2502"/>
        <v>0</v>
      </c>
      <c r="T2387" s="51">
        <f t="shared" si="2501"/>
        <v>0</v>
      </c>
      <c r="W2387" s="608">
        <f t="shared" si="2435"/>
        <v>0</v>
      </c>
      <c r="X2387" s="608">
        <f t="shared" si="2436"/>
        <v>0</v>
      </c>
      <c r="Z2387" s="572">
        <f t="shared" si="2482"/>
        <v>0</v>
      </c>
      <c r="AA2387" s="1">
        <f t="shared" si="2483"/>
        <v>0</v>
      </c>
    </row>
    <row r="2388" spans="1:27" x14ac:dyDescent="0.2">
      <c r="A2388" s="17" t="str">
        <f>A1412</f>
        <v>8.12.2 Services d'orientation</v>
      </c>
      <c r="B2388" s="45"/>
      <c r="C2388" s="387" t="str">
        <f>C1412</f>
        <v>Les services d'orientation ont des moyens renforcés</v>
      </c>
      <c r="D2388" s="157">
        <f t="shared" si="2425"/>
        <v>0</v>
      </c>
      <c r="E2388" s="168">
        <f t="shared" si="2426"/>
        <v>91.4</v>
      </c>
      <c r="F2388" s="168">
        <f t="shared" si="2427"/>
        <v>22</v>
      </c>
      <c r="G2388" s="168">
        <f t="shared" si="2428"/>
        <v>0</v>
      </c>
      <c r="H2388" s="168">
        <f t="shared" si="2429"/>
        <v>0</v>
      </c>
      <c r="I2388" s="166">
        <f t="shared" si="2430"/>
        <v>113.4</v>
      </c>
      <c r="J2388" s="371">
        <f t="shared" si="2431"/>
        <v>0</v>
      </c>
      <c r="K2388" s="348">
        <f t="shared" si="2432"/>
        <v>0</v>
      </c>
      <c r="L2388" s="35">
        <f t="shared" ref="L2388:Q2388" si="2503">SUM(L2389:L2392)</f>
        <v>0</v>
      </c>
      <c r="M2388" s="34">
        <f t="shared" si="2503"/>
        <v>91400</v>
      </c>
      <c r="N2388" s="34">
        <f t="shared" si="2503"/>
        <v>22000</v>
      </c>
      <c r="O2388" s="34">
        <f t="shared" si="2503"/>
        <v>0</v>
      </c>
      <c r="P2388" s="34">
        <f t="shared" si="2503"/>
        <v>0</v>
      </c>
      <c r="Q2388" s="26">
        <f t="shared" si="2503"/>
        <v>113400</v>
      </c>
      <c r="R2388" s="518">
        <f t="shared" ref="R2388:S2388" si="2504">SUM(R2389:R2392)</f>
        <v>0</v>
      </c>
      <c r="S2388" s="181">
        <f t="shared" si="2504"/>
        <v>0</v>
      </c>
      <c r="T2388" s="50">
        <f>T1412</f>
        <v>0</v>
      </c>
      <c r="W2388" s="608">
        <f t="shared" si="2435"/>
        <v>113400</v>
      </c>
      <c r="X2388" s="608">
        <f t="shared" si="2436"/>
        <v>0</v>
      </c>
      <c r="Z2388" s="572">
        <f t="shared" si="2482"/>
        <v>0</v>
      </c>
      <c r="AA2388" s="1">
        <f t="shared" si="2483"/>
        <v>0</v>
      </c>
    </row>
    <row r="2389" spans="1:27" x14ac:dyDescent="0.2">
      <c r="A2389" s="20" t="str">
        <f>A1413</f>
        <v>8.12.2.1 Étude sur la création de services d'orientation dans le secondaire</v>
      </c>
      <c r="B2389" s="46"/>
      <c r="C2389" s="386">
        <f>C1413</f>
        <v>0</v>
      </c>
      <c r="D2389" s="168">
        <f t="shared" si="2425"/>
        <v>0</v>
      </c>
      <c r="E2389" s="168">
        <f t="shared" si="2426"/>
        <v>40.4</v>
      </c>
      <c r="F2389" s="168">
        <f t="shared" si="2427"/>
        <v>0</v>
      </c>
      <c r="G2389" s="168">
        <f t="shared" si="2428"/>
        <v>0</v>
      </c>
      <c r="H2389" s="168">
        <f t="shared" si="2429"/>
        <v>0</v>
      </c>
      <c r="I2389" s="166">
        <f t="shared" si="2430"/>
        <v>40.4</v>
      </c>
      <c r="J2389" s="371" t="str">
        <f t="shared" si="2431"/>
        <v>SPACE/EPS/ETP/MAS</v>
      </c>
      <c r="K2389" s="350" t="str">
        <f t="shared" si="2432"/>
        <v>ND</v>
      </c>
      <c r="L2389" s="167">
        <f t="shared" ref="L2389:Q2389" si="2505">L1413</f>
        <v>0</v>
      </c>
      <c r="M2389" s="168">
        <f t="shared" si="2505"/>
        <v>40400</v>
      </c>
      <c r="N2389" s="168">
        <f t="shared" si="2505"/>
        <v>0</v>
      </c>
      <c r="O2389" s="168">
        <f t="shared" si="2505"/>
        <v>0</v>
      </c>
      <c r="P2389" s="168">
        <f t="shared" si="2505"/>
        <v>0</v>
      </c>
      <c r="Q2389" s="168">
        <f t="shared" si="2505"/>
        <v>40400</v>
      </c>
      <c r="R2389" s="205" t="str">
        <f t="shared" ref="R2389:S2389" si="2506">R1413</f>
        <v>SPACE/EPS/ETP/MAS</v>
      </c>
      <c r="S2389" s="183" t="str">
        <f t="shared" si="2506"/>
        <v>ND</v>
      </c>
      <c r="T2389" s="51">
        <f>T1413</f>
        <v>0</v>
      </c>
      <c r="W2389" s="608">
        <f t="shared" si="2435"/>
        <v>40400</v>
      </c>
      <c r="X2389" s="608">
        <f t="shared" si="2436"/>
        <v>0</v>
      </c>
      <c r="Z2389" s="572">
        <f t="shared" si="2482"/>
        <v>0</v>
      </c>
      <c r="AA2389" s="1">
        <f t="shared" si="2483"/>
        <v>0</v>
      </c>
    </row>
    <row r="2390" spans="1:27" x14ac:dyDescent="0.2">
      <c r="A2390" s="20" t="str">
        <f>A1418</f>
        <v>8.12.2.2 Étude sur la réorganisation des services d'orientation des EES</v>
      </c>
      <c r="B2390" s="46"/>
      <c r="C2390" s="386">
        <f>C1418</f>
        <v>0</v>
      </c>
      <c r="D2390" s="168">
        <f t="shared" si="2425"/>
        <v>0</v>
      </c>
      <c r="E2390" s="168">
        <f t="shared" si="2426"/>
        <v>18</v>
      </c>
      <c r="F2390" s="168">
        <f t="shared" si="2427"/>
        <v>0</v>
      </c>
      <c r="G2390" s="168">
        <f t="shared" si="2428"/>
        <v>0</v>
      </c>
      <c r="H2390" s="168">
        <f t="shared" si="2429"/>
        <v>0</v>
      </c>
      <c r="I2390" s="166">
        <f t="shared" si="2430"/>
        <v>18</v>
      </c>
      <c r="J2390" s="371" t="str">
        <f t="shared" si="2431"/>
        <v>MESU-CPE</v>
      </c>
      <c r="K2390" s="350" t="str">
        <f t="shared" si="2432"/>
        <v>ND</v>
      </c>
      <c r="L2390" s="167">
        <f t="shared" ref="L2390:T2390" si="2507">L1418</f>
        <v>0</v>
      </c>
      <c r="M2390" s="168">
        <f t="shared" si="2507"/>
        <v>18000</v>
      </c>
      <c r="N2390" s="168">
        <f t="shared" si="2507"/>
        <v>0</v>
      </c>
      <c r="O2390" s="168">
        <f t="shared" si="2507"/>
        <v>0</v>
      </c>
      <c r="P2390" s="168">
        <f t="shared" si="2507"/>
        <v>0</v>
      </c>
      <c r="Q2390" s="165">
        <f t="shared" si="2507"/>
        <v>18000</v>
      </c>
      <c r="R2390" s="205" t="str">
        <f t="shared" ref="R2390:S2390" si="2508">R1418</f>
        <v>MESU-CPE</v>
      </c>
      <c r="S2390" s="183" t="str">
        <f t="shared" si="2508"/>
        <v>ND</v>
      </c>
      <c r="T2390" s="51">
        <f t="shared" si="2507"/>
        <v>0</v>
      </c>
      <c r="W2390" s="608">
        <f t="shared" si="2435"/>
        <v>18000</v>
      </c>
      <c r="X2390" s="608">
        <f t="shared" si="2436"/>
        <v>0</v>
      </c>
      <c r="Z2390" s="572">
        <f t="shared" si="2482"/>
        <v>0</v>
      </c>
      <c r="AA2390" s="1">
        <f t="shared" si="2483"/>
        <v>0</v>
      </c>
    </row>
    <row r="2391" spans="1:27" x14ac:dyDescent="0.2">
      <c r="A2391" s="20" t="str">
        <f>A1421</f>
        <v>8.12.2.3 Formation des formateurs des services d'orientation des EES</v>
      </c>
      <c r="B2391" s="46"/>
      <c r="C2391" s="386">
        <f>C1421</f>
        <v>0</v>
      </c>
      <c r="D2391" s="168">
        <f t="shared" si="2425"/>
        <v>0</v>
      </c>
      <c r="E2391" s="168">
        <f t="shared" si="2426"/>
        <v>11</v>
      </c>
      <c r="F2391" s="168">
        <f t="shared" si="2427"/>
        <v>0</v>
      </c>
      <c r="G2391" s="168">
        <f t="shared" si="2428"/>
        <v>0</v>
      </c>
      <c r="H2391" s="168">
        <f t="shared" si="2429"/>
        <v>0</v>
      </c>
      <c r="I2391" s="166">
        <f t="shared" si="2430"/>
        <v>11</v>
      </c>
      <c r="J2391" s="371" t="str">
        <f t="shared" si="2431"/>
        <v>MESU-CPE</v>
      </c>
      <c r="K2391" s="350" t="str">
        <f t="shared" si="2432"/>
        <v>ND</v>
      </c>
      <c r="L2391" s="167">
        <f t="shared" ref="L2391:T2391" si="2509">L1421</f>
        <v>0</v>
      </c>
      <c r="M2391" s="168">
        <f t="shared" si="2509"/>
        <v>11000</v>
      </c>
      <c r="N2391" s="168">
        <f t="shared" si="2509"/>
        <v>0</v>
      </c>
      <c r="O2391" s="168">
        <f t="shared" si="2509"/>
        <v>0</v>
      </c>
      <c r="P2391" s="168">
        <f t="shared" si="2509"/>
        <v>0</v>
      </c>
      <c r="Q2391" s="165">
        <f t="shared" si="2509"/>
        <v>11000</v>
      </c>
      <c r="R2391" s="205" t="str">
        <f t="shared" ref="R2391:S2391" si="2510">R1421</f>
        <v>MESU-CPE</v>
      </c>
      <c r="S2391" s="183" t="str">
        <f t="shared" si="2510"/>
        <v>ND</v>
      </c>
      <c r="T2391" s="51">
        <f t="shared" si="2509"/>
        <v>0</v>
      </c>
      <c r="W2391" s="608">
        <f t="shared" si="2435"/>
        <v>11000</v>
      </c>
      <c r="X2391" s="608">
        <f t="shared" si="2436"/>
        <v>0</v>
      </c>
      <c r="Z2391" s="572">
        <f t="shared" si="2482"/>
        <v>0</v>
      </c>
      <c r="AA2391" s="1">
        <f t="shared" si="2483"/>
        <v>0</v>
      </c>
    </row>
    <row r="2392" spans="1:27" x14ac:dyDescent="0.2">
      <c r="A2392" s="20" t="str">
        <f>A1423</f>
        <v>8.12.2.4 Formation des personnels des services d'orientation des EES</v>
      </c>
      <c r="B2392" s="46"/>
      <c r="C2392" s="386">
        <f>C1423</f>
        <v>0</v>
      </c>
      <c r="D2392" s="168">
        <f t="shared" si="2425"/>
        <v>0</v>
      </c>
      <c r="E2392" s="168">
        <f t="shared" si="2426"/>
        <v>22</v>
      </c>
      <c r="F2392" s="168">
        <f t="shared" si="2427"/>
        <v>22</v>
      </c>
      <c r="G2392" s="168">
        <f t="shared" si="2428"/>
        <v>0</v>
      </c>
      <c r="H2392" s="168">
        <f t="shared" si="2429"/>
        <v>0</v>
      </c>
      <c r="I2392" s="166">
        <f t="shared" si="2430"/>
        <v>44</v>
      </c>
      <c r="J2392" s="371" t="str">
        <f t="shared" si="2431"/>
        <v>MESU-CPE</v>
      </c>
      <c r="K2392" s="350">
        <f t="shared" si="2432"/>
        <v>0</v>
      </c>
      <c r="L2392" s="167">
        <f t="shared" ref="L2392:T2392" si="2511">L1423</f>
        <v>0</v>
      </c>
      <c r="M2392" s="168">
        <f t="shared" si="2511"/>
        <v>22000</v>
      </c>
      <c r="N2392" s="168">
        <f t="shared" si="2511"/>
        <v>22000</v>
      </c>
      <c r="O2392" s="168">
        <f t="shared" si="2511"/>
        <v>0</v>
      </c>
      <c r="P2392" s="168">
        <f t="shared" si="2511"/>
        <v>0</v>
      </c>
      <c r="Q2392" s="165">
        <f t="shared" si="2511"/>
        <v>44000</v>
      </c>
      <c r="R2392" s="205" t="str">
        <f t="shared" ref="R2392:S2392" si="2512">R1423</f>
        <v>MESU-CPE</v>
      </c>
      <c r="S2392" s="183">
        <f t="shared" si="2512"/>
        <v>0</v>
      </c>
      <c r="T2392" s="51">
        <f t="shared" si="2511"/>
        <v>0</v>
      </c>
      <c r="W2392" s="608">
        <f t="shared" si="2435"/>
        <v>44000</v>
      </c>
      <c r="X2392" s="608">
        <f t="shared" si="2436"/>
        <v>0</v>
      </c>
      <c r="Z2392" s="572">
        <f t="shared" si="2482"/>
        <v>0</v>
      </c>
      <c r="AA2392" s="1">
        <f t="shared" si="2483"/>
        <v>0</v>
      </c>
    </row>
    <row r="2393" spans="1:27" x14ac:dyDescent="0.2">
      <c r="A2393" s="17" t="str">
        <f>A1425</f>
        <v>8.12.3 Étude réforme du TENAFEP</v>
      </c>
      <c r="B2393" s="45"/>
      <c r="C2393" s="387" t="str">
        <f>C1425</f>
        <v>Étude menée en 2018</v>
      </c>
      <c r="D2393" s="157">
        <f t="shared" si="2425"/>
        <v>0</v>
      </c>
      <c r="E2393" s="168">
        <f t="shared" si="2426"/>
        <v>0</v>
      </c>
      <c r="F2393" s="168">
        <f t="shared" si="2427"/>
        <v>39.25</v>
      </c>
      <c r="G2393" s="168">
        <f t="shared" si="2428"/>
        <v>0</v>
      </c>
      <c r="H2393" s="168">
        <f t="shared" si="2429"/>
        <v>0</v>
      </c>
      <c r="I2393" s="166">
        <f t="shared" si="2430"/>
        <v>39.25</v>
      </c>
      <c r="J2393" s="371">
        <f t="shared" si="2431"/>
        <v>0</v>
      </c>
      <c r="K2393" s="348">
        <f t="shared" si="2432"/>
        <v>0</v>
      </c>
      <c r="L2393" s="35">
        <f t="shared" ref="L2393:S2393" si="2513">SUM(L2394:L2394)</f>
        <v>0</v>
      </c>
      <c r="M2393" s="34">
        <f t="shared" si="2513"/>
        <v>0</v>
      </c>
      <c r="N2393" s="34">
        <f t="shared" si="2513"/>
        <v>39250</v>
      </c>
      <c r="O2393" s="34">
        <f t="shared" si="2513"/>
        <v>0</v>
      </c>
      <c r="P2393" s="34">
        <f t="shared" si="2513"/>
        <v>0</v>
      </c>
      <c r="Q2393" s="26">
        <f t="shared" si="2513"/>
        <v>39250</v>
      </c>
      <c r="R2393" s="521">
        <f t="shared" si="2513"/>
        <v>0</v>
      </c>
      <c r="S2393" s="94">
        <f t="shared" si="2513"/>
        <v>0</v>
      </c>
      <c r="T2393" s="50">
        <f>T1425</f>
        <v>0</v>
      </c>
      <c r="W2393" s="608">
        <f t="shared" si="2435"/>
        <v>39250</v>
      </c>
      <c r="X2393" s="608">
        <f t="shared" si="2436"/>
        <v>0</v>
      </c>
      <c r="Z2393" s="572">
        <f t="shared" si="2482"/>
        <v>0</v>
      </c>
      <c r="AA2393" s="1">
        <f t="shared" si="2483"/>
        <v>0</v>
      </c>
    </row>
    <row r="2394" spans="1:27" x14ac:dyDescent="0.2">
      <c r="A2394" s="20" t="str">
        <f>A1426</f>
        <v>8.12.3.1 Étude sur la réforme du TENAFEP</v>
      </c>
      <c r="B2394" s="46"/>
      <c r="C2394" s="386">
        <f>C1426</f>
        <v>0</v>
      </c>
      <c r="D2394" s="168">
        <f t="shared" si="2425"/>
        <v>0</v>
      </c>
      <c r="E2394" s="168">
        <f t="shared" si="2426"/>
        <v>0</v>
      </c>
      <c r="F2394" s="168">
        <f t="shared" si="2427"/>
        <v>39.25</v>
      </c>
      <c r="G2394" s="168">
        <f t="shared" si="2428"/>
        <v>0</v>
      </c>
      <c r="H2394" s="168">
        <f t="shared" si="2429"/>
        <v>0</v>
      </c>
      <c r="I2394" s="166">
        <f t="shared" si="2430"/>
        <v>39.25</v>
      </c>
      <c r="J2394" s="371" t="str">
        <f t="shared" si="2431"/>
        <v>SPACE</v>
      </c>
      <c r="K2394" s="350">
        <f t="shared" si="2432"/>
        <v>0</v>
      </c>
      <c r="L2394" s="167">
        <f t="shared" ref="L2394:Q2394" si="2514">L1426</f>
        <v>0</v>
      </c>
      <c r="M2394" s="168">
        <f t="shared" si="2514"/>
        <v>0</v>
      </c>
      <c r="N2394" s="168">
        <f t="shared" si="2514"/>
        <v>39250</v>
      </c>
      <c r="O2394" s="168">
        <f t="shared" si="2514"/>
        <v>0</v>
      </c>
      <c r="P2394" s="168">
        <f t="shared" si="2514"/>
        <v>0</v>
      </c>
      <c r="Q2394" s="168">
        <f t="shared" si="2514"/>
        <v>39250</v>
      </c>
      <c r="R2394" s="205" t="str">
        <f t="shared" ref="R2394:S2394" si="2515">R1426</f>
        <v>SPACE</v>
      </c>
      <c r="S2394" s="183">
        <f t="shared" si="2515"/>
        <v>0</v>
      </c>
      <c r="T2394" s="51">
        <f>T1426</f>
        <v>0</v>
      </c>
      <c r="W2394" s="608">
        <f t="shared" si="2435"/>
        <v>39250</v>
      </c>
      <c r="X2394" s="608">
        <f t="shared" si="2436"/>
        <v>0</v>
      </c>
      <c r="Z2394" s="572">
        <f t="shared" si="2482"/>
        <v>0</v>
      </c>
      <c r="AA2394" s="1">
        <f t="shared" si="2483"/>
        <v>0</v>
      </c>
    </row>
    <row r="2395" spans="1:27" x14ac:dyDescent="0.2">
      <c r="A2395" s="14" t="str">
        <f>A1431</f>
        <v>8.13 Redoublements: mettre en place une politique de réduction des redoublements au primaire et d'une nouvelle réglementation des redoublements au secondaire et au supérieur</v>
      </c>
      <c r="B2395" s="44"/>
      <c r="C2395" s="385">
        <f>C1431</f>
        <v>0</v>
      </c>
      <c r="D2395" s="217">
        <f t="shared" si="2425"/>
        <v>116.8</v>
      </c>
      <c r="E2395" s="217">
        <f t="shared" si="2426"/>
        <v>127.3</v>
      </c>
      <c r="F2395" s="217">
        <f t="shared" si="2427"/>
        <v>236.1</v>
      </c>
      <c r="G2395" s="217">
        <f t="shared" si="2428"/>
        <v>0</v>
      </c>
      <c r="H2395" s="217">
        <f t="shared" si="2429"/>
        <v>0</v>
      </c>
      <c r="I2395" s="220">
        <f t="shared" si="2430"/>
        <v>480.2</v>
      </c>
      <c r="J2395" s="373">
        <f t="shared" si="2431"/>
        <v>0</v>
      </c>
      <c r="K2395" s="346">
        <f t="shared" si="2432"/>
        <v>0</v>
      </c>
      <c r="L2395" s="33">
        <f>L2396+L2399+L2401+L2403</f>
        <v>116800</v>
      </c>
      <c r="M2395" s="32">
        <f t="shared" ref="M2395:Q2395" si="2516">M2396+M2399+M2401+M2403</f>
        <v>127300</v>
      </c>
      <c r="N2395" s="32">
        <f t="shared" si="2516"/>
        <v>236100</v>
      </c>
      <c r="O2395" s="32">
        <f t="shared" si="2516"/>
        <v>0</v>
      </c>
      <c r="P2395" s="32">
        <f t="shared" si="2516"/>
        <v>0</v>
      </c>
      <c r="Q2395" s="25">
        <f t="shared" si="2516"/>
        <v>480200</v>
      </c>
      <c r="R2395" s="515">
        <f t="shared" ref="R2395:S2395" si="2517">R2396+R2399+R2401+R2403</f>
        <v>0</v>
      </c>
      <c r="S2395" s="145">
        <f t="shared" si="2517"/>
        <v>0</v>
      </c>
      <c r="T2395" s="49">
        <f>T1431</f>
        <v>3</v>
      </c>
      <c r="W2395" s="608">
        <f t="shared" si="2435"/>
        <v>480200</v>
      </c>
      <c r="X2395" s="608">
        <f t="shared" si="2436"/>
        <v>0</v>
      </c>
      <c r="Z2395" s="572">
        <f t="shared" si="2482"/>
        <v>0</v>
      </c>
      <c r="AA2395" s="1">
        <f t="shared" si="2483"/>
        <v>0</v>
      </c>
    </row>
    <row r="2396" spans="1:27" x14ac:dyDescent="0.2">
      <c r="A2396" s="17" t="str">
        <f>A1432</f>
        <v>8.13.1 Guide pratique sur la question du redoublement au primaire</v>
      </c>
      <c r="B2396" s="45"/>
      <c r="C2396" s="387" t="str">
        <f>C1432</f>
        <v>Guide élaboré en 2016 et diffusé aux établissements</v>
      </c>
      <c r="D2396" s="157">
        <f t="shared" si="2425"/>
        <v>61</v>
      </c>
      <c r="E2396" s="168">
        <f t="shared" si="2426"/>
        <v>46</v>
      </c>
      <c r="F2396" s="168">
        <f t="shared" si="2427"/>
        <v>46</v>
      </c>
      <c r="G2396" s="168">
        <f t="shared" si="2428"/>
        <v>0</v>
      </c>
      <c r="H2396" s="168">
        <f t="shared" si="2429"/>
        <v>0</v>
      </c>
      <c r="I2396" s="166">
        <f t="shared" si="2430"/>
        <v>153</v>
      </c>
      <c r="J2396" s="371">
        <f t="shared" si="2431"/>
        <v>0</v>
      </c>
      <c r="K2396" s="348">
        <f t="shared" si="2432"/>
        <v>0</v>
      </c>
      <c r="L2396" s="35">
        <f t="shared" ref="L2396:Q2396" si="2518">SUM(L2397:L2398)</f>
        <v>61000</v>
      </c>
      <c r="M2396" s="34">
        <f t="shared" si="2518"/>
        <v>46000</v>
      </c>
      <c r="N2396" s="34">
        <f t="shared" si="2518"/>
        <v>46000</v>
      </c>
      <c r="O2396" s="34">
        <f t="shared" si="2518"/>
        <v>0</v>
      </c>
      <c r="P2396" s="34">
        <f t="shared" si="2518"/>
        <v>0</v>
      </c>
      <c r="Q2396" s="26">
        <f t="shared" si="2518"/>
        <v>153000</v>
      </c>
      <c r="R2396" s="209">
        <f t="shared" ref="R2396:S2396" si="2519">SUM(R2397:R2398)</f>
        <v>0</v>
      </c>
      <c r="S2396" s="116">
        <f t="shared" si="2519"/>
        <v>0</v>
      </c>
      <c r="T2396" s="50">
        <f>T1432</f>
        <v>0</v>
      </c>
      <c r="W2396" s="608">
        <f t="shared" si="2435"/>
        <v>153000</v>
      </c>
      <c r="X2396" s="608">
        <f t="shared" si="2436"/>
        <v>0</v>
      </c>
      <c r="Z2396" s="572">
        <f t="shared" si="2482"/>
        <v>0</v>
      </c>
      <c r="AA2396" s="1">
        <f t="shared" si="2483"/>
        <v>0</v>
      </c>
    </row>
    <row r="2397" spans="1:27" x14ac:dyDescent="0.2">
      <c r="A2397" s="20" t="str">
        <f>A1433</f>
        <v>8.13.1.1 Élaboration d'un guide pour les écoles en vue de diminuer les redoublements</v>
      </c>
      <c r="B2397" s="46"/>
      <c r="C2397" s="386">
        <f>C1433</f>
        <v>0</v>
      </c>
      <c r="D2397" s="168">
        <f t="shared" si="2425"/>
        <v>15</v>
      </c>
      <c r="E2397" s="168">
        <f t="shared" si="2426"/>
        <v>0</v>
      </c>
      <c r="F2397" s="168">
        <f t="shared" si="2427"/>
        <v>0</v>
      </c>
      <c r="G2397" s="168">
        <f t="shared" si="2428"/>
        <v>0</v>
      </c>
      <c r="H2397" s="168">
        <f t="shared" si="2429"/>
        <v>0</v>
      </c>
      <c r="I2397" s="166">
        <f t="shared" si="2430"/>
        <v>15</v>
      </c>
      <c r="J2397" s="371" t="str">
        <f t="shared" si="2431"/>
        <v>EPS-DEP</v>
      </c>
      <c r="K2397" s="350" t="str">
        <f t="shared" si="2432"/>
        <v>ND</v>
      </c>
      <c r="L2397" s="167">
        <f t="shared" ref="L2397:Q2397" si="2520">L1433</f>
        <v>15000</v>
      </c>
      <c r="M2397" s="168">
        <f t="shared" si="2520"/>
        <v>0</v>
      </c>
      <c r="N2397" s="168">
        <f t="shared" si="2520"/>
        <v>0</v>
      </c>
      <c r="O2397" s="168">
        <f t="shared" si="2520"/>
        <v>0</v>
      </c>
      <c r="P2397" s="168">
        <f t="shared" si="2520"/>
        <v>0</v>
      </c>
      <c r="Q2397" s="165">
        <f t="shared" si="2520"/>
        <v>15000</v>
      </c>
      <c r="R2397" s="198" t="str">
        <f t="shared" ref="R2397:S2397" si="2521">R1433</f>
        <v>EPS-DEP</v>
      </c>
      <c r="S2397" s="115" t="str">
        <f t="shared" si="2521"/>
        <v>ND</v>
      </c>
      <c r="T2397" s="51">
        <f>T1433</f>
        <v>0</v>
      </c>
      <c r="W2397" s="608">
        <f t="shared" si="2435"/>
        <v>15000</v>
      </c>
      <c r="X2397" s="608">
        <f t="shared" si="2436"/>
        <v>0</v>
      </c>
      <c r="Z2397" s="572">
        <f t="shared" si="2482"/>
        <v>0</v>
      </c>
      <c r="AA2397" s="1">
        <f t="shared" si="2483"/>
        <v>0</v>
      </c>
    </row>
    <row r="2398" spans="1:27" x14ac:dyDescent="0.2">
      <c r="A2398" s="20" t="str">
        <f>A1436</f>
        <v>8.13.1.2 Acquisition et diffusion du guide</v>
      </c>
      <c r="B2398" s="46"/>
      <c r="C2398" s="386">
        <f>C1436</f>
        <v>0</v>
      </c>
      <c r="D2398" s="168">
        <f t="shared" si="2425"/>
        <v>46</v>
      </c>
      <c r="E2398" s="168">
        <f t="shared" si="2426"/>
        <v>46</v>
      </c>
      <c r="F2398" s="168">
        <f t="shared" si="2427"/>
        <v>46</v>
      </c>
      <c r="G2398" s="168">
        <f t="shared" si="2428"/>
        <v>0</v>
      </c>
      <c r="H2398" s="168">
        <f t="shared" si="2429"/>
        <v>0</v>
      </c>
      <c r="I2398" s="166">
        <f t="shared" si="2430"/>
        <v>138</v>
      </c>
      <c r="J2398" s="371" t="str">
        <f t="shared" si="2431"/>
        <v>EPS-DEP</v>
      </c>
      <c r="K2398" s="350" t="str">
        <f t="shared" si="2432"/>
        <v>ND</v>
      </c>
      <c r="L2398" s="167">
        <f t="shared" ref="L2398:T2398" si="2522">L1436</f>
        <v>46000</v>
      </c>
      <c r="M2398" s="168">
        <f t="shared" si="2522"/>
        <v>46000</v>
      </c>
      <c r="N2398" s="168">
        <f t="shared" si="2522"/>
        <v>46000</v>
      </c>
      <c r="O2398" s="168">
        <f t="shared" si="2522"/>
        <v>0</v>
      </c>
      <c r="P2398" s="168">
        <f t="shared" si="2522"/>
        <v>0</v>
      </c>
      <c r="Q2398" s="165">
        <f t="shared" si="2522"/>
        <v>138000</v>
      </c>
      <c r="R2398" s="198" t="str">
        <f t="shared" ref="R2398:S2398" si="2523">R1436</f>
        <v>EPS-DEP</v>
      </c>
      <c r="S2398" s="115" t="str">
        <f t="shared" si="2523"/>
        <v>ND</v>
      </c>
      <c r="T2398" s="51">
        <f t="shared" si="2522"/>
        <v>0</v>
      </c>
      <c r="W2398" s="608">
        <f t="shared" si="2435"/>
        <v>138000</v>
      </c>
      <c r="X2398" s="608">
        <f t="shared" si="2436"/>
        <v>0</v>
      </c>
      <c r="Z2398" s="572">
        <f t="shared" si="2482"/>
        <v>0</v>
      </c>
      <c r="AA2398" s="1">
        <f t="shared" si="2483"/>
        <v>0</v>
      </c>
    </row>
    <row r="2399" spans="1:27" x14ac:dyDescent="0.2">
      <c r="A2399" s="17" t="str">
        <f>A1438</f>
        <v>8.13.2 Campagne de sensibilisation</v>
      </c>
      <c r="B2399" s="45"/>
      <c r="C2399" s="387" t="str">
        <f>C1438</f>
        <v>Tous les directeurs et inspecteurs sensibilisés entre 2016 et 2018</v>
      </c>
      <c r="D2399" s="157">
        <f t="shared" si="2425"/>
        <v>52.5</v>
      </c>
      <c r="E2399" s="168">
        <f t="shared" si="2426"/>
        <v>52.5</v>
      </c>
      <c r="F2399" s="168">
        <f t="shared" si="2427"/>
        <v>52.5</v>
      </c>
      <c r="G2399" s="168">
        <f t="shared" si="2428"/>
        <v>0</v>
      </c>
      <c r="H2399" s="168">
        <f t="shared" si="2429"/>
        <v>0</v>
      </c>
      <c r="I2399" s="166">
        <f t="shared" si="2430"/>
        <v>157.5</v>
      </c>
      <c r="J2399" s="371">
        <f t="shared" si="2431"/>
        <v>0</v>
      </c>
      <c r="K2399" s="348">
        <f t="shared" si="2432"/>
        <v>0</v>
      </c>
      <c r="L2399" s="35">
        <f t="shared" ref="L2399:S2399" si="2524">SUM(L2400:L2400)</f>
        <v>52500</v>
      </c>
      <c r="M2399" s="34">
        <f t="shared" si="2524"/>
        <v>52500</v>
      </c>
      <c r="N2399" s="34">
        <f t="shared" si="2524"/>
        <v>52500</v>
      </c>
      <c r="O2399" s="34">
        <f t="shared" si="2524"/>
        <v>0</v>
      </c>
      <c r="P2399" s="34">
        <f t="shared" si="2524"/>
        <v>0</v>
      </c>
      <c r="Q2399" s="26">
        <f t="shared" si="2524"/>
        <v>157500</v>
      </c>
      <c r="R2399" s="209">
        <f t="shared" si="2524"/>
        <v>0</v>
      </c>
      <c r="S2399" s="116">
        <f t="shared" si="2524"/>
        <v>0</v>
      </c>
      <c r="T2399" s="50">
        <f>T1438</f>
        <v>0</v>
      </c>
      <c r="W2399" s="608">
        <f t="shared" si="2435"/>
        <v>157500</v>
      </c>
      <c r="X2399" s="608">
        <f t="shared" si="2436"/>
        <v>0</v>
      </c>
      <c r="Z2399" s="572">
        <f t="shared" si="2482"/>
        <v>0</v>
      </c>
      <c r="AA2399" s="1">
        <f t="shared" si="2483"/>
        <v>0</v>
      </c>
    </row>
    <row r="2400" spans="1:27" x14ac:dyDescent="0.2">
      <c r="A2400" s="20" t="str">
        <f>A1439</f>
        <v>8.13.2.1 Sensibilisation des directeurs d'écoles et des inspecteurs</v>
      </c>
      <c r="B2400" s="46"/>
      <c r="C2400" s="386">
        <f>C1439</f>
        <v>0</v>
      </c>
      <c r="D2400" s="168">
        <f t="shared" si="2425"/>
        <v>52.5</v>
      </c>
      <c r="E2400" s="168">
        <f t="shared" si="2426"/>
        <v>52.5</v>
      </c>
      <c r="F2400" s="168">
        <f t="shared" si="2427"/>
        <v>52.5</v>
      </c>
      <c r="G2400" s="168">
        <f t="shared" si="2428"/>
        <v>0</v>
      </c>
      <c r="H2400" s="168">
        <f t="shared" si="2429"/>
        <v>0</v>
      </c>
      <c r="I2400" s="166">
        <f t="shared" si="2430"/>
        <v>157.5</v>
      </c>
      <c r="J2400" s="371" t="str">
        <f t="shared" si="2431"/>
        <v>EPS-IG</v>
      </c>
      <c r="K2400" s="350" t="str">
        <f t="shared" si="2432"/>
        <v>ND</v>
      </c>
      <c r="L2400" s="167">
        <f t="shared" ref="L2400:Q2400" si="2525">L1439</f>
        <v>52500</v>
      </c>
      <c r="M2400" s="168">
        <f t="shared" si="2525"/>
        <v>52500</v>
      </c>
      <c r="N2400" s="168">
        <f t="shared" si="2525"/>
        <v>52500</v>
      </c>
      <c r="O2400" s="168">
        <f t="shared" si="2525"/>
        <v>0</v>
      </c>
      <c r="P2400" s="168">
        <f t="shared" si="2525"/>
        <v>0</v>
      </c>
      <c r="Q2400" s="165">
        <f t="shared" si="2525"/>
        <v>157500</v>
      </c>
      <c r="R2400" s="198" t="str">
        <f t="shared" ref="R2400:S2400" si="2526">R1439</f>
        <v>EPS-IG</v>
      </c>
      <c r="S2400" s="115" t="str">
        <f t="shared" si="2526"/>
        <v>ND</v>
      </c>
      <c r="T2400" s="51">
        <f>T1439</f>
        <v>0</v>
      </c>
      <c r="W2400" s="608">
        <f t="shared" si="2435"/>
        <v>157500</v>
      </c>
      <c r="X2400" s="608">
        <f t="shared" si="2436"/>
        <v>0</v>
      </c>
      <c r="Z2400" s="572">
        <f t="shared" si="2482"/>
        <v>0</v>
      </c>
      <c r="AA2400" s="1">
        <f t="shared" si="2483"/>
        <v>0</v>
      </c>
    </row>
    <row r="2401" spans="1:27" x14ac:dyDescent="0.2">
      <c r="A2401" s="122" t="str">
        <f>A1441</f>
        <v>8.13.3 Systématisation du rattrapage</v>
      </c>
      <c r="B2401" s="152"/>
      <c r="C2401" s="390" t="str">
        <f>C1441</f>
        <v>En 2025, tous les directeurs d'écoles maternelles, primaires et secondaires ont reçu une formation</v>
      </c>
      <c r="D2401" s="157">
        <f t="shared" si="2425"/>
        <v>3.3</v>
      </c>
      <c r="E2401" s="168">
        <f t="shared" si="2426"/>
        <v>3.3</v>
      </c>
      <c r="F2401" s="168">
        <f t="shared" si="2427"/>
        <v>0</v>
      </c>
      <c r="G2401" s="168">
        <f t="shared" si="2428"/>
        <v>0</v>
      </c>
      <c r="H2401" s="168">
        <f t="shared" si="2429"/>
        <v>0</v>
      </c>
      <c r="I2401" s="166">
        <f t="shared" si="2430"/>
        <v>6.6</v>
      </c>
      <c r="J2401" s="371">
        <f t="shared" si="2431"/>
        <v>0</v>
      </c>
      <c r="K2401" s="341">
        <f t="shared" si="2432"/>
        <v>0</v>
      </c>
      <c r="L2401" s="35">
        <f t="shared" ref="L2401:S2401" si="2527">SUM(L2402:L2402)</f>
        <v>3300</v>
      </c>
      <c r="M2401" s="34">
        <f t="shared" si="2527"/>
        <v>3300</v>
      </c>
      <c r="N2401" s="34">
        <f t="shared" si="2527"/>
        <v>0</v>
      </c>
      <c r="O2401" s="34">
        <f t="shared" si="2527"/>
        <v>0</v>
      </c>
      <c r="P2401" s="34">
        <f t="shared" si="2527"/>
        <v>0</v>
      </c>
      <c r="Q2401" s="26">
        <f t="shared" si="2527"/>
        <v>6600</v>
      </c>
      <c r="R2401" s="524">
        <f t="shared" si="2527"/>
        <v>0</v>
      </c>
      <c r="S2401" s="208">
        <f t="shared" si="2527"/>
        <v>0</v>
      </c>
      <c r="T2401" s="154">
        <f>T1441</f>
        <v>0</v>
      </c>
      <c r="W2401" s="608">
        <f t="shared" si="2435"/>
        <v>6600</v>
      </c>
      <c r="X2401" s="608">
        <f t="shared" si="2436"/>
        <v>0</v>
      </c>
      <c r="Z2401" s="572">
        <f t="shared" si="2482"/>
        <v>0</v>
      </c>
      <c r="AA2401" s="1">
        <f t="shared" si="2483"/>
        <v>0</v>
      </c>
    </row>
    <row r="2402" spans="1:27" x14ac:dyDescent="0.2">
      <c r="A2402" s="123" t="str">
        <f>A1442</f>
        <v>8.13.3.1 Formation des directeurs d'établissement scolaire au dispositif de rattrapage pour les élèves en difficulté</v>
      </c>
      <c r="B2402" s="202"/>
      <c r="C2402" s="389">
        <f>C1442</f>
        <v>0</v>
      </c>
      <c r="D2402" s="168">
        <f t="shared" si="2425"/>
        <v>3.3</v>
      </c>
      <c r="E2402" s="168">
        <f t="shared" si="2426"/>
        <v>3.3</v>
      </c>
      <c r="F2402" s="168">
        <f t="shared" si="2427"/>
        <v>0</v>
      </c>
      <c r="G2402" s="168">
        <f t="shared" si="2428"/>
        <v>0</v>
      </c>
      <c r="H2402" s="168">
        <f t="shared" si="2429"/>
        <v>0</v>
      </c>
      <c r="I2402" s="166">
        <f t="shared" si="2430"/>
        <v>6.6</v>
      </c>
      <c r="J2402" s="371" t="str">
        <f t="shared" si="2431"/>
        <v>EPS/ETP/MAS</v>
      </c>
      <c r="K2402" s="342" t="str">
        <f t="shared" si="2432"/>
        <v>ND</v>
      </c>
      <c r="L2402" s="167">
        <f t="shared" ref="L2402:Q2402" si="2528">L1442</f>
        <v>3300</v>
      </c>
      <c r="M2402" s="168">
        <f t="shared" si="2528"/>
        <v>3300</v>
      </c>
      <c r="N2402" s="168">
        <f t="shared" si="2528"/>
        <v>0</v>
      </c>
      <c r="O2402" s="168">
        <f t="shared" si="2528"/>
        <v>0</v>
      </c>
      <c r="P2402" s="168">
        <f t="shared" si="2528"/>
        <v>0</v>
      </c>
      <c r="Q2402" s="165">
        <f t="shared" si="2528"/>
        <v>6600</v>
      </c>
      <c r="R2402" s="521" t="str">
        <f t="shared" ref="R2402:S2402" si="2529">R1442</f>
        <v>EPS/ETP/MAS</v>
      </c>
      <c r="S2402" s="94" t="str">
        <f t="shared" si="2529"/>
        <v>ND</v>
      </c>
      <c r="T2402" s="153">
        <f>T1442</f>
        <v>0</v>
      </c>
      <c r="W2402" s="608">
        <f t="shared" si="2435"/>
        <v>6600</v>
      </c>
      <c r="X2402" s="608">
        <f t="shared" si="2436"/>
        <v>0</v>
      </c>
      <c r="Z2402" s="572">
        <f t="shared" si="2482"/>
        <v>0</v>
      </c>
      <c r="AA2402" s="1">
        <f t="shared" si="2483"/>
        <v>0</v>
      </c>
    </row>
    <row r="2403" spans="1:27" x14ac:dyDescent="0.2">
      <c r="A2403" s="17" t="str">
        <f>A1444</f>
        <v>8.13.4 Système de gestion et de suivi des scolarités au secondaire et au supérieur</v>
      </c>
      <c r="B2403" s="45"/>
      <c r="C2403" s="386">
        <f>C1444</f>
        <v>0</v>
      </c>
      <c r="D2403" s="157">
        <f t="shared" si="2425"/>
        <v>0</v>
      </c>
      <c r="E2403" s="168">
        <f t="shared" si="2426"/>
        <v>25.5</v>
      </c>
      <c r="F2403" s="168">
        <f t="shared" si="2427"/>
        <v>137.6</v>
      </c>
      <c r="G2403" s="168">
        <f t="shared" si="2428"/>
        <v>0</v>
      </c>
      <c r="H2403" s="168">
        <f t="shared" si="2429"/>
        <v>0</v>
      </c>
      <c r="I2403" s="166">
        <f t="shared" si="2430"/>
        <v>163.1</v>
      </c>
      <c r="J2403" s="374">
        <f t="shared" si="2431"/>
        <v>0</v>
      </c>
      <c r="K2403" s="348">
        <f t="shared" si="2432"/>
        <v>0</v>
      </c>
      <c r="L2403" s="35">
        <f t="shared" ref="L2403:Q2403" si="2530">SUM(L2404:L2405)</f>
        <v>0</v>
      </c>
      <c r="M2403" s="34">
        <f t="shared" si="2530"/>
        <v>25500</v>
      </c>
      <c r="N2403" s="34">
        <f t="shared" si="2530"/>
        <v>137600</v>
      </c>
      <c r="O2403" s="34">
        <f t="shared" si="2530"/>
        <v>0</v>
      </c>
      <c r="P2403" s="34">
        <f t="shared" si="2530"/>
        <v>0</v>
      </c>
      <c r="Q2403" s="26">
        <f t="shared" si="2530"/>
        <v>163100</v>
      </c>
      <c r="R2403" s="209">
        <f t="shared" ref="R2403:S2403" si="2531">SUM(R2404:R2405)</f>
        <v>0</v>
      </c>
      <c r="S2403" s="116">
        <f t="shared" si="2531"/>
        <v>0</v>
      </c>
      <c r="T2403" s="50">
        <f>T1444</f>
        <v>0</v>
      </c>
      <c r="W2403" s="608">
        <f t="shared" si="2435"/>
        <v>163100</v>
      </c>
      <c r="X2403" s="608">
        <f t="shared" si="2436"/>
        <v>0</v>
      </c>
      <c r="Z2403" s="572">
        <f t="shared" si="2482"/>
        <v>0</v>
      </c>
      <c r="AA2403" s="1">
        <f t="shared" si="2483"/>
        <v>0</v>
      </c>
    </row>
    <row r="2404" spans="1:27" x14ac:dyDescent="0.2">
      <c r="A2404" s="20" t="str">
        <f>A1445</f>
        <v>8.13.4.1 Mise en place d'un système de suivi des carrières scolaires</v>
      </c>
      <c r="B2404" s="46"/>
      <c r="C2404" s="386" t="str">
        <f>C1445</f>
        <v>Étude sur un système de gestion des scolarités en 2017</v>
      </c>
      <c r="D2404" s="168">
        <f t="shared" si="2425"/>
        <v>0</v>
      </c>
      <c r="E2404" s="168">
        <f t="shared" si="2426"/>
        <v>25.5</v>
      </c>
      <c r="F2404" s="168">
        <f t="shared" si="2427"/>
        <v>0</v>
      </c>
      <c r="G2404" s="168">
        <f t="shared" si="2428"/>
        <v>0</v>
      </c>
      <c r="H2404" s="168">
        <f t="shared" si="2429"/>
        <v>0</v>
      </c>
      <c r="I2404" s="166">
        <f t="shared" si="2430"/>
        <v>25.5</v>
      </c>
      <c r="J2404" s="371" t="str">
        <f t="shared" si="2431"/>
        <v>EPS/ESU-DSA-DESP/ETP</v>
      </c>
      <c r="K2404" s="350" t="str">
        <f t="shared" si="2432"/>
        <v>ND</v>
      </c>
      <c r="L2404" s="167">
        <f t="shared" ref="L2404:Q2404" si="2532">L1445</f>
        <v>0</v>
      </c>
      <c r="M2404" s="168">
        <f t="shared" si="2532"/>
        <v>25500</v>
      </c>
      <c r="N2404" s="168">
        <f t="shared" si="2532"/>
        <v>0</v>
      </c>
      <c r="O2404" s="168">
        <f t="shared" si="2532"/>
        <v>0</v>
      </c>
      <c r="P2404" s="168">
        <f t="shared" si="2532"/>
        <v>0</v>
      </c>
      <c r="Q2404" s="165">
        <f t="shared" si="2532"/>
        <v>25500</v>
      </c>
      <c r="R2404" s="198" t="str">
        <f t="shared" ref="R2404:S2404" si="2533">R1445</f>
        <v>EPS/ESU-DSA-DESP/ETP</v>
      </c>
      <c r="S2404" s="115" t="str">
        <f t="shared" si="2533"/>
        <v>ND</v>
      </c>
      <c r="T2404" s="51">
        <f>T1445</f>
        <v>0</v>
      </c>
      <c r="W2404" s="608">
        <f t="shared" si="2435"/>
        <v>25500</v>
      </c>
      <c r="X2404" s="608">
        <f t="shared" si="2436"/>
        <v>0</v>
      </c>
      <c r="Z2404" s="572">
        <f t="shared" si="2482"/>
        <v>0</v>
      </c>
      <c r="AA2404" s="1">
        <f t="shared" si="2483"/>
        <v>0</v>
      </c>
    </row>
    <row r="2405" spans="1:27" x14ac:dyDescent="0.2">
      <c r="A2405" s="20" t="str">
        <f>A1448</f>
        <v>8.13.4.2 Mise en œuvre du dispositif</v>
      </c>
      <c r="B2405" s="46"/>
      <c r="C2405" s="386">
        <f>C1448</f>
        <v>0</v>
      </c>
      <c r="D2405" s="168">
        <f t="shared" si="2425"/>
        <v>0</v>
      </c>
      <c r="E2405" s="168">
        <f t="shared" si="2426"/>
        <v>0</v>
      </c>
      <c r="F2405" s="168">
        <f t="shared" si="2427"/>
        <v>137.6</v>
      </c>
      <c r="G2405" s="168">
        <f t="shared" si="2428"/>
        <v>0</v>
      </c>
      <c r="H2405" s="168">
        <f t="shared" si="2429"/>
        <v>0</v>
      </c>
      <c r="I2405" s="166">
        <f t="shared" si="2430"/>
        <v>137.6</v>
      </c>
      <c r="J2405" s="371" t="str">
        <f t="shared" si="2431"/>
        <v>EPS/ESU-DSA-DESP/ETP</v>
      </c>
      <c r="K2405" s="350" t="str">
        <f t="shared" si="2432"/>
        <v>ND</v>
      </c>
      <c r="L2405" s="167">
        <f t="shared" ref="L2405:T2405" si="2534">L1448</f>
        <v>0</v>
      </c>
      <c r="M2405" s="168">
        <f t="shared" si="2534"/>
        <v>0</v>
      </c>
      <c r="N2405" s="168">
        <f t="shared" si="2534"/>
        <v>137600</v>
      </c>
      <c r="O2405" s="168">
        <f t="shared" si="2534"/>
        <v>0</v>
      </c>
      <c r="P2405" s="168">
        <f t="shared" si="2534"/>
        <v>0</v>
      </c>
      <c r="Q2405" s="165">
        <f t="shared" si="2534"/>
        <v>137600</v>
      </c>
      <c r="R2405" s="198" t="str">
        <f t="shared" ref="R2405:S2405" si="2535">R1448</f>
        <v>EPS/ESU-DSA-DESP/ETP</v>
      </c>
      <c r="S2405" s="115" t="str">
        <f t="shared" si="2535"/>
        <v>ND</v>
      </c>
      <c r="T2405" s="51">
        <f t="shared" si="2534"/>
        <v>0</v>
      </c>
      <c r="W2405" s="608">
        <f t="shared" si="2435"/>
        <v>137600</v>
      </c>
      <c r="X2405" s="608">
        <f t="shared" si="2436"/>
        <v>0</v>
      </c>
      <c r="Z2405" s="572">
        <f t="shared" si="2482"/>
        <v>0</v>
      </c>
      <c r="AA2405" s="1">
        <f t="shared" si="2483"/>
        <v>0</v>
      </c>
    </row>
    <row r="2406" spans="1:27" x14ac:dyDescent="0.2">
      <c r="A2406" s="14" t="str">
        <f>A1451</f>
        <v>8.14 Scolarisation des filles : Encourager la scolarisation des filles</v>
      </c>
      <c r="B2406" s="44"/>
      <c r="C2406" s="385">
        <f>C1451</f>
        <v>0</v>
      </c>
      <c r="D2406" s="217">
        <f t="shared" si="2425"/>
        <v>629.6</v>
      </c>
      <c r="E2406" s="217">
        <f t="shared" si="2426"/>
        <v>585.31299999999999</v>
      </c>
      <c r="F2406" s="217">
        <f t="shared" si="2427"/>
        <v>586.31299999999999</v>
      </c>
      <c r="G2406" s="217">
        <f t="shared" si="2428"/>
        <v>482.25</v>
      </c>
      <c r="H2406" s="217">
        <f t="shared" si="2429"/>
        <v>512.25</v>
      </c>
      <c r="I2406" s="220">
        <f t="shared" si="2430"/>
        <v>2795.7260000000001</v>
      </c>
      <c r="J2406" s="373">
        <f t="shared" si="2431"/>
        <v>0</v>
      </c>
      <c r="K2406" s="346">
        <f t="shared" si="2432"/>
        <v>0</v>
      </c>
      <c r="L2406" s="33">
        <f t="shared" ref="L2406:Q2406" si="2536">L2407+L2411+L2415+L2418+L2421</f>
        <v>629600</v>
      </c>
      <c r="M2406" s="32">
        <f t="shared" si="2536"/>
        <v>585313</v>
      </c>
      <c r="N2406" s="32">
        <f t="shared" si="2536"/>
        <v>586313</v>
      </c>
      <c r="O2406" s="32">
        <f t="shared" si="2536"/>
        <v>482250</v>
      </c>
      <c r="P2406" s="32">
        <f t="shared" si="2536"/>
        <v>512250</v>
      </c>
      <c r="Q2406" s="25">
        <f t="shared" si="2536"/>
        <v>2795726</v>
      </c>
      <c r="R2406" s="515">
        <f t="shared" ref="R2406:S2406" si="2537">R2407+R2411+R2415+R2418+R2421</f>
        <v>0</v>
      </c>
      <c r="S2406" s="145">
        <f t="shared" si="2537"/>
        <v>0</v>
      </c>
      <c r="T2406" s="49">
        <f>T1451</f>
        <v>3</v>
      </c>
      <c r="W2406" s="608">
        <f t="shared" si="2435"/>
        <v>2795726</v>
      </c>
      <c r="X2406" s="608">
        <f t="shared" si="2436"/>
        <v>0</v>
      </c>
      <c r="Z2406" s="572">
        <f t="shared" si="2482"/>
        <v>0</v>
      </c>
      <c r="AA2406" s="1">
        <f t="shared" si="2483"/>
        <v>0</v>
      </c>
    </row>
    <row r="2407" spans="1:27" x14ac:dyDescent="0.2">
      <c r="A2407" s="17" t="str">
        <f>A1452</f>
        <v>8.14.1 Actions de communication pour agir sur les comportements</v>
      </c>
      <c r="B2407" s="45"/>
      <c r="C2407" s="386" t="str">
        <f>C1452</f>
        <v>Un plan de communication est établi et des actions menées dans les médias</v>
      </c>
      <c r="D2407" s="157">
        <f t="shared" si="2425"/>
        <v>220.9</v>
      </c>
      <c r="E2407" s="157">
        <f t="shared" si="2426"/>
        <v>104.8</v>
      </c>
      <c r="F2407" s="157">
        <f t="shared" si="2427"/>
        <v>104.8</v>
      </c>
      <c r="G2407" s="157">
        <f t="shared" si="2428"/>
        <v>104.8</v>
      </c>
      <c r="H2407" s="157">
        <f t="shared" si="2429"/>
        <v>104.8</v>
      </c>
      <c r="I2407" s="160">
        <f t="shared" si="2430"/>
        <v>640.1</v>
      </c>
      <c r="J2407" s="374">
        <f t="shared" si="2431"/>
        <v>0</v>
      </c>
      <c r="K2407" s="348">
        <f t="shared" si="2432"/>
        <v>0</v>
      </c>
      <c r="L2407" s="35">
        <f t="shared" ref="L2407:Q2407" si="2538">SUM(L2408:L2410)</f>
        <v>220900</v>
      </c>
      <c r="M2407" s="34">
        <f t="shared" si="2538"/>
        <v>104800</v>
      </c>
      <c r="N2407" s="34">
        <f t="shared" si="2538"/>
        <v>104800</v>
      </c>
      <c r="O2407" s="34">
        <f t="shared" si="2538"/>
        <v>104800</v>
      </c>
      <c r="P2407" s="34">
        <f t="shared" si="2538"/>
        <v>104800</v>
      </c>
      <c r="Q2407" s="26">
        <f t="shared" si="2538"/>
        <v>640100</v>
      </c>
      <c r="R2407" s="209">
        <f t="shared" ref="R2407:S2407" si="2539">SUM(R2408:R2410)</f>
        <v>0</v>
      </c>
      <c r="S2407" s="116">
        <f t="shared" si="2539"/>
        <v>0</v>
      </c>
      <c r="T2407" s="50">
        <f>T1452</f>
        <v>0</v>
      </c>
      <c r="W2407" s="608">
        <f t="shared" si="2435"/>
        <v>640100</v>
      </c>
      <c r="X2407" s="608">
        <f t="shared" si="2436"/>
        <v>0</v>
      </c>
      <c r="Z2407" s="572">
        <f t="shared" si="2482"/>
        <v>0</v>
      </c>
      <c r="AA2407" s="1">
        <f t="shared" si="2483"/>
        <v>0</v>
      </c>
    </row>
    <row r="2408" spans="1:27" x14ac:dyDescent="0.2">
      <c r="A2408" s="20" t="str">
        <f>A1453</f>
        <v>8.14.1.1 Définir un plan de communication spécifique à la scolarisation des filles</v>
      </c>
      <c r="B2408" s="46"/>
      <c r="C2408" s="386">
        <f>C1453</f>
        <v>0</v>
      </c>
      <c r="D2408" s="168">
        <f t="shared" si="2425"/>
        <v>22.1</v>
      </c>
      <c r="E2408" s="168">
        <f t="shared" si="2426"/>
        <v>0</v>
      </c>
      <c r="F2408" s="168">
        <f t="shared" si="2427"/>
        <v>0</v>
      </c>
      <c r="G2408" s="168">
        <f t="shared" si="2428"/>
        <v>0</v>
      </c>
      <c r="H2408" s="168">
        <f t="shared" si="2429"/>
        <v>0</v>
      </c>
      <c r="I2408" s="166">
        <f t="shared" si="2430"/>
        <v>22.1</v>
      </c>
      <c r="J2408" s="371" t="str">
        <f t="shared" si="2431"/>
        <v>CGC/EVF/DGENF/CC(MTFP et MESU-DEP)</v>
      </c>
      <c r="K2408" s="350" t="str">
        <f t="shared" si="2432"/>
        <v>USAID/DFID</v>
      </c>
      <c r="L2408" s="167">
        <f t="shared" ref="L2408:Q2408" si="2540">L1453</f>
        <v>22100</v>
      </c>
      <c r="M2408" s="168">
        <f t="shared" si="2540"/>
        <v>0</v>
      </c>
      <c r="N2408" s="168">
        <f t="shared" si="2540"/>
        <v>0</v>
      </c>
      <c r="O2408" s="168">
        <f t="shared" si="2540"/>
        <v>0</v>
      </c>
      <c r="P2408" s="168">
        <f t="shared" si="2540"/>
        <v>0</v>
      </c>
      <c r="Q2408" s="168">
        <f t="shared" si="2540"/>
        <v>22100</v>
      </c>
      <c r="R2408" s="198" t="str">
        <f t="shared" ref="R2408:S2408" si="2541">R1453</f>
        <v>CGC/EVF/DGENF/CC(MTFP et MESU-DEP)</v>
      </c>
      <c r="S2408" s="115" t="str">
        <f t="shared" si="2541"/>
        <v>USAID/DFID</v>
      </c>
      <c r="T2408" s="51">
        <f>T1453</f>
        <v>0</v>
      </c>
      <c r="W2408" s="608">
        <f t="shared" si="2435"/>
        <v>22100</v>
      </c>
      <c r="X2408" s="608">
        <f t="shared" si="2436"/>
        <v>0</v>
      </c>
      <c r="Z2408" s="572">
        <f t="shared" si="2482"/>
        <v>0</v>
      </c>
      <c r="AA2408" s="1">
        <f t="shared" si="2483"/>
        <v>0</v>
      </c>
    </row>
    <row r="2409" spans="1:27" x14ac:dyDescent="0.2">
      <c r="A2409" s="20" t="str">
        <f>A1457</f>
        <v>8.14.1.2 Développer des outils et des supports</v>
      </c>
      <c r="B2409" s="46"/>
      <c r="C2409" s="386">
        <f>C1457</f>
        <v>0</v>
      </c>
      <c r="D2409" s="168">
        <f t="shared" si="2425"/>
        <v>71.3</v>
      </c>
      <c r="E2409" s="168">
        <f t="shared" si="2426"/>
        <v>52.3</v>
      </c>
      <c r="F2409" s="168">
        <f t="shared" si="2427"/>
        <v>52.3</v>
      </c>
      <c r="G2409" s="168">
        <f t="shared" si="2428"/>
        <v>52.3</v>
      </c>
      <c r="H2409" s="168">
        <f t="shared" si="2429"/>
        <v>52.3</v>
      </c>
      <c r="I2409" s="166">
        <f t="shared" si="2430"/>
        <v>280.5</v>
      </c>
      <c r="J2409" s="371" t="str">
        <f t="shared" si="2431"/>
        <v>CGC/EVF/DGENF/CC(MTFP et MESU-DEP)</v>
      </c>
      <c r="K2409" s="350" t="str">
        <f t="shared" si="2432"/>
        <v>USAID/DFID</v>
      </c>
      <c r="L2409" s="167">
        <f t="shared" ref="L2409:T2409" si="2542">L1457</f>
        <v>71300</v>
      </c>
      <c r="M2409" s="168">
        <f t="shared" si="2542"/>
        <v>52300</v>
      </c>
      <c r="N2409" s="168">
        <f t="shared" si="2542"/>
        <v>52300</v>
      </c>
      <c r="O2409" s="168">
        <f t="shared" si="2542"/>
        <v>52300</v>
      </c>
      <c r="P2409" s="168">
        <f t="shared" si="2542"/>
        <v>52300</v>
      </c>
      <c r="Q2409" s="168">
        <f t="shared" si="2542"/>
        <v>280500</v>
      </c>
      <c r="R2409" s="198" t="str">
        <f t="shared" ref="R2409:S2409" si="2543">R1457</f>
        <v>CGC/EVF/DGENF/CC(MTFP et MESU-DEP)</v>
      </c>
      <c r="S2409" s="115" t="str">
        <f t="shared" si="2543"/>
        <v>USAID/DFID</v>
      </c>
      <c r="T2409" s="51">
        <f t="shared" si="2542"/>
        <v>0</v>
      </c>
      <c r="W2409" s="608">
        <f t="shared" si="2435"/>
        <v>280500</v>
      </c>
      <c r="X2409" s="608">
        <f t="shared" si="2436"/>
        <v>0</v>
      </c>
      <c r="Z2409" s="572">
        <f t="shared" si="2482"/>
        <v>0</v>
      </c>
      <c r="AA2409" s="1">
        <f t="shared" si="2483"/>
        <v>0</v>
      </c>
    </row>
    <row r="2410" spans="1:27" x14ac:dyDescent="0.2">
      <c r="A2410" s="20" t="str">
        <f>A1463</f>
        <v>8.14.1.3 Assurer des campagnes de sensibilisation et de communication</v>
      </c>
      <c r="B2410" s="46"/>
      <c r="C2410" s="386">
        <f>C1463</f>
        <v>0</v>
      </c>
      <c r="D2410" s="168">
        <f t="shared" si="2425"/>
        <v>127.5</v>
      </c>
      <c r="E2410" s="168">
        <f t="shared" si="2426"/>
        <v>52.5</v>
      </c>
      <c r="F2410" s="168">
        <f t="shared" si="2427"/>
        <v>52.5</v>
      </c>
      <c r="G2410" s="168">
        <f t="shared" si="2428"/>
        <v>52.5</v>
      </c>
      <c r="H2410" s="168">
        <f t="shared" si="2429"/>
        <v>52.5</v>
      </c>
      <c r="I2410" s="166">
        <f t="shared" si="2430"/>
        <v>337.5</v>
      </c>
      <c r="J2410" s="371" t="str">
        <f t="shared" si="2431"/>
        <v>CGC/EVF/DGENF/CC(MTFP et MESU-DEP)</v>
      </c>
      <c r="K2410" s="350" t="str">
        <f t="shared" si="2432"/>
        <v>USAID/DFID</v>
      </c>
      <c r="L2410" s="167">
        <f t="shared" ref="L2410:T2410" si="2544">L1463</f>
        <v>127500</v>
      </c>
      <c r="M2410" s="168">
        <f t="shared" si="2544"/>
        <v>52500</v>
      </c>
      <c r="N2410" s="168">
        <f t="shared" si="2544"/>
        <v>52500</v>
      </c>
      <c r="O2410" s="168">
        <f t="shared" si="2544"/>
        <v>52500</v>
      </c>
      <c r="P2410" s="168">
        <f t="shared" si="2544"/>
        <v>52500</v>
      </c>
      <c r="Q2410" s="165">
        <f t="shared" si="2544"/>
        <v>337500</v>
      </c>
      <c r="R2410" s="198" t="str">
        <f t="shared" ref="R2410:S2410" si="2545">R1463</f>
        <v>CGC/EVF/DGENF/CC(MTFP et MESU-DEP)</v>
      </c>
      <c r="S2410" s="115" t="str">
        <f t="shared" si="2545"/>
        <v>USAID/DFID</v>
      </c>
      <c r="T2410" s="51">
        <f t="shared" si="2544"/>
        <v>0</v>
      </c>
      <c r="W2410" s="608">
        <f t="shared" si="2435"/>
        <v>337500</v>
      </c>
      <c r="X2410" s="608">
        <f t="shared" si="2436"/>
        <v>0</v>
      </c>
      <c r="Z2410" s="572">
        <f t="shared" si="2482"/>
        <v>0</v>
      </c>
      <c r="AA2410" s="1">
        <f t="shared" si="2483"/>
        <v>0</v>
      </c>
    </row>
    <row r="2411" spans="1:27" x14ac:dyDescent="0.2">
      <c r="A2411" s="17" t="str">
        <f>A1466</f>
        <v xml:space="preserve">8.14.2 Code de conduite et sanctions contre les violences </v>
      </c>
      <c r="B2411" s="45"/>
      <c r="C2411" s="386" t="str">
        <f>C1466</f>
        <v>Les cas de violence sont systématiquement rapportés et les dossiers instruits</v>
      </c>
      <c r="D2411" s="157">
        <f t="shared" si="2425"/>
        <v>179.5</v>
      </c>
      <c r="E2411" s="157">
        <f t="shared" si="2426"/>
        <v>125</v>
      </c>
      <c r="F2411" s="157">
        <f t="shared" si="2427"/>
        <v>155</v>
      </c>
      <c r="G2411" s="157">
        <f t="shared" si="2428"/>
        <v>185</v>
      </c>
      <c r="H2411" s="157">
        <f t="shared" si="2429"/>
        <v>215</v>
      </c>
      <c r="I2411" s="160">
        <f t="shared" si="2430"/>
        <v>859.5</v>
      </c>
      <c r="J2411" s="374">
        <f t="shared" si="2431"/>
        <v>0</v>
      </c>
      <c r="K2411" s="348">
        <f t="shared" si="2432"/>
        <v>0</v>
      </c>
      <c r="L2411" s="35">
        <f t="shared" ref="L2411:Q2411" si="2546">SUM(L2412:L2414)</f>
        <v>179500</v>
      </c>
      <c r="M2411" s="34">
        <f t="shared" si="2546"/>
        <v>125000</v>
      </c>
      <c r="N2411" s="34">
        <f t="shared" si="2546"/>
        <v>155000</v>
      </c>
      <c r="O2411" s="34">
        <f t="shared" si="2546"/>
        <v>185000</v>
      </c>
      <c r="P2411" s="34">
        <f t="shared" si="2546"/>
        <v>215000</v>
      </c>
      <c r="Q2411" s="26">
        <f t="shared" si="2546"/>
        <v>859500</v>
      </c>
      <c r="R2411" s="209">
        <f t="shared" ref="R2411:S2411" si="2547">SUM(R2412:R2414)</f>
        <v>0</v>
      </c>
      <c r="S2411" s="116">
        <f t="shared" si="2547"/>
        <v>0</v>
      </c>
      <c r="T2411" s="50">
        <f>T1466</f>
        <v>0</v>
      </c>
      <c r="W2411" s="608">
        <f t="shared" si="2435"/>
        <v>859500</v>
      </c>
      <c r="X2411" s="608">
        <f t="shared" si="2436"/>
        <v>0</v>
      </c>
      <c r="Z2411" s="572">
        <f t="shared" si="2482"/>
        <v>0</v>
      </c>
      <c r="AA2411" s="1">
        <f t="shared" si="2483"/>
        <v>0</v>
      </c>
    </row>
    <row r="2412" spans="1:27" x14ac:dyDescent="0.2">
      <c r="A2412" s="20" t="str">
        <f>A1467</f>
        <v>8.14.2.1 Élaboration et adoption d'un code de conduite unique</v>
      </c>
      <c r="B2412" s="46"/>
      <c r="C2412" s="386">
        <f>C1467</f>
        <v>0</v>
      </c>
      <c r="D2412" s="168">
        <f t="shared" si="2425"/>
        <v>9.5</v>
      </c>
      <c r="E2412" s="168">
        <f t="shared" si="2426"/>
        <v>0</v>
      </c>
      <c r="F2412" s="168">
        <f t="shared" si="2427"/>
        <v>0</v>
      </c>
      <c r="G2412" s="168">
        <f t="shared" si="2428"/>
        <v>0</v>
      </c>
      <c r="H2412" s="168">
        <f t="shared" si="2429"/>
        <v>0</v>
      </c>
      <c r="I2412" s="166">
        <f t="shared" si="2430"/>
        <v>9.5</v>
      </c>
      <c r="J2412" s="371" t="str">
        <f t="shared" si="2431"/>
        <v>SPACE</v>
      </c>
      <c r="K2412" s="350" t="str">
        <f t="shared" si="2432"/>
        <v>USAID/DFID</v>
      </c>
      <c r="L2412" s="167">
        <f t="shared" ref="L2412:Q2412" si="2548">L1467</f>
        <v>9500</v>
      </c>
      <c r="M2412" s="168">
        <f t="shared" si="2548"/>
        <v>0</v>
      </c>
      <c r="N2412" s="168">
        <f t="shared" si="2548"/>
        <v>0</v>
      </c>
      <c r="O2412" s="168">
        <f t="shared" si="2548"/>
        <v>0</v>
      </c>
      <c r="P2412" s="168">
        <f t="shared" si="2548"/>
        <v>0</v>
      </c>
      <c r="Q2412" s="165">
        <f t="shared" si="2548"/>
        <v>9500</v>
      </c>
      <c r="R2412" s="198" t="str">
        <f t="shared" ref="R2412:S2412" si="2549">R1467</f>
        <v>SPACE</v>
      </c>
      <c r="S2412" s="115" t="str">
        <f t="shared" si="2549"/>
        <v>USAID/DFID</v>
      </c>
      <c r="T2412" s="51">
        <f>T1467</f>
        <v>0</v>
      </c>
      <c r="W2412" s="608">
        <f t="shared" si="2435"/>
        <v>9500</v>
      </c>
      <c r="X2412" s="608">
        <f t="shared" si="2436"/>
        <v>0</v>
      </c>
      <c r="Z2412" s="572">
        <f t="shared" si="2482"/>
        <v>0</v>
      </c>
      <c r="AA2412" s="1">
        <f t="shared" si="2483"/>
        <v>0</v>
      </c>
    </row>
    <row r="2413" spans="1:27" x14ac:dyDescent="0.2">
      <c r="A2413" s="20" t="str">
        <f>A1470</f>
        <v>8.14.2.2 Vulgarisation des principes du code de conduite</v>
      </c>
      <c r="B2413" s="46"/>
      <c r="C2413" s="386">
        <f>C1470</f>
        <v>0</v>
      </c>
      <c r="D2413" s="168">
        <f t="shared" si="2425"/>
        <v>72.5</v>
      </c>
      <c r="E2413" s="168">
        <f t="shared" si="2426"/>
        <v>35</v>
      </c>
      <c r="F2413" s="168">
        <f t="shared" si="2427"/>
        <v>35</v>
      </c>
      <c r="G2413" s="168">
        <f t="shared" si="2428"/>
        <v>35</v>
      </c>
      <c r="H2413" s="168">
        <f t="shared" si="2429"/>
        <v>35</v>
      </c>
      <c r="I2413" s="166">
        <f t="shared" si="2430"/>
        <v>212.5</v>
      </c>
      <c r="J2413" s="371" t="str">
        <f t="shared" si="2431"/>
        <v>SPACE</v>
      </c>
      <c r="K2413" s="350" t="str">
        <f t="shared" si="2432"/>
        <v>USAID/DFID</v>
      </c>
      <c r="L2413" s="167">
        <f t="shared" ref="L2413:T2413" si="2550">L1470</f>
        <v>72500</v>
      </c>
      <c r="M2413" s="168">
        <f t="shared" si="2550"/>
        <v>35000</v>
      </c>
      <c r="N2413" s="168">
        <f t="shared" si="2550"/>
        <v>35000</v>
      </c>
      <c r="O2413" s="168">
        <f t="shared" si="2550"/>
        <v>35000</v>
      </c>
      <c r="P2413" s="168">
        <f t="shared" si="2550"/>
        <v>35000</v>
      </c>
      <c r="Q2413" s="165">
        <f t="shared" si="2550"/>
        <v>212500</v>
      </c>
      <c r="R2413" s="198" t="str">
        <f t="shared" ref="R2413:S2413" si="2551">R1470</f>
        <v>SPACE</v>
      </c>
      <c r="S2413" s="115" t="str">
        <f t="shared" si="2551"/>
        <v>USAID/DFID</v>
      </c>
      <c r="T2413" s="51">
        <f t="shared" si="2550"/>
        <v>0</v>
      </c>
      <c r="W2413" s="608">
        <f t="shared" si="2435"/>
        <v>212500</v>
      </c>
      <c r="X2413" s="608">
        <f t="shared" si="2436"/>
        <v>0</v>
      </c>
      <c r="Z2413" s="572">
        <f t="shared" si="2482"/>
        <v>0</v>
      </c>
      <c r="AA2413" s="1">
        <f t="shared" si="2483"/>
        <v>0</v>
      </c>
    </row>
    <row r="2414" spans="1:27" x14ac:dyDescent="0.2">
      <c r="A2414" s="20" t="str">
        <f>A1473</f>
        <v xml:space="preserve">8.14.2.3 Élargissement de l'expérience "Points focaux genre" : Identification des cas de violence dans les écoles et mise en place de mécanisme de suivi des dossiers et de références des victimes </v>
      </c>
      <c r="B2414" s="46"/>
      <c r="C2414" s="386">
        <f>C1473</f>
        <v>0</v>
      </c>
      <c r="D2414" s="168">
        <f t="shared" si="2425"/>
        <v>97.5</v>
      </c>
      <c r="E2414" s="168">
        <f t="shared" si="2426"/>
        <v>90</v>
      </c>
      <c r="F2414" s="168">
        <f t="shared" si="2427"/>
        <v>120</v>
      </c>
      <c r="G2414" s="168">
        <f t="shared" si="2428"/>
        <v>150</v>
      </c>
      <c r="H2414" s="168">
        <f t="shared" si="2429"/>
        <v>180</v>
      </c>
      <c r="I2414" s="166">
        <f t="shared" si="2430"/>
        <v>637.5</v>
      </c>
      <c r="J2414" s="371" t="str">
        <f t="shared" si="2431"/>
        <v>SPACE</v>
      </c>
      <c r="K2414" s="350" t="str">
        <f t="shared" si="2432"/>
        <v>USAID/DFID</v>
      </c>
      <c r="L2414" s="167">
        <f t="shared" ref="L2414:T2414" si="2552">L1473</f>
        <v>97500</v>
      </c>
      <c r="M2414" s="168">
        <f t="shared" si="2552"/>
        <v>90000</v>
      </c>
      <c r="N2414" s="168">
        <f t="shared" si="2552"/>
        <v>120000</v>
      </c>
      <c r="O2414" s="168">
        <f t="shared" si="2552"/>
        <v>150000</v>
      </c>
      <c r="P2414" s="168">
        <f t="shared" si="2552"/>
        <v>180000</v>
      </c>
      <c r="Q2414" s="165">
        <f t="shared" si="2552"/>
        <v>637500</v>
      </c>
      <c r="R2414" s="198" t="str">
        <f t="shared" ref="R2414:S2414" si="2553">R1473</f>
        <v>SPACE</v>
      </c>
      <c r="S2414" s="115" t="str">
        <f t="shared" si="2553"/>
        <v>USAID/DFID</v>
      </c>
      <c r="T2414" s="51">
        <f t="shared" si="2552"/>
        <v>0</v>
      </c>
      <c r="W2414" s="608">
        <f t="shared" si="2435"/>
        <v>637500</v>
      </c>
      <c r="X2414" s="608">
        <f t="shared" si="2436"/>
        <v>0</v>
      </c>
      <c r="Z2414" s="572">
        <f t="shared" si="2482"/>
        <v>0</v>
      </c>
      <c r="AA2414" s="1">
        <f t="shared" si="2483"/>
        <v>0</v>
      </c>
    </row>
    <row r="2415" spans="1:27" x14ac:dyDescent="0.2">
      <c r="A2415" s="17" t="str">
        <f>A1476</f>
        <v>8.14.3 Proposition de modèles féminins inspirants</v>
      </c>
      <c r="B2415" s="45"/>
      <c r="C2415" s="386" t="str">
        <f>C1476</f>
        <v>Encourager le recrutement de femmes enseignantes</v>
      </c>
      <c r="D2415" s="157">
        <f t="shared" si="2425"/>
        <v>22</v>
      </c>
      <c r="E2415" s="157">
        <f t="shared" si="2426"/>
        <v>38</v>
      </c>
      <c r="F2415" s="157">
        <f t="shared" si="2427"/>
        <v>57</v>
      </c>
      <c r="G2415" s="157">
        <f t="shared" si="2428"/>
        <v>57</v>
      </c>
      <c r="H2415" s="157">
        <f t="shared" si="2429"/>
        <v>57</v>
      </c>
      <c r="I2415" s="160">
        <f t="shared" si="2430"/>
        <v>231</v>
      </c>
      <c r="J2415" s="374">
        <f t="shared" si="2431"/>
        <v>0</v>
      </c>
      <c r="K2415" s="348">
        <f t="shared" si="2432"/>
        <v>0</v>
      </c>
      <c r="L2415" s="35">
        <f t="shared" ref="L2415:Q2415" si="2554">SUM(L2416:L2417)</f>
        <v>22000</v>
      </c>
      <c r="M2415" s="34">
        <f t="shared" si="2554"/>
        <v>38000</v>
      </c>
      <c r="N2415" s="34">
        <f t="shared" si="2554"/>
        <v>57000</v>
      </c>
      <c r="O2415" s="34">
        <f t="shared" si="2554"/>
        <v>57000</v>
      </c>
      <c r="P2415" s="34">
        <f t="shared" si="2554"/>
        <v>57000</v>
      </c>
      <c r="Q2415" s="26">
        <f t="shared" si="2554"/>
        <v>231000</v>
      </c>
      <c r="R2415" s="209">
        <f t="shared" ref="R2415:S2415" si="2555">SUM(R2416:R2417)</f>
        <v>0</v>
      </c>
      <c r="S2415" s="116">
        <f t="shared" si="2555"/>
        <v>0</v>
      </c>
      <c r="T2415" s="50">
        <f>T1476</f>
        <v>0</v>
      </c>
      <c r="W2415" s="608">
        <f t="shared" si="2435"/>
        <v>231000</v>
      </c>
      <c r="X2415" s="608">
        <f t="shared" si="2436"/>
        <v>0</v>
      </c>
      <c r="Z2415" s="572">
        <f t="shared" si="2482"/>
        <v>0</v>
      </c>
      <c r="AA2415" s="1">
        <f t="shared" si="2483"/>
        <v>0</v>
      </c>
    </row>
    <row r="2416" spans="1:27" x14ac:dyDescent="0.2">
      <c r="A2416" s="20" t="str">
        <f>A1477</f>
        <v>8.14.3.1 Discrimination positive au recrutement dans la fonction d'enseignement</v>
      </c>
      <c r="B2416" s="46"/>
      <c r="C2416" s="386">
        <f>C1477</f>
        <v>0</v>
      </c>
      <c r="D2416" s="168">
        <f t="shared" si="2425"/>
        <v>3</v>
      </c>
      <c r="E2416" s="168">
        <f t="shared" si="2426"/>
        <v>0</v>
      </c>
      <c r="F2416" s="168">
        <f t="shared" si="2427"/>
        <v>0</v>
      </c>
      <c r="G2416" s="168">
        <f t="shared" si="2428"/>
        <v>0</v>
      </c>
      <c r="H2416" s="168">
        <f t="shared" si="2429"/>
        <v>0</v>
      </c>
      <c r="I2416" s="166">
        <f t="shared" si="2430"/>
        <v>3</v>
      </c>
      <c r="J2416" s="371" t="str">
        <f t="shared" si="2431"/>
        <v>SPACE</v>
      </c>
      <c r="K2416" s="350" t="str">
        <f t="shared" si="2432"/>
        <v>USAID/DFID</v>
      </c>
      <c r="L2416" s="167">
        <f t="shared" ref="L2416:Q2416" si="2556">L1477</f>
        <v>3000</v>
      </c>
      <c r="M2416" s="168">
        <f t="shared" si="2556"/>
        <v>0</v>
      </c>
      <c r="N2416" s="168">
        <f t="shared" si="2556"/>
        <v>0</v>
      </c>
      <c r="O2416" s="168">
        <f t="shared" si="2556"/>
        <v>0</v>
      </c>
      <c r="P2416" s="168">
        <f t="shared" si="2556"/>
        <v>0</v>
      </c>
      <c r="Q2416" s="165">
        <f t="shared" si="2556"/>
        <v>3000</v>
      </c>
      <c r="R2416" s="198" t="str">
        <f t="shared" ref="R2416:S2416" si="2557">R1477</f>
        <v>SPACE</v>
      </c>
      <c r="S2416" s="115" t="str">
        <f t="shared" si="2557"/>
        <v>USAID/DFID</v>
      </c>
      <c r="T2416" s="51">
        <f>T1477</f>
        <v>0</v>
      </c>
      <c r="W2416" s="608">
        <f t="shared" si="2435"/>
        <v>3000</v>
      </c>
      <c r="X2416" s="608">
        <f t="shared" si="2436"/>
        <v>0</v>
      </c>
      <c r="Z2416" s="572">
        <f t="shared" si="2482"/>
        <v>0</v>
      </c>
      <c r="AA2416" s="1">
        <f t="shared" si="2483"/>
        <v>0</v>
      </c>
    </row>
    <row r="2417" spans="1:27" x14ac:dyDescent="0.2">
      <c r="A2417" s="20" t="str">
        <f>A1479</f>
        <v>8.14.3.2 Organisation de journées d'information et d'échange</v>
      </c>
      <c r="B2417" s="46"/>
      <c r="C2417" s="386">
        <f>C1479</f>
        <v>0</v>
      </c>
      <c r="D2417" s="168">
        <f t="shared" si="2425"/>
        <v>19</v>
      </c>
      <c r="E2417" s="168">
        <f t="shared" si="2426"/>
        <v>38</v>
      </c>
      <c r="F2417" s="168">
        <f t="shared" si="2427"/>
        <v>57</v>
      </c>
      <c r="G2417" s="168">
        <f t="shared" si="2428"/>
        <v>57</v>
      </c>
      <c r="H2417" s="168">
        <f t="shared" si="2429"/>
        <v>57</v>
      </c>
      <c r="I2417" s="166">
        <f t="shared" si="2430"/>
        <v>228</v>
      </c>
      <c r="J2417" s="371" t="str">
        <f t="shared" si="2431"/>
        <v>SPACE/CGC/Directions sectorielles</v>
      </c>
      <c r="K2417" s="350" t="str">
        <f t="shared" si="2432"/>
        <v>USAID/DFID</v>
      </c>
      <c r="L2417" s="167">
        <f t="shared" ref="L2417:T2417" si="2558">L1479</f>
        <v>19000</v>
      </c>
      <c r="M2417" s="168">
        <f t="shared" si="2558"/>
        <v>38000</v>
      </c>
      <c r="N2417" s="168">
        <f t="shared" si="2558"/>
        <v>57000</v>
      </c>
      <c r="O2417" s="168">
        <f t="shared" si="2558"/>
        <v>57000</v>
      </c>
      <c r="P2417" s="168">
        <f t="shared" si="2558"/>
        <v>57000</v>
      </c>
      <c r="Q2417" s="165">
        <f t="shared" si="2558"/>
        <v>228000</v>
      </c>
      <c r="R2417" s="198" t="str">
        <f t="shared" ref="R2417:S2417" si="2559">R1479</f>
        <v>SPACE/CGC/Directions sectorielles</v>
      </c>
      <c r="S2417" s="115" t="str">
        <f t="shared" si="2559"/>
        <v>USAID/DFID</v>
      </c>
      <c r="T2417" s="51">
        <f t="shared" si="2558"/>
        <v>0</v>
      </c>
      <c r="W2417" s="608">
        <f t="shared" si="2435"/>
        <v>228000</v>
      </c>
      <c r="X2417" s="608">
        <f t="shared" si="2436"/>
        <v>0</v>
      </c>
      <c r="Z2417" s="572">
        <f t="shared" si="2482"/>
        <v>0</v>
      </c>
      <c r="AA2417" s="1">
        <f t="shared" si="2483"/>
        <v>0</v>
      </c>
    </row>
    <row r="2418" spans="1:27" x14ac:dyDescent="0.2">
      <c r="A2418" s="17" t="str">
        <f>A1481</f>
        <v>8.14.4 Information sur la prévention des mariages et grossesses précoces</v>
      </c>
      <c r="B2418" s="45"/>
      <c r="C2418" s="386" t="str">
        <f>C1481</f>
        <v>Des campagnes de sensibilisation sont menées</v>
      </c>
      <c r="D2418" s="157">
        <f t="shared" si="2425"/>
        <v>172.95</v>
      </c>
      <c r="E2418" s="157">
        <f t="shared" si="2426"/>
        <v>135.44999999999999</v>
      </c>
      <c r="F2418" s="157">
        <f t="shared" si="2427"/>
        <v>135.44999999999999</v>
      </c>
      <c r="G2418" s="157">
        <f t="shared" si="2428"/>
        <v>135.44999999999999</v>
      </c>
      <c r="H2418" s="157">
        <f t="shared" si="2429"/>
        <v>135.44999999999999</v>
      </c>
      <c r="I2418" s="160">
        <f t="shared" si="2430"/>
        <v>714.75</v>
      </c>
      <c r="J2418" s="374">
        <f t="shared" si="2431"/>
        <v>0</v>
      </c>
      <c r="K2418" s="348">
        <f t="shared" si="2432"/>
        <v>0</v>
      </c>
      <c r="L2418" s="35">
        <f t="shared" ref="L2418:Q2418" si="2560">SUM(L2419:L2420)</f>
        <v>172950</v>
      </c>
      <c r="M2418" s="34">
        <f t="shared" si="2560"/>
        <v>135450</v>
      </c>
      <c r="N2418" s="34">
        <f t="shared" si="2560"/>
        <v>135450</v>
      </c>
      <c r="O2418" s="34">
        <f t="shared" si="2560"/>
        <v>135450</v>
      </c>
      <c r="P2418" s="34">
        <f t="shared" si="2560"/>
        <v>135450</v>
      </c>
      <c r="Q2418" s="26">
        <f t="shared" si="2560"/>
        <v>714750</v>
      </c>
      <c r="R2418" s="209">
        <f t="shared" ref="R2418:S2418" si="2561">SUM(R2419:R2420)</f>
        <v>0</v>
      </c>
      <c r="S2418" s="116">
        <f t="shared" si="2561"/>
        <v>0</v>
      </c>
      <c r="T2418" s="50">
        <f>T1481</f>
        <v>0</v>
      </c>
      <c r="W2418" s="608">
        <f t="shared" si="2435"/>
        <v>714750</v>
      </c>
      <c r="X2418" s="608">
        <f t="shared" si="2436"/>
        <v>0</v>
      </c>
      <c r="Z2418" s="572">
        <f t="shared" si="2482"/>
        <v>0</v>
      </c>
      <c r="AA2418" s="1">
        <f t="shared" si="2483"/>
        <v>0</v>
      </c>
    </row>
    <row r="2419" spans="1:27" x14ac:dyDescent="0.2">
      <c r="A2419" s="20" t="str">
        <f>A1482</f>
        <v>8.14.4.1 Sensibiliser les communautés à la prévention des mariages précoces et les filles et adolescentes aux grossesses non désirées</v>
      </c>
      <c r="B2419" s="46"/>
      <c r="C2419" s="386">
        <f>C1482</f>
        <v>0</v>
      </c>
      <c r="D2419" s="168">
        <f t="shared" si="2425"/>
        <v>90</v>
      </c>
      <c r="E2419" s="168">
        <f t="shared" si="2426"/>
        <v>52.5</v>
      </c>
      <c r="F2419" s="168">
        <f t="shared" si="2427"/>
        <v>52.5</v>
      </c>
      <c r="G2419" s="168">
        <f t="shared" si="2428"/>
        <v>52.5</v>
      </c>
      <c r="H2419" s="168">
        <f t="shared" si="2429"/>
        <v>52.5</v>
      </c>
      <c r="I2419" s="166">
        <f t="shared" si="2430"/>
        <v>300</v>
      </c>
      <c r="J2419" s="371" t="str">
        <f t="shared" si="2431"/>
        <v>SPACE/CGC/Directions sectorielles</v>
      </c>
      <c r="K2419" s="350" t="str">
        <f t="shared" si="2432"/>
        <v>USAID/DFID</v>
      </c>
      <c r="L2419" s="167">
        <f t="shared" ref="L2419:Q2419" si="2562">L1482</f>
        <v>90000</v>
      </c>
      <c r="M2419" s="168">
        <f t="shared" si="2562"/>
        <v>52500</v>
      </c>
      <c r="N2419" s="168">
        <f t="shared" si="2562"/>
        <v>52500</v>
      </c>
      <c r="O2419" s="168">
        <f t="shared" si="2562"/>
        <v>52500</v>
      </c>
      <c r="P2419" s="168">
        <f t="shared" si="2562"/>
        <v>52500</v>
      </c>
      <c r="Q2419" s="165">
        <f t="shared" si="2562"/>
        <v>300000</v>
      </c>
      <c r="R2419" s="198" t="str">
        <f t="shared" ref="R2419:S2419" si="2563">R1482</f>
        <v>SPACE/CGC/Directions sectorielles</v>
      </c>
      <c r="S2419" s="115" t="str">
        <f t="shared" si="2563"/>
        <v>USAID/DFID</v>
      </c>
      <c r="T2419" s="51">
        <f>T1482</f>
        <v>0</v>
      </c>
      <c r="W2419" s="608">
        <f t="shared" si="2435"/>
        <v>300000</v>
      </c>
      <c r="X2419" s="608">
        <f t="shared" si="2436"/>
        <v>0</v>
      </c>
      <c r="Z2419" s="572">
        <f t="shared" si="2482"/>
        <v>0</v>
      </c>
      <c r="AA2419" s="1">
        <f t="shared" si="2483"/>
        <v>0</v>
      </c>
    </row>
    <row r="2420" spans="1:27" x14ac:dyDescent="0.2">
      <c r="A2420" s="20" t="str">
        <f>A1485</f>
        <v>8.14.4.2 Créer des clubs des pairs (es) éducateurs (trices)</v>
      </c>
      <c r="B2420" s="46"/>
      <c r="C2420" s="386">
        <f>C1485</f>
        <v>0</v>
      </c>
      <c r="D2420" s="168">
        <f t="shared" si="2425"/>
        <v>82.95</v>
      </c>
      <c r="E2420" s="168">
        <f t="shared" si="2426"/>
        <v>82.95</v>
      </c>
      <c r="F2420" s="168">
        <f t="shared" si="2427"/>
        <v>82.95</v>
      </c>
      <c r="G2420" s="168">
        <f t="shared" si="2428"/>
        <v>82.95</v>
      </c>
      <c r="H2420" s="168">
        <f t="shared" si="2429"/>
        <v>82.95</v>
      </c>
      <c r="I2420" s="166">
        <f t="shared" si="2430"/>
        <v>414.75</v>
      </c>
      <c r="J2420" s="371" t="str">
        <f t="shared" si="2431"/>
        <v>SPACE/CGC/Directions sectorielles</v>
      </c>
      <c r="K2420" s="350" t="str">
        <f t="shared" si="2432"/>
        <v>USAID/DFID</v>
      </c>
      <c r="L2420" s="167">
        <f t="shared" ref="L2420:T2420" si="2564">L1485</f>
        <v>82950</v>
      </c>
      <c r="M2420" s="168">
        <f t="shared" si="2564"/>
        <v>82950</v>
      </c>
      <c r="N2420" s="168">
        <f t="shared" si="2564"/>
        <v>82950</v>
      </c>
      <c r="O2420" s="168">
        <f t="shared" si="2564"/>
        <v>82950</v>
      </c>
      <c r="P2420" s="168">
        <f t="shared" si="2564"/>
        <v>82950</v>
      </c>
      <c r="Q2420" s="165">
        <f t="shared" si="2564"/>
        <v>414750</v>
      </c>
      <c r="R2420" s="198" t="str">
        <f t="shared" ref="R2420:S2420" si="2565">R1485</f>
        <v>SPACE/CGC/Directions sectorielles</v>
      </c>
      <c r="S2420" s="115" t="str">
        <f t="shared" si="2565"/>
        <v>USAID/DFID</v>
      </c>
      <c r="T2420" s="51">
        <f t="shared" si="2564"/>
        <v>0</v>
      </c>
      <c r="W2420" s="608">
        <f t="shared" si="2435"/>
        <v>414750</v>
      </c>
      <c r="X2420" s="608">
        <f t="shared" si="2436"/>
        <v>0</v>
      </c>
      <c r="Z2420" s="572">
        <f t="shared" si="2482"/>
        <v>0</v>
      </c>
      <c r="AA2420" s="1">
        <f t="shared" si="2483"/>
        <v>0</v>
      </c>
    </row>
    <row r="2421" spans="1:27" x14ac:dyDescent="0.2">
      <c r="A2421" s="17" t="str">
        <f>A1487</f>
        <v>8.14.5 Éliminer les stéréotypes genre dans les programmes et les manuels</v>
      </c>
      <c r="B2421" s="45"/>
      <c r="C2421" s="386" t="str">
        <f>C1487</f>
        <v>Les préoccupations genre sont prises en compte lors de la révision des programmes et manuels</v>
      </c>
      <c r="D2421" s="157">
        <f t="shared" si="2425"/>
        <v>34.25</v>
      </c>
      <c r="E2421" s="157">
        <f t="shared" si="2426"/>
        <v>182.06299999999999</v>
      </c>
      <c r="F2421" s="157">
        <f t="shared" si="2427"/>
        <v>134.06299999999999</v>
      </c>
      <c r="G2421" s="157">
        <f t="shared" si="2428"/>
        <v>0</v>
      </c>
      <c r="H2421" s="157">
        <f t="shared" si="2429"/>
        <v>0</v>
      </c>
      <c r="I2421" s="160">
        <f t="shared" si="2430"/>
        <v>350.37599999999998</v>
      </c>
      <c r="J2421" s="374">
        <f t="shared" si="2431"/>
        <v>0</v>
      </c>
      <c r="K2421" s="348">
        <f t="shared" si="2432"/>
        <v>0</v>
      </c>
      <c r="L2421" s="35">
        <f t="shared" ref="L2421:Q2421" si="2566">SUM(L2422:L2425)</f>
        <v>34250</v>
      </c>
      <c r="M2421" s="34">
        <f t="shared" si="2566"/>
        <v>182063</v>
      </c>
      <c r="N2421" s="34">
        <f t="shared" si="2566"/>
        <v>134063</v>
      </c>
      <c r="O2421" s="34">
        <f t="shared" si="2566"/>
        <v>0</v>
      </c>
      <c r="P2421" s="34">
        <f t="shared" si="2566"/>
        <v>0</v>
      </c>
      <c r="Q2421" s="26">
        <f t="shared" si="2566"/>
        <v>350376</v>
      </c>
      <c r="R2421" s="209">
        <f t="shared" ref="R2421:S2421" si="2567">SUM(R2422:R2425)</f>
        <v>0</v>
      </c>
      <c r="S2421" s="116">
        <f t="shared" si="2567"/>
        <v>0</v>
      </c>
      <c r="T2421" s="50">
        <f>T1487</f>
        <v>0</v>
      </c>
      <c r="W2421" s="608">
        <f t="shared" si="2435"/>
        <v>350376</v>
      </c>
      <c r="X2421" s="608">
        <f t="shared" si="2436"/>
        <v>0</v>
      </c>
      <c r="Z2421" s="572">
        <f t="shared" si="2482"/>
        <v>0</v>
      </c>
      <c r="AA2421" s="1">
        <f t="shared" si="2483"/>
        <v>0</v>
      </c>
    </row>
    <row r="2422" spans="1:27" x14ac:dyDescent="0.2">
      <c r="A2422" s="20" t="str">
        <f>A1488</f>
        <v>8.14.5.1 Révision des programmes à tous les niveaux pour éliminer les stéréotypes et intégrer la dimension genre</v>
      </c>
      <c r="B2422" s="46"/>
      <c r="C2422" s="386">
        <f>C1488</f>
        <v>0</v>
      </c>
      <c r="D2422" s="168">
        <f t="shared" si="2425"/>
        <v>34.25</v>
      </c>
      <c r="E2422" s="168">
        <f t="shared" si="2426"/>
        <v>0</v>
      </c>
      <c r="F2422" s="168">
        <f t="shared" si="2427"/>
        <v>0</v>
      </c>
      <c r="G2422" s="168">
        <f t="shared" si="2428"/>
        <v>0</v>
      </c>
      <c r="H2422" s="168">
        <f t="shared" si="2429"/>
        <v>0</v>
      </c>
      <c r="I2422" s="166">
        <f t="shared" si="2430"/>
        <v>34.25</v>
      </c>
      <c r="J2422" s="371" t="str">
        <f t="shared" si="2431"/>
        <v>SPACE/DIPROMAD/MESU/EPT/MAS</v>
      </c>
      <c r="K2422" s="350" t="str">
        <f t="shared" si="2432"/>
        <v>USAID/DFID</v>
      </c>
      <c r="L2422" s="167">
        <f t="shared" ref="L2422:Q2422" si="2568">L1488</f>
        <v>34250</v>
      </c>
      <c r="M2422" s="36">
        <f t="shared" si="2568"/>
        <v>0</v>
      </c>
      <c r="N2422" s="36">
        <f t="shared" si="2568"/>
        <v>0</v>
      </c>
      <c r="O2422" s="36">
        <f t="shared" si="2568"/>
        <v>0</v>
      </c>
      <c r="P2422" s="36">
        <f t="shared" si="2568"/>
        <v>0</v>
      </c>
      <c r="Q2422" s="27">
        <f t="shared" si="2568"/>
        <v>34250</v>
      </c>
      <c r="R2422" s="198" t="str">
        <f t="shared" ref="R2422:S2422" si="2569">R1488</f>
        <v>SPACE/DIPROMAD/MESU/EPT/MAS</v>
      </c>
      <c r="S2422" s="115" t="str">
        <f t="shared" si="2569"/>
        <v>USAID/DFID</v>
      </c>
      <c r="T2422" s="51">
        <f>T1488</f>
        <v>0</v>
      </c>
      <c r="W2422" s="608">
        <f t="shared" si="2435"/>
        <v>34250</v>
      </c>
      <c r="X2422" s="608">
        <f t="shared" si="2436"/>
        <v>0</v>
      </c>
      <c r="Z2422" s="572">
        <f t="shared" si="2482"/>
        <v>0</v>
      </c>
      <c r="AA2422" s="1">
        <f t="shared" si="2483"/>
        <v>0</v>
      </c>
    </row>
    <row r="2423" spans="1:27" x14ac:dyDescent="0.2">
      <c r="A2423" s="20" t="str">
        <f>A1492</f>
        <v>8.14.5.2 Élaboration d'un guide méthodologique de révision des manuels scolaires</v>
      </c>
      <c r="B2423" s="46"/>
      <c r="C2423" s="386">
        <f>C1492</f>
        <v>0</v>
      </c>
      <c r="D2423" s="168">
        <f t="shared" si="2425"/>
        <v>0</v>
      </c>
      <c r="E2423" s="168">
        <f t="shared" si="2426"/>
        <v>28</v>
      </c>
      <c r="F2423" s="168">
        <f t="shared" si="2427"/>
        <v>0</v>
      </c>
      <c r="G2423" s="168">
        <f t="shared" si="2428"/>
        <v>0</v>
      </c>
      <c r="H2423" s="168">
        <f t="shared" si="2429"/>
        <v>0</v>
      </c>
      <c r="I2423" s="166">
        <f t="shared" si="2430"/>
        <v>28</v>
      </c>
      <c r="J2423" s="371" t="str">
        <f t="shared" si="2431"/>
        <v>SPACE/DIPROMAD/MESU/EPT/MAS</v>
      </c>
      <c r="K2423" s="350" t="str">
        <f t="shared" si="2432"/>
        <v>USAID/DFID</v>
      </c>
      <c r="L2423" s="167">
        <f t="shared" ref="L2423:T2423" si="2570">L1492</f>
        <v>0</v>
      </c>
      <c r="M2423" s="168">
        <f t="shared" si="2570"/>
        <v>28000</v>
      </c>
      <c r="N2423" s="168">
        <f t="shared" si="2570"/>
        <v>0</v>
      </c>
      <c r="O2423" s="168">
        <f t="shared" si="2570"/>
        <v>0</v>
      </c>
      <c r="P2423" s="168">
        <f t="shared" si="2570"/>
        <v>0</v>
      </c>
      <c r="Q2423" s="165">
        <f t="shared" si="2570"/>
        <v>28000</v>
      </c>
      <c r="R2423" s="198" t="str">
        <f t="shared" ref="R2423:S2423" si="2571">R1492</f>
        <v>SPACE/DIPROMAD/MESU/EPT/MAS</v>
      </c>
      <c r="S2423" s="115" t="str">
        <f t="shared" si="2571"/>
        <v>USAID/DFID</v>
      </c>
      <c r="T2423" s="51">
        <f t="shared" si="2570"/>
        <v>0</v>
      </c>
      <c r="W2423" s="608">
        <f t="shared" si="2435"/>
        <v>28000</v>
      </c>
      <c r="X2423" s="608">
        <f t="shared" si="2436"/>
        <v>0</v>
      </c>
      <c r="Z2423" s="572">
        <f t="shared" si="2482"/>
        <v>0</v>
      </c>
      <c r="AA2423" s="1">
        <f t="shared" si="2483"/>
        <v>0</v>
      </c>
    </row>
    <row r="2424" spans="1:27" x14ac:dyDescent="0.2">
      <c r="A2424" s="20" t="str">
        <f>A1495</f>
        <v>8.14.5.3 Réviser les manuels pour éliminer les stéréotypes et intégrer la dimension genre</v>
      </c>
      <c r="B2424" s="46"/>
      <c r="C2424" s="386">
        <f>C1495</f>
        <v>0</v>
      </c>
      <c r="D2424" s="168">
        <f t="shared" si="2425"/>
        <v>0</v>
      </c>
      <c r="E2424" s="168">
        <f t="shared" si="2426"/>
        <v>20</v>
      </c>
      <c r="F2424" s="168">
        <f t="shared" si="2427"/>
        <v>0</v>
      </c>
      <c r="G2424" s="168">
        <f t="shared" si="2428"/>
        <v>0</v>
      </c>
      <c r="H2424" s="168">
        <f t="shared" si="2429"/>
        <v>0</v>
      </c>
      <c r="I2424" s="166">
        <f t="shared" si="2430"/>
        <v>20</v>
      </c>
      <c r="J2424" s="371" t="str">
        <f t="shared" si="2431"/>
        <v>SPACE/DIPROMAD/MESU/EPT/MAS</v>
      </c>
      <c r="K2424" s="350" t="str">
        <f t="shared" si="2432"/>
        <v>USAID/DFID</v>
      </c>
      <c r="L2424" s="167">
        <f t="shared" ref="L2424:T2424" si="2572">L1495</f>
        <v>0</v>
      </c>
      <c r="M2424" s="168">
        <f t="shared" si="2572"/>
        <v>20000</v>
      </c>
      <c r="N2424" s="168">
        <f t="shared" si="2572"/>
        <v>0</v>
      </c>
      <c r="O2424" s="168">
        <f t="shared" si="2572"/>
        <v>0</v>
      </c>
      <c r="P2424" s="168">
        <f t="shared" si="2572"/>
        <v>0</v>
      </c>
      <c r="Q2424" s="165">
        <f t="shared" si="2572"/>
        <v>20000</v>
      </c>
      <c r="R2424" s="198" t="str">
        <f t="shared" ref="R2424:S2424" si="2573">R1495</f>
        <v>SPACE/DIPROMAD/MESU/EPT/MAS</v>
      </c>
      <c r="S2424" s="115" t="str">
        <f t="shared" si="2573"/>
        <v>USAID/DFID</v>
      </c>
      <c r="T2424" s="51">
        <f t="shared" si="2572"/>
        <v>0</v>
      </c>
      <c r="W2424" s="608">
        <f t="shared" si="2435"/>
        <v>20000</v>
      </c>
      <c r="X2424" s="608">
        <f t="shared" si="2436"/>
        <v>0</v>
      </c>
      <c r="Z2424" s="572">
        <f t="shared" si="2482"/>
        <v>0</v>
      </c>
      <c r="AA2424" s="1">
        <f t="shared" si="2483"/>
        <v>0</v>
      </c>
    </row>
    <row r="2425" spans="1:27" x14ac:dyDescent="0.2">
      <c r="A2425" s="20" t="str">
        <f>A1498</f>
        <v>8.14.5.4 Formation des enseignants à l'utilisation des programmes et manuels révisés</v>
      </c>
      <c r="B2425" s="46"/>
      <c r="C2425" s="386">
        <f>C1498</f>
        <v>0</v>
      </c>
      <c r="D2425" s="168">
        <f t="shared" si="2425"/>
        <v>0</v>
      </c>
      <c r="E2425" s="168">
        <f t="shared" si="2426"/>
        <v>134.06299999999999</v>
      </c>
      <c r="F2425" s="168">
        <f t="shared" si="2427"/>
        <v>134.06299999999999</v>
      </c>
      <c r="G2425" s="168">
        <f t="shared" si="2428"/>
        <v>0</v>
      </c>
      <c r="H2425" s="168">
        <f t="shared" si="2429"/>
        <v>0</v>
      </c>
      <c r="I2425" s="166">
        <f t="shared" si="2430"/>
        <v>268.12599999999998</v>
      </c>
      <c r="J2425" s="371" t="str">
        <f t="shared" si="2431"/>
        <v>SPACE/SERNAFOR/MESU/EPT/MAS</v>
      </c>
      <c r="K2425" s="350" t="str">
        <f t="shared" si="2432"/>
        <v>USAID/DFID</v>
      </c>
      <c r="L2425" s="167">
        <f t="shared" ref="L2425:T2425" si="2574">L1498</f>
        <v>0</v>
      </c>
      <c r="M2425" s="168">
        <f t="shared" si="2574"/>
        <v>134063</v>
      </c>
      <c r="N2425" s="168">
        <f t="shared" si="2574"/>
        <v>134063</v>
      </c>
      <c r="O2425" s="168">
        <f t="shared" si="2574"/>
        <v>0</v>
      </c>
      <c r="P2425" s="168">
        <f t="shared" si="2574"/>
        <v>0</v>
      </c>
      <c r="Q2425" s="165">
        <f t="shared" si="2574"/>
        <v>268126</v>
      </c>
      <c r="R2425" s="198" t="str">
        <f t="shared" ref="R2425:S2425" si="2575">R1498</f>
        <v>SPACE/SERNAFOR/MESU/EPT/MAS</v>
      </c>
      <c r="S2425" s="115" t="str">
        <f t="shared" si="2575"/>
        <v>USAID/DFID</v>
      </c>
      <c r="T2425" s="51">
        <f t="shared" si="2574"/>
        <v>0</v>
      </c>
      <c r="W2425" s="608">
        <f t="shared" si="2435"/>
        <v>268126</v>
      </c>
      <c r="X2425" s="608">
        <f t="shared" si="2436"/>
        <v>0</v>
      </c>
      <c r="Z2425" s="572">
        <f t="shared" si="2482"/>
        <v>0</v>
      </c>
      <c r="AA2425" s="1">
        <f t="shared" si="2483"/>
        <v>0</v>
      </c>
    </row>
    <row r="2426" spans="1:27" x14ac:dyDescent="0.2">
      <c r="A2426" s="14" t="str">
        <f t="shared" ref="A2426:A2431" si="2576">A1500</f>
        <v>8.15 Préparation de rentrée : mettre en place un dispositif assurant le respect du temps scolaire et d’enseignement</v>
      </c>
      <c r="B2426" s="44"/>
      <c r="C2426" s="385">
        <f t="shared" ref="C2426:C2431" si="2577">C1500</f>
        <v>0</v>
      </c>
      <c r="D2426" s="217">
        <f t="shared" si="2425"/>
        <v>0</v>
      </c>
      <c r="E2426" s="217">
        <f t="shared" si="2426"/>
        <v>10.9</v>
      </c>
      <c r="F2426" s="217">
        <f t="shared" si="2427"/>
        <v>13</v>
      </c>
      <c r="G2426" s="217">
        <f t="shared" si="2428"/>
        <v>0</v>
      </c>
      <c r="H2426" s="217">
        <f t="shared" si="2429"/>
        <v>0</v>
      </c>
      <c r="I2426" s="220">
        <f t="shared" si="2430"/>
        <v>23.9</v>
      </c>
      <c r="J2426" s="373">
        <f t="shared" si="2431"/>
        <v>0</v>
      </c>
      <c r="K2426" s="346">
        <f t="shared" si="2432"/>
        <v>0</v>
      </c>
      <c r="L2426" s="33">
        <f t="shared" ref="L2426:Q2426" si="2578">L2427+L2430+L2432</f>
        <v>0</v>
      </c>
      <c r="M2426" s="32">
        <f t="shared" si="2578"/>
        <v>10900</v>
      </c>
      <c r="N2426" s="32">
        <f t="shared" si="2578"/>
        <v>13000</v>
      </c>
      <c r="O2426" s="32">
        <f t="shared" si="2578"/>
        <v>0</v>
      </c>
      <c r="P2426" s="32">
        <f t="shared" si="2578"/>
        <v>0</v>
      </c>
      <c r="Q2426" s="25">
        <f t="shared" si="2578"/>
        <v>23900</v>
      </c>
      <c r="R2426" s="515">
        <f t="shared" ref="R2426:S2426" si="2579">R2427+R2430+R2432</f>
        <v>0</v>
      </c>
      <c r="S2426" s="145">
        <f t="shared" si="2579"/>
        <v>0</v>
      </c>
      <c r="T2426" s="49">
        <f t="shared" ref="T2426:T2431" si="2580">T1500</f>
        <v>3</v>
      </c>
      <c r="W2426" s="608">
        <f t="shared" si="2435"/>
        <v>23900</v>
      </c>
      <c r="X2426" s="608">
        <f t="shared" si="2436"/>
        <v>0</v>
      </c>
      <c r="Z2426" s="572">
        <f t="shared" si="2482"/>
        <v>0</v>
      </c>
      <c r="AA2426" s="1">
        <f t="shared" si="2483"/>
        <v>0</v>
      </c>
    </row>
    <row r="2427" spans="1:27" x14ac:dyDescent="0.2">
      <c r="A2427" s="17" t="str">
        <f t="shared" si="2576"/>
        <v>8.15.1 Préparation de la rentrée scolaire</v>
      </c>
      <c r="B2427" s="45"/>
      <c r="C2427" s="386">
        <f t="shared" si="2577"/>
        <v>0</v>
      </c>
      <c r="D2427" s="157">
        <f t="shared" ref="D2427:D2485" si="2581">L2427/1000</f>
        <v>0</v>
      </c>
      <c r="E2427" s="157">
        <f t="shared" ref="E2427:E2485" si="2582">M2427/1000</f>
        <v>0</v>
      </c>
      <c r="F2427" s="157">
        <f t="shared" ref="F2427:F2485" si="2583">N2427/1000</f>
        <v>0</v>
      </c>
      <c r="G2427" s="157">
        <f t="shared" ref="G2427:G2485" si="2584">O2427/1000</f>
        <v>0</v>
      </c>
      <c r="H2427" s="157">
        <f t="shared" ref="H2427:H2485" si="2585">P2427/1000</f>
        <v>0</v>
      </c>
      <c r="I2427" s="160">
        <f t="shared" ref="I2427:I2485" si="2586">Q2427/1000</f>
        <v>0</v>
      </c>
      <c r="J2427" s="374">
        <f t="shared" ref="J2427:J2485" si="2587">R2427</f>
        <v>0</v>
      </c>
      <c r="K2427" s="348">
        <f t="shared" ref="K2427:K2485" si="2588">S2427</f>
        <v>0</v>
      </c>
      <c r="L2427" s="35">
        <f t="shared" ref="L2427:Q2427" si="2589">SUM(L2428:L2429)</f>
        <v>0</v>
      </c>
      <c r="M2427" s="34">
        <f t="shared" si="2589"/>
        <v>0</v>
      </c>
      <c r="N2427" s="34">
        <f t="shared" si="2589"/>
        <v>0</v>
      </c>
      <c r="O2427" s="34">
        <f t="shared" si="2589"/>
        <v>0</v>
      </c>
      <c r="P2427" s="34">
        <f t="shared" si="2589"/>
        <v>0</v>
      </c>
      <c r="Q2427" s="26">
        <f t="shared" si="2589"/>
        <v>0</v>
      </c>
      <c r="R2427" s="209">
        <f t="shared" ref="R2427:S2427" si="2590">SUM(R2428:R2429)</f>
        <v>0</v>
      </c>
      <c r="S2427" s="116">
        <f t="shared" si="2590"/>
        <v>0</v>
      </c>
      <c r="T2427" s="50">
        <f t="shared" si="2580"/>
        <v>0</v>
      </c>
      <c r="W2427" s="608">
        <f t="shared" ref="W2427:W2485" si="2591">SUM(L2427:P2427)</f>
        <v>0</v>
      </c>
      <c r="X2427" s="608">
        <f t="shared" ref="X2427:X2485" si="2592">W2427-Q2427</f>
        <v>0</v>
      </c>
      <c r="Z2427" s="572">
        <f t="shared" si="2482"/>
        <v>0</v>
      </c>
      <c r="AA2427" s="1">
        <f t="shared" si="2483"/>
        <v>0</v>
      </c>
    </row>
    <row r="2428" spans="1:27" x14ac:dyDescent="0.2">
      <c r="A2428" s="20" t="str">
        <f t="shared" si="2576"/>
        <v xml:space="preserve">8.15.1.1 Préparation d'une circulaire/instruction académique par le Ministre portant interdiction de toute mobilité pendant l'année scolaire/académique </v>
      </c>
      <c r="B2428" s="175"/>
      <c r="C2428" s="386">
        <f t="shared" si="2577"/>
        <v>0</v>
      </c>
      <c r="D2428" s="168">
        <f t="shared" si="2581"/>
        <v>0</v>
      </c>
      <c r="E2428" s="168">
        <f t="shared" si="2582"/>
        <v>0</v>
      </c>
      <c r="F2428" s="168">
        <f t="shared" si="2583"/>
        <v>0</v>
      </c>
      <c r="G2428" s="168">
        <f t="shared" si="2584"/>
        <v>0</v>
      </c>
      <c r="H2428" s="168">
        <f t="shared" si="2585"/>
        <v>0</v>
      </c>
      <c r="I2428" s="166">
        <f t="shared" si="2586"/>
        <v>0</v>
      </c>
      <c r="J2428" s="371" t="str">
        <f t="shared" si="2587"/>
        <v>SPACE/EPS/MESU/ETP/MAS</v>
      </c>
      <c r="K2428" s="350">
        <f t="shared" si="2588"/>
        <v>0</v>
      </c>
      <c r="L2428" s="37">
        <f t="shared" ref="L2428:Q2429" si="2593">L1502</f>
        <v>0</v>
      </c>
      <c r="M2428" s="36">
        <f t="shared" si="2593"/>
        <v>0</v>
      </c>
      <c r="N2428" s="36">
        <f t="shared" si="2593"/>
        <v>0</v>
      </c>
      <c r="O2428" s="36">
        <f t="shared" si="2593"/>
        <v>0</v>
      </c>
      <c r="P2428" s="36">
        <f t="shared" si="2593"/>
        <v>0</v>
      </c>
      <c r="Q2428" s="27">
        <f t="shared" si="2593"/>
        <v>0</v>
      </c>
      <c r="R2428" s="198" t="str">
        <f t="shared" ref="R2428:S2428" si="2594">R1502</f>
        <v>SPACE/EPS/MESU/ETP/MAS</v>
      </c>
      <c r="S2428" s="115">
        <f t="shared" si="2594"/>
        <v>0</v>
      </c>
      <c r="T2428" s="51">
        <f t="shared" si="2580"/>
        <v>0</v>
      </c>
      <c r="W2428" s="608">
        <f t="shared" si="2591"/>
        <v>0</v>
      </c>
      <c r="X2428" s="608">
        <f t="shared" si="2592"/>
        <v>0</v>
      </c>
      <c r="Z2428" s="572">
        <f t="shared" si="2482"/>
        <v>0</v>
      </c>
      <c r="AA2428" s="1">
        <f t="shared" si="2483"/>
        <v>0</v>
      </c>
    </row>
    <row r="2429" spans="1:27" x14ac:dyDescent="0.2">
      <c r="A2429" s="20" t="str">
        <f t="shared" si="2576"/>
        <v>8.15.1.2 Vulgarisation et suivi de l'application de la circulaire/instruction académique</v>
      </c>
      <c r="B2429" s="149"/>
      <c r="C2429" s="386">
        <f t="shared" si="2577"/>
        <v>0</v>
      </c>
      <c r="D2429" s="168">
        <f t="shared" si="2581"/>
        <v>0</v>
      </c>
      <c r="E2429" s="168">
        <f t="shared" si="2582"/>
        <v>0</v>
      </c>
      <c r="F2429" s="168">
        <f t="shared" si="2583"/>
        <v>0</v>
      </c>
      <c r="G2429" s="168">
        <f t="shared" si="2584"/>
        <v>0</v>
      </c>
      <c r="H2429" s="168">
        <f t="shared" si="2585"/>
        <v>0</v>
      </c>
      <c r="I2429" s="166">
        <f t="shared" si="2586"/>
        <v>0</v>
      </c>
      <c r="J2429" s="371" t="str">
        <f t="shared" si="2587"/>
        <v>SPACE/EPS/MESU/ETP/MAS</v>
      </c>
      <c r="K2429" s="350">
        <f t="shared" si="2588"/>
        <v>0</v>
      </c>
      <c r="L2429" s="37">
        <f t="shared" si="2593"/>
        <v>0</v>
      </c>
      <c r="M2429" s="36">
        <f t="shared" si="2593"/>
        <v>0</v>
      </c>
      <c r="N2429" s="36">
        <f t="shared" si="2593"/>
        <v>0</v>
      </c>
      <c r="O2429" s="36">
        <f t="shared" si="2593"/>
        <v>0</v>
      </c>
      <c r="P2429" s="36">
        <f t="shared" si="2593"/>
        <v>0</v>
      </c>
      <c r="Q2429" s="27">
        <f t="shared" si="2593"/>
        <v>0</v>
      </c>
      <c r="R2429" s="198" t="str">
        <f t="shared" ref="R2429:S2429" si="2595">R1503</f>
        <v>SPACE/EPS/MESU/ETP/MAS</v>
      </c>
      <c r="S2429" s="115">
        <f t="shared" si="2595"/>
        <v>0</v>
      </c>
      <c r="T2429" s="51">
        <f t="shared" si="2580"/>
        <v>0</v>
      </c>
      <c r="W2429" s="608">
        <f t="shared" si="2591"/>
        <v>0</v>
      </c>
      <c r="X2429" s="608">
        <f t="shared" si="2592"/>
        <v>0</v>
      </c>
      <c r="Z2429" s="572">
        <f t="shared" si="2482"/>
        <v>0</v>
      </c>
      <c r="AA2429" s="1">
        <f t="shared" si="2483"/>
        <v>0</v>
      </c>
    </row>
    <row r="2430" spans="1:27" x14ac:dyDescent="0.2">
      <c r="A2430" s="17" t="str">
        <f t="shared" si="2576"/>
        <v xml:space="preserve">8.15.2 Procédure de paiement des salaires </v>
      </c>
      <c r="B2430" s="45"/>
      <c r="C2430" s="386">
        <f t="shared" si="2577"/>
        <v>0</v>
      </c>
      <c r="D2430" s="157">
        <f t="shared" si="2581"/>
        <v>0</v>
      </c>
      <c r="E2430" s="157">
        <f t="shared" si="2582"/>
        <v>0</v>
      </c>
      <c r="F2430" s="168">
        <f t="shared" si="2583"/>
        <v>13</v>
      </c>
      <c r="G2430" s="157">
        <f t="shared" si="2584"/>
        <v>0</v>
      </c>
      <c r="H2430" s="157">
        <f t="shared" si="2585"/>
        <v>0</v>
      </c>
      <c r="I2430" s="160">
        <f t="shared" si="2586"/>
        <v>13</v>
      </c>
      <c r="J2430" s="374">
        <f t="shared" si="2587"/>
        <v>0</v>
      </c>
      <c r="K2430" s="348">
        <f t="shared" si="2588"/>
        <v>0</v>
      </c>
      <c r="L2430" s="35">
        <f t="shared" ref="L2430:S2430" si="2596">SUM(L2431:L2431)</f>
        <v>0</v>
      </c>
      <c r="M2430" s="34">
        <f t="shared" si="2596"/>
        <v>0</v>
      </c>
      <c r="N2430" s="34">
        <f t="shared" si="2596"/>
        <v>13000</v>
      </c>
      <c r="O2430" s="34">
        <f t="shared" si="2596"/>
        <v>0</v>
      </c>
      <c r="P2430" s="34">
        <f t="shared" si="2596"/>
        <v>0</v>
      </c>
      <c r="Q2430" s="26">
        <f t="shared" si="2596"/>
        <v>13000</v>
      </c>
      <c r="R2430" s="209">
        <f t="shared" si="2596"/>
        <v>0</v>
      </c>
      <c r="S2430" s="116">
        <f t="shared" si="2596"/>
        <v>0</v>
      </c>
      <c r="T2430" s="50">
        <f t="shared" si="2580"/>
        <v>0</v>
      </c>
      <c r="W2430" s="608">
        <f t="shared" si="2591"/>
        <v>13000</v>
      </c>
      <c r="X2430" s="608">
        <f t="shared" si="2592"/>
        <v>0</v>
      </c>
      <c r="Z2430" s="572">
        <f t="shared" si="2482"/>
        <v>0</v>
      </c>
      <c r="AA2430" s="1">
        <f t="shared" si="2483"/>
        <v>0</v>
      </c>
    </row>
    <row r="2431" spans="1:27" x14ac:dyDescent="0.2">
      <c r="A2431" s="20" t="str">
        <f t="shared" si="2576"/>
        <v xml:space="preserve">8.15.2.1 Identifier des solutions pour le paiement des enseignants </v>
      </c>
      <c r="B2431" s="46"/>
      <c r="C2431" s="387" t="str">
        <f t="shared" si="2577"/>
        <v>Plus d’absence des enseignants pour recevoir leur salaire</v>
      </c>
      <c r="D2431" s="168">
        <f t="shared" si="2581"/>
        <v>0</v>
      </c>
      <c r="E2431" s="168">
        <f t="shared" si="2582"/>
        <v>0</v>
      </c>
      <c r="F2431" s="168">
        <f t="shared" si="2583"/>
        <v>13</v>
      </c>
      <c r="G2431" s="168">
        <f t="shared" si="2584"/>
        <v>0</v>
      </c>
      <c r="H2431" s="168">
        <f t="shared" si="2585"/>
        <v>0</v>
      </c>
      <c r="I2431" s="166">
        <f t="shared" si="2586"/>
        <v>13</v>
      </c>
      <c r="J2431" s="371" t="str">
        <f t="shared" si="2587"/>
        <v>SPACE/EPS-SECOPE/MESU-DSG/ETP-SECOPE/MAS-DSG</v>
      </c>
      <c r="K2431" s="350" t="str">
        <f t="shared" si="2588"/>
        <v>ND</v>
      </c>
      <c r="L2431" s="37">
        <f t="shared" ref="L2431:Q2431" si="2597">L1505</f>
        <v>0</v>
      </c>
      <c r="M2431" s="36">
        <f t="shared" si="2597"/>
        <v>0</v>
      </c>
      <c r="N2431" s="168">
        <f t="shared" si="2597"/>
        <v>13000</v>
      </c>
      <c r="O2431" s="168">
        <f t="shared" si="2597"/>
        <v>0</v>
      </c>
      <c r="P2431" s="168">
        <f t="shared" si="2597"/>
        <v>0</v>
      </c>
      <c r="Q2431" s="165">
        <f t="shared" si="2597"/>
        <v>13000</v>
      </c>
      <c r="R2431" s="198" t="str">
        <f t="shared" ref="R2431:S2431" si="2598">R1505</f>
        <v>SPACE/EPS-SECOPE/MESU-DSG/ETP-SECOPE/MAS-DSG</v>
      </c>
      <c r="S2431" s="115" t="str">
        <f t="shared" si="2598"/>
        <v>ND</v>
      </c>
      <c r="T2431" s="51">
        <f t="shared" si="2580"/>
        <v>0</v>
      </c>
      <c r="W2431" s="608">
        <f t="shared" si="2591"/>
        <v>13000</v>
      </c>
      <c r="X2431" s="608">
        <f t="shared" si="2592"/>
        <v>0</v>
      </c>
      <c r="Z2431" s="572">
        <f t="shared" si="2482"/>
        <v>0</v>
      </c>
      <c r="AA2431" s="1">
        <f t="shared" si="2483"/>
        <v>0</v>
      </c>
    </row>
    <row r="2432" spans="1:27" x14ac:dyDescent="0.2">
      <c r="A2432" s="17" t="str">
        <f>A1508</f>
        <v>8.15.3 Rattrapage des heures perdues</v>
      </c>
      <c r="B2432" s="45"/>
      <c r="C2432" s="387" t="str">
        <f>C1508</f>
        <v xml:space="preserve">Dispositions pour imposer à chaque école le rattrapage des heures perdues </v>
      </c>
      <c r="D2432" s="157">
        <f t="shared" si="2581"/>
        <v>0</v>
      </c>
      <c r="E2432" s="157">
        <f t="shared" si="2582"/>
        <v>10.9</v>
      </c>
      <c r="F2432" s="157">
        <f t="shared" si="2583"/>
        <v>0</v>
      </c>
      <c r="G2432" s="157">
        <f t="shared" si="2584"/>
        <v>0</v>
      </c>
      <c r="H2432" s="157">
        <f t="shared" si="2585"/>
        <v>0</v>
      </c>
      <c r="I2432" s="160">
        <f t="shared" si="2586"/>
        <v>10.9</v>
      </c>
      <c r="J2432" s="374">
        <f t="shared" si="2587"/>
        <v>0</v>
      </c>
      <c r="K2432" s="348">
        <f t="shared" si="2588"/>
        <v>0</v>
      </c>
      <c r="L2432" s="35">
        <f t="shared" ref="L2432:S2432" si="2599">SUM(L2433:L2433)</f>
        <v>0</v>
      </c>
      <c r="M2432" s="34">
        <f t="shared" si="2599"/>
        <v>10900</v>
      </c>
      <c r="N2432" s="34">
        <f t="shared" si="2599"/>
        <v>0</v>
      </c>
      <c r="O2432" s="34">
        <f t="shared" si="2599"/>
        <v>0</v>
      </c>
      <c r="P2432" s="34">
        <f t="shared" si="2599"/>
        <v>0</v>
      </c>
      <c r="Q2432" s="26">
        <f t="shared" si="2599"/>
        <v>10900</v>
      </c>
      <c r="R2432" s="209">
        <f t="shared" si="2599"/>
        <v>0</v>
      </c>
      <c r="S2432" s="116">
        <f t="shared" si="2599"/>
        <v>0</v>
      </c>
      <c r="T2432" s="50">
        <f>T1508</f>
        <v>0</v>
      </c>
      <c r="W2432" s="608">
        <f t="shared" si="2591"/>
        <v>10900</v>
      </c>
      <c r="X2432" s="608">
        <f t="shared" si="2592"/>
        <v>0</v>
      </c>
      <c r="Z2432" s="572">
        <f t="shared" si="2482"/>
        <v>0</v>
      </c>
      <c r="AA2432" s="1">
        <f t="shared" si="2483"/>
        <v>0</v>
      </c>
    </row>
    <row r="2433" spans="1:27" x14ac:dyDescent="0.2">
      <c r="A2433" s="20" t="str">
        <f>A1509</f>
        <v>8.15.3.1 Définition des dispositions d'imposition de rattrapage des heures perdues</v>
      </c>
      <c r="B2433" s="46"/>
      <c r="C2433" s="386">
        <f>C1509</f>
        <v>0</v>
      </c>
      <c r="D2433" s="168">
        <f t="shared" si="2581"/>
        <v>0</v>
      </c>
      <c r="E2433" s="168">
        <f t="shared" si="2582"/>
        <v>10.9</v>
      </c>
      <c r="F2433" s="168">
        <f t="shared" si="2583"/>
        <v>0</v>
      </c>
      <c r="G2433" s="168">
        <f t="shared" si="2584"/>
        <v>0</v>
      </c>
      <c r="H2433" s="168">
        <f t="shared" si="2585"/>
        <v>0</v>
      </c>
      <c r="I2433" s="166">
        <f t="shared" si="2586"/>
        <v>10.9</v>
      </c>
      <c r="J2433" s="371" t="str">
        <f t="shared" si="2587"/>
        <v>SPACE/EPS/MESU/ETP/MAS</v>
      </c>
      <c r="K2433" s="350" t="str">
        <f t="shared" si="2588"/>
        <v>ND</v>
      </c>
      <c r="L2433" s="167">
        <f t="shared" ref="L2433:Q2433" si="2600">L1509</f>
        <v>0</v>
      </c>
      <c r="M2433" s="168">
        <f t="shared" si="2600"/>
        <v>10900</v>
      </c>
      <c r="N2433" s="168">
        <f t="shared" si="2600"/>
        <v>0</v>
      </c>
      <c r="O2433" s="168">
        <f t="shared" si="2600"/>
        <v>0</v>
      </c>
      <c r="P2433" s="168">
        <f t="shared" si="2600"/>
        <v>0</v>
      </c>
      <c r="Q2433" s="165">
        <f t="shared" si="2600"/>
        <v>10900</v>
      </c>
      <c r="R2433" s="198" t="str">
        <f t="shared" ref="R2433:S2433" si="2601">R1509</f>
        <v>SPACE/EPS/MESU/ETP/MAS</v>
      </c>
      <c r="S2433" s="115" t="str">
        <f t="shared" si="2601"/>
        <v>ND</v>
      </c>
      <c r="T2433" s="51">
        <f>T1509</f>
        <v>0</v>
      </c>
      <c r="W2433" s="608">
        <f t="shared" si="2591"/>
        <v>10900</v>
      </c>
      <c r="X2433" s="608">
        <f t="shared" si="2592"/>
        <v>0</v>
      </c>
      <c r="Z2433" s="572">
        <f t="shared" si="2482"/>
        <v>0</v>
      </c>
      <c r="AA2433" s="1">
        <f t="shared" si="2483"/>
        <v>0</v>
      </c>
    </row>
    <row r="2434" spans="1:27" x14ac:dyDescent="0.2">
      <c r="A2434" s="14" t="str">
        <f>A1512</f>
        <v xml:space="preserve">8.16 Système d'information central et provincial : Renforcer le système d’information et de gestion de l’éducation (SIGE) et développer les outils et les initiatives d’exploitation locale des données </v>
      </c>
      <c r="B2434" s="44"/>
      <c r="C2434" s="385">
        <f>C1512</f>
        <v>0</v>
      </c>
      <c r="D2434" s="217">
        <f t="shared" si="2581"/>
        <v>754.83</v>
      </c>
      <c r="E2434" s="217">
        <f t="shared" si="2582"/>
        <v>731.23</v>
      </c>
      <c r="F2434" s="217">
        <f t="shared" si="2583"/>
        <v>763.23</v>
      </c>
      <c r="G2434" s="217">
        <f t="shared" si="2584"/>
        <v>819.23</v>
      </c>
      <c r="H2434" s="217">
        <f t="shared" si="2585"/>
        <v>875.23</v>
      </c>
      <c r="I2434" s="220">
        <f t="shared" si="2586"/>
        <v>3943.75</v>
      </c>
      <c r="J2434" s="373">
        <f t="shared" si="2587"/>
        <v>0</v>
      </c>
      <c r="K2434" s="346">
        <f t="shared" si="2588"/>
        <v>0</v>
      </c>
      <c r="L2434" s="33">
        <f>L2435+L2439+L2442+L2445+L2448</f>
        <v>754830</v>
      </c>
      <c r="M2434" s="32">
        <f t="shared" ref="M2434:Q2434" si="2602">M2435+M2439+M2442+M2445+M2448</f>
        <v>731230</v>
      </c>
      <c r="N2434" s="32">
        <f t="shared" si="2602"/>
        <v>763230</v>
      </c>
      <c r="O2434" s="32">
        <f t="shared" si="2602"/>
        <v>819230</v>
      </c>
      <c r="P2434" s="32">
        <f t="shared" si="2602"/>
        <v>875230</v>
      </c>
      <c r="Q2434" s="25">
        <f t="shared" si="2602"/>
        <v>3943750</v>
      </c>
      <c r="R2434" s="517">
        <f t="shared" ref="R2434:S2434" si="2603">R2435+R2439+R2442+R2445+R2448</f>
        <v>0</v>
      </c>
      <c r="S2434" s="179">
        <f t="shared" si="2603"/>
        <v>0</v>
      </c>
      <c r="T2434" s="49">
        <f>T1512</f>
        <v>3</v>
      </c>
      <c r="W2434" s="608">
        <f t="shared" si="2591"/>
        <v>3943750</v>
      </c>
      <c r="X2434" s="608">
        <f t="shared" si="2592"/>
        <v>0</v>
      </c>
      <c r="Y2434" s="572" t="s">
        <v>1513</v>
      </c>
      <c r="Z2434" s="572">
        <f t="shared" si="2482"/>
        <v>0</v>
      </c>
      <c r="AA2434" s="1">
        <f t="shared" si="2483"/>
        <v>3943.75</v>
      </c>
    </row>
    <row r="2435" spans="1:27" s="162" customFormat="1" x14ac:dyDescent="0.2">
      <c r="A2435" s="122" t="str">
        <f>A1513</f>
        <v>8.16.1 Équipement informatique et collecte statistique</v>
      </c>
      <c r="B2435" s="152"/>
      <c r="C2435" s="389" t="str">
        <f>C1513</f>
        <v xml:space="preserve">Les structures centrales et déconcentrées sont dotées en capacités et moyens pour collecter et traiter les données </v>
      </c>
      <c r="D2435" s="157">
        <f t="shared" si="2581"/>
        <v>367.35</v>
      </c>
      <c r="E2435" s="157">
        <f t="shared" si="2582"/>
        <v>344.35</v>
      </c>
      <c r="F2435" s="157">
        <f t="shared" si="2583"/>
        <v>299.35000000000002</v>
      </c>
      <c r="G2435" s="157">
        <f t="shared" si="2584"/>
        <v>299.35000000000002</v>
      </c>
      <c r="H2435" s="157">
        <f t="shared" si="2585"/>
        <v>299.35000000000002</v>
      </c>
      <c r="I2435" s="160">
        <f t="shared" si="2586"/>
        <v>1609.75</v>
      </c>
      <c r="J2435" s="374">
        <f t="shared" si="2587"/>
        <v>0</v>
      </c>
      <c r="K2435" s="341">
        <f t="shared" si="2588"/>
        <v>0</v>
      </c>
      <c r="L2435" s="161">
        <f t="shared" ref="L2435:Q2435" si="2604">SUM(L2436:L2438)</f>
        <v>367350</v>
      </c>
      <c r="M2435" s="157">
        <f t="shared" si="2604"/>
        <v>344350</v>
      </c>
      <c r="N2435" s="157">
        <f t="shared" si="2604"/>
        <v>299350</v>
      </c>
      <c r="O2435" s="157">
        <f t="shared" si="2604"/>
        <v>299350</v>
      </c>
      <c r="P2435" s="157">
        <f t="shared" si="2604"/>
        <v>299350</v>
      </c>
      <c r="Q2435" s="158">
        <f t="shared" si="2604"/>
        <v>1609750</v>
      </c>
      <c r="R2435" s="520">
        <f t="shared" ref="R2435:S2435" si="2605">SUM(R2436:R2438)</f>
        <v>0</v>
      </c>
      <c r="S2435" s="201">
        <f t="shared" si="2605"/>
        <v>0</v>
      </c>
      <c r="T2435" s="154">
        <f>T1513</f>
        <v>0</v>
      </c>
      <c r="U2435" s="653"/>
      <c r="V2435" s="572"/>
      <c r="W2435" s="608">
        <f t="shared" si="2591"/>
        <v>1609750</v>
      </c>
      <c r="X2435" s="608">
        <f t="shared" si="2592"/>
        <v>0</v>
      </c>
      <c r="Y2435" s="572" t="s">
        <v>1513</v>
      </c>
      <c r="Z2435" s="572">
        <f t="shared" si="2482"/>
        <v>0</v>
      </c>
      <c r="AA2435" s="1">
        <f t="shared" si="2483"/>
        <v>1609.75</v>
      </c>
    </row>
    <row r="2436" spans="1:27" s="162" customFormat="1" x14ac:dyDescent="0.2">
      <c r="A2436" s="123" t="str">
        <f>A1514</f>
        <v>8.16.1.1 Mise en place progressive du dispositif numérique de collecte de données et de saisie des données</v>
      </c>
      <c r="B2436" s="202"/>
      <c r="C2436" s="389">
        <f>C1514</f>
        <v>0</v>
      </c>
      <c r="D2436" s="168">
        <f t="shared" si="2581"/>
        <v>243</v>
      </c>
      <c r="E2436" s="168">
        <f t="shared" si="2582"/>
        <v>220</v>
      </c>
      <c r="F2436" s="168">
        <f t="shared" si="2583"/>
        <v>220</v>
      </c>
      <c r="G2436" s="168">
        <f t="shared" si="2584"/>
        <v>220</v>
      </c>
      <c r="H2436" s="168">
        <f t="shared" si="2585"/>
        <v>220</v>
      </c>
      <c r="I2436" s="166">
        <f t="shared" si="2586"/>
        <v>1123</v>
      </c>
      <c r="J2436" s="371" t="str">
        <f t="shared" si="2587"/>
        <v>EPS/ESU/ETP-DEP/MAS-DGENF</v>
      </c>
      <c r="K2436" s="342" t="str">
        <f t="shared" si="2588"/>
        <v>BM/UNESCO</v>
      </c>
      <c r="L2436" s="167">
        <f t="shared" ref="L2436:Q2436" si="2606">L1514</f>
        <v>243000</v>
      </c>
      <c r="M2436" s="168">
        <f t="shared" si="2606"/>
        <v>220000</v>
      </c>
      <c r="N2436" s="168">
        <f t="shared" si="2606"/>
        <v>220000</v>
      </c>
      <c r="O2436" s="168">
        <f t="shared" si="2606"/>
        <v>220000</v>
      </c>
      <c r="P2436" s="168">
        <f t="shared" si="2606"/>
        <v>220000</v>
      </c>
      <c r="Q2436" s="165">
        <f t="shared" si="2606"/>
        <v>1123000</v>
      </c>
      <c r="R2436" s="519" t="str">
        <f t="shared" ref="R2436:S2436" si="2607">R1514</f>
        <v>EPS/ESU/ETP-DEP/MAS-DGENF</v>
      </c>
      <c r="S2436" s="224" t="str">
        <f t="shared" si="2607"/>
        <v>BM/UNESCO</v>
      </c>
      <c r="T2436" s="153">
        <f>T1514</f>
        <v>0</v>
      </c>
      <c r="U2436" s="653"/>
      <c r="V2436" s="572"/>
      <c r="W2436" s="608">
        <f t="shared" si="2591"/>
        <v>1123000</v>
      </c>
      <c r="X2436" s="608">
        <f t="shared" si="2592"/>
        <v>0</v>
      </c>
      <c r="Y2436" s="572" t="s">
        <v>1513</v>
      </c>
      <c r="Z2436" s="572">
        <f t="shared" si="2482"/>
        <v>0</v>
      </c>
      <c r="AA2436" s="1">
        <f t="shared" si="2483"/>
        <v>1123</v>
      </c>
    </row>
    <row r="2437" spans="1:27" s="162" customFormat="1" x14ac:dyDescent="0.2">
      <c r="A2437" s="123" t="str">
        <f>A1517</f>
        <v xml:space="preserve">8.16.1.2 Formation des cadres au logiciel de collecte et de saisie des données </v>
      </c>
      <c r="B2437" s="202"/>
      <c r="C2437" s="393">
        <f>C1517</f>
        <v>0</v>
      </c>
      <c r="D2437" s="168">
        <f t="shared" si="2581"/>
        <v>64.349999999999994</v>
      </c>
      <c r="E2437" s="168">
        <f t="shared" si="2582"/>
        <v>64.349999999999994</v>
      </c>
      <c r="F2437" s="168">
        <f t="shared" si="2583"/>
        <v>19.350000000000001</v>
      </c>
      <c r="G2437" s="168">
        <f t="shared" si="2584"/>
        <v>19.350000000000001</v>
      </c>
      <c r="H2437" s="168">
        <f t="shared" si="2585"/>
        <v>19.350000000000001</v>
      </c>
      <c r="I2437" s="166">
        <f t="shared" si="2586"/>
        <v>186.75</v>
      </c>
      <c r="J2437" s="371" t="str">
        <f t="shared" si="2587"/>
        <v>EPS/ESU/ETP-DEP/MAS-DGENF</v>
      </c>
      <c r="K2437" s="342" t="str">
        <f t="shared" si="2588"/>
        <v>BM/UNESCO</v>
      </c>
      <c r="L2437" s="167">
        <f t="shared" ref="L2437:T2437" si="2608">L1517</f>
        <v>64350</v>
      </c>
      <c r="M2437" s="168">
        <f t="shared" si="2608"/>
        <v>64350</v>
      </c>
      <c r="N2437" s="168">
        <f t="shared" si="2608"/>
        <v>19350</v>
      </c>
      <c r="O2437" s="168">
        <f t="shared" si="2608"/>
        <v>19350</v>
      </c>
      <c r="P2437" s="168">
        <f t="shared" si="2608"/>
        <v>19350</v>
      </c>
      <c r="Q2437" s="165">
        <f t="shared" si="2608"/>
        <v>186750</v>
      </c>
      <c r="R2437" s="519" t="str">
        <f t="shared" ref="R2437:S2437" si="2609">R1517</f>
        <v>EPS/ESU/ETP-DEP/MAS-DGENF</v>
      </c>
      <c r="S2437" s="224" t="str">
        <f t="shared" si="2609"/>
        <v>BM/UNESCO</v>
      </c>
      <c r="T2437" s="153">
        <f t="shared" si="2608"/>
        <v>0</v>
      </c>
      <c r="U2437" s="653"/>
      <c r="V2437" s="572"/>
      <c r="W2437" s="608">
        <f t="shared" si="2591"/>
        <v>186750</v>
      </c>
      <c r="X2437" s="608">
        <f t="shared" si="2592"/>
        <v>0</v>
      </c>
      <c r="Y2437" s="572" t="s">
        <v>1513</v>
      </c>
      <c r="Z2437" s="572">
        <f t="shared" si="2482"/>
        <v>0</v>
      </c>
      <c r="AA2437" s="1">
        <f t="shared" si="2483"/>
        <v>186.75</v>
      </c>
    </row>
    <row r="2438" spans="1:27" s="162" customFormat="1" x14ac:dyDescent="0.2">
      <c r="A2438" s="123" t="str">
        <f>A1520</f>
        <v>8.16.1.3 Campagne de collecte de données</v>
      </c>
      <c r="B2438" s="202"/>
      <c r="C2438" s="389">
        <f>C1520</f>
        <v>0</v>
      </c>
      <c r="D2438" s="168">
        <f t="shared" si="2581"/>
        <v>60</v>
      </c>
      <c r="E2438" s="168">
        <f t="shared" si="2582"/>
        <v>60</v>
      </c>
      <c r="F2438" s="168">
        <f t="shared" si="2583"/>
        <v>60</v>
      </c>
      <c r="G2438" s="168">
        <f t="shared" si="2584"/>
        <v>60</v>
      </c>
      <c r="H2438" s="168">
        <f t="shared" si="2585"/>
        <v>60</v>
      </c>
      <c r="I2438" s="166">
        <f t="shared" si="2586"/>
        <v>300</v>
      </c>
      <c r="J2438" s="371" t="str">
        <f t="shared" si="2587"/>
        <v>EPS/ESU/ETP-DEP/MAS-DGENF</v>
      </c>
      <c r="K2438" s="342" t="str">
        <f t="shared" si="2588"/>
        <v>BM/UNESCO</v>
      </c>
      <c r="L2438" s="167">
        <f t="shared" ref="L2438:T2438" si="2610">L1520</f>
        <v>60000</v>
      </c>
      <c r="M2438" s="168">
        <f t="shared" si="2610"/>
        <v>60000</v>
      </c>
      <c r="N2438" s="168">
        <f t="shared" si="2610"/>
        <v>60000</v>
      </c>
      <c r="O2438" s="168">
        <f t="shared" si="2610"/>
        <v>60000</v>
      </c>
      <c r="P2438" s="168">
        <f t="shared" si="2610"/>
        <v>60000</v>
      </c>
      <c r="Q2438" s="165">
        <f t="shared" si="2610"/>
        <v>300000</v>
      </c>
      <c r="R2438" s="519" t="str">
        <f t="shared" ref="R2438:S2438" si="2611">R1520</f>
        <v>EPS/ESU/ETP-DEP/MAS-DGENF</v>
      </c>
      <c r="S2438" s="224" t="str">
        <f t="shared" si="2611"/>
        <v>BM/UNESCO</v>
      </c>
      <c r="T2438" s="153">
        <f t="shared" si="2610"/>
        <v>0</v>
      </c>
      <c r="U2438" s="653"/>
      <c r="V2438" s="572"/>
      <c r="W2438" s="608">
        <f t="shared" si="2591"/>
        <v>300000</v>
      </c>
      <c r="X2438" s="608">
        <f t="shared" si="2592"/>
        <v>0</v>
      </c>
      <c r="Y2438" s="572" t="s">
        <v>1513</v>
      </c>
      <c r="Z2438" s="572">
        <f t="shared" si="2482"/>
        <v>0</v>
      </c>
      <c r="AA2438" s="1">
        <f t="shared" si="2483"/>
        <v>300</v>
      </c>
    </row>
    <row r="2439" spans="1:27" s="162" customFormat="1" x14ac:dyDescent="0.2">
      <c r="A2439" s="122" t="str">
        <f>A1523</f>
        <v>8.16.2 Traitement, analyse, publication et diffusion des données</v>
      </c>
      <c r="B2439" s="163"/>
      <c r="C2439" s="389" t="str">
        <f>C1523</f>
        <v>Les données et indicateurs statistiques sont produites et diffusées avant la fin de l'année scolaire/académique</v>
      </c>
      <c r="D2439" s="168">
        <f t="shared" si="2581"/>
        <v>278.2</v>
      </c>
      <c r="E2439" s="168">
        <f t="shared" si="2582"/>
        <v>294.2</v>
      </c>
      <c r="F2439" s="168">
        <f t="shared" si="2583"/>
        <v>334.2</v>
      </c>
      <c r="G2439" s="168">
        <f t="shared" si="2584"/>
        <v>374.2</v>
      </c>
      <c r="H2439" s="168">
        <f t="shared" si="2585"/>
        <v>414.2</v>
      </c>
      <c r="I2439" s="166">
        <f t="shared" si="2586"/>
        <v>1695</v>
      </c>
      <c r="J2439" s="371">
        <f t="shared" si="2587"/>
        <v>0</v>
      </c>
      <c r="K2439" s="342">
        <f t="shared" si="2588"/>
        <v>0</v>
      </c>
      <c r="L2439" s="161">
        <f t="shared" ref="L2439:Q2439" si="2612">SUM(L2440:L2441)</f>
        <v>278200</v>
      </c>
      <c r="M2439" s="157">
        <f t="shared" si="2612"/>
        <v>294200</v>
      </c>
      <c r="N2439" s="157">
        <f t="shared" si="2612"/>
        <v>334200</v>
      </c>
      <c r="O2439" s="157">
        <f t="shared" si="2612"/>
        <v>374200</v>
      </c>
      <c r="P2439" s="157">
        <f t="shared" si="2612"/>
        <v>414200</v>
      </c>
      <c r="Q2439" s="158">
        <f t="shared" si="2612"/>
        <v>1695000</v>
      </c>
      <c r="R2439" s="521">
        <f t="shared" ref="R2439:S2439" si="2613">SUM(R2440:R2441)</f>
        <v>0</v>
      </c>
      <c r="S2439" s="94">
        <f t="shared" si="2613"/>
        <v>0</v>
      </c>
      <c r="T2439" s="153">
        <f>T1523</f>
        <v>0</v>
      </c>
      <c r="U2439" s="653"/>
      <c r="V2439" s="572"/>
      <c r="W2439" s="608">
        <f t="shared" si="2591"/>
        <v>1695000</v>
      </c>
      <c r="X2439" s="608">
        <f t="shared" si="2592"/>
        <v>0</v>
      </c>
      <c r="Y2439" s="572" t="s">
        <v>1513</v>
      </c>
      <c r="Z2439" s="572">
        <f t="shared" si="2482"/>
        <v>0</v>
      </c>
      <c r="AA2439" s="1">
        <f t="shared" si="2483"/>
        <v>1695</v>
      </c>
    </row>
    <row r="2440" spans="1:27" s="162" customFormat="1" x14ac:dyDescent="0.2">
      <c r="A2440" s="123" t="str">
        <f>A1524</f>
        <v>8.16.2.1 Traitement et analyse des données</v>
      </c>
      <c r="B2440" s="163"/>
      <c r="C2440" s="389">
        <f>C1524</f>
        <v>0</v>
      </c>
      <c r="D2440" s="168">
        <f t="shared" si="2581"/>
        <v>144</v>
      </c>
      <c r="E2440" s="168">
        <f t="shared" si="2582"/>
        <v>144</v>
      </c>
      <c r="F2440" s="168">
        <f t="shared" si="2583"/>
        <v>144</v>
      </c>
      <c r="G2440" s="168">
        <f t="shared" si="2584"/>
        <v>144</v>
      </c>
      <c r="H2440" s="168">
        <f t="shared" si="2585"/>
        <v>144</v>
      </c>
      <c r="I2440" s="166">
        <f t="shared" si="2586"/>
        <v>720</v>
      </c>
      <c r="J2440" s="371" t="str">
        <f t="shared" si="2587"/>
        <v>EPS/ESU/ETP-DEP/MAS-DGENF</v>
      </c>
      <c r="K2440" s="342">
        <f t="shared" si="2588"/>
        <v>0</v>
      </c>
      <c r="L2440" s="167">
        <f t="shared" ref="L2440:Q2440" si="2614">L1524</f>
        <v>144000</v>
      </c>
      <c r="M2440" s="168">
        <f t="shared" si="2614"/>
        <v>144000</v>
      </c>
      <c r="N2440" s="168">
        <f t="shared" si="2614"/>
        <v>144000</v>
      </c>
      <c r="O2440" s="168">
        <f t="shared" si="2614"/>
        <v>144000</v>
      </c>
      <c r="P2440" s="168">
        <f t="shared" si="2614"/>
        <v>144000</v>
      </c>
      <c r="Q2440" s="165">
        <f t="shared" si="2614"/>
        <v>720000</v>
      </c>
      <c r="R2440" s="521" t="str">
        <f t="shared" ref="R2440:S2440" si="2615">R1524</f>
        <v>EPS/ESU/ETP-DEP/MAS-DGENF</v>
      </c>
      <c r="S2440" s="94">
        <f t="shared" si="2615"/>
        <v>0</v>
      </c>
      <c r="T2440" s="153">
        <f>T1524</f>
        <v>0</v>
      </c>
      <c r="U2440" s="653"/>
      <c r="V2440" s="572"/>
      <c r="W2440" s="608">
        <f t="shared" si="2591"/>
        <v>720000</v>
      </c>
      <c r="X2440" s="608">
        <f t="shared" si="2592"/>
        <v>0</v>
      </c>
      <c r="Y2440" s="572" t="s">
        <v>1513</v>
      </c>
      <c r="Z2440" s="572">
        <f t="shared" si="2482"/>
        <v>0</v>
      </c>
      <c r="AA2440" s="1">
        <f t="shared" si="2483"/>
        <v>720</v>
      </c>
    </row>
    <row r="2441" spans="1:27" s="162" customFormat="1" x14ac:dyDescent="0.2">
      <c r="A2441" s="123" t="str">
        <f>A1527</f>
        <v>8.16.2.2 Publication des annuaires nationaux et provinciaux et des cartes scolaires</v>
      </c>
      <c r="B2441" s="163"/>
      <c r="C2441" s="389">
        <f>C1527</f>
        <v>0</v>
      </c>
      <c r="D2441" s="168">
        <f t="shared" si="2581"/>
        <v>134.19999999999999</v>
      </c>
      <c r="E2441" s="168">
        <f t="shared" si="2582"/>
        <v>150.19999999999999</v>
      </c>
      <c r="F2441" s="168">
        <f t="shared" si="2583"/>
        <v>190.2</v>
      </c>
      <c r="G2441" s="168">
        <f t="shared" si="2584"/>
        <v>230.2</v>
      </c>
      <c r="H2441" s="168">
        <f t="shared" si="2585"/>
        <v>270.2</v>
      </c>
      <c r="I2441" s="166">
        <f t="shared" si="2586"/>
        <v>975</v>
      </c>
      <c r="J2441" s="371" t="str">
        <f t="shared" si="2587"/>
        <v>EPS/ESU/ETP-DEP/MAS-DGENF</v>
      </c>
      <c r="K2441" s="342">
        <f t="shared" si="2588"/>
        <v>0</v>
      </c>
      <c r="L2441" s="167">
        <f t="shared" ref="L2441:T2441" si="2616">L1527</f>
        <v>134200</v>
      </c>
      <c r="M2441" s="168">
        <f t="shared" si="2616"/>
        <v>150200</v>
      </c>
      <c r="N2441" s="168">
        <f t="shared" si="2616"/>
        <v>190200</v>
      </c>
      <c r="O2441" s="168">
        <f t="shared" si="2616"/>
        <v>230200</v>
      </c>
      <c r="P2441" s="168">
        <f t="shared" si="2616"/>
        <v>270200</v>
      </c>
      <c r="Q2441" s="165">
        <f t="shared" si="2616"/>
        <v>975000</v>
      </c>
      <c r="R2441" s="521" t="str">
        <f t="shared" ref="R2441:S2441" si="2617">R1527</f>
        <v>EPS/ESU/ETP-DEP/MAS-DGENF</v>
      </c>
      <c r="S2441" s="94">
        <f t="shared" si="2617"/>
        <v>0</v>
      </c>
      <c r="T2441" s="153">
        <f t="shared" si="2616"/>
        <v>0</v>
      </c>
      <c r="U2441" s="653"/>
      <c r="V2441" s="572"/>
      <c r="W2441" s="608">
        <f t="shared" si="2591"/>
        <v>975000</v>
      </c>
      <c r="X2441" s="608">
        <f t="shared" si="2592"/>
        <v>0</v>
      </c>
      <c r="Y2441" s="572" t="s">
        <v>1513</v>
      </c>
      <c r="Z2441" s="572">
        <f t="shared" si="2482"/>
        <v>0</v>
      </c>
      <c r="AA2441" s="1">
        <f t="shared" si="2483"/>
        <v>975</v>
      </c>
    </row>
    <row r="2442" spans="1:27" s="162" customFormat="1" x14ac:dyDescent="0.2">
      <c r="A2442" s="122" t="str">
        <f>A1531</f>
        <v>8.16.3 Consolidation et publication de la carte scolaire/universitaire</v>
      </c>
      <c r="B2442" s="163"/>
      <c r="C2442" s="389">
        <f>C1531</f>
        <v>0</v>
      </c>
      <c r="D2442" s="168">
        <f t="shared" si="2581"/>
        <v>59.28</v>
      </c>
      <c r="E2442" s="168">
        <f t="shared" si="2582"/>
        <v>65.680000000000007</v>
      </c>
      <c r="F2442" s="168">
        <f t="shared" si="2583"/>
        <v>81.680000000000007</v>
      </c>
      <c r="G2442" s="168">
        <f t="shared" si="2584"/>
        <v>97.68</v>
      </c>
      <c r="H2442" s="168">
        <f t="shared" si="2585"/>
        <v>113.68</v>
      </c>
      <c r="I2442" s="166">
        <f t="shared" si="2586"/>
        <v>418</v>
      </c>
      <c r="J2442" s="371">
        <f t="shared" si="2587"/>
        <v>0</v>
      </c>
      <c r="K2442" s="342">
        <f t="shared" si="2588"/>
        <v>0</v>
      </c>
      <c r="L2442" s="161">
        <f t="shared" ref="L2442:Q2442" si="2618">SUM(L2443:L2444)</f>
        <v>59280</v>
      </c>
      <c r="M2442" s="157">
        <f t="shared" si="2618"/>
        <v>65680</v>
      </c>
      <c r="N2442" s="157">
        <f t="shared" si="2618"/>
        <v>81680</v>
      </c>
      <c r="O2442" s="157">
        <f t="shared" si="2618"/>
        <v>97680</v>
      </c>
      <c r="P2442" s="157">
        <f t="shared" si="2618"/>
        <v>113680</v>
      </c>
      <c r="Q2442" s="158">
        <f t="shared" si="2618"/>
        <v>418000</v>
      </c>
      <c r="R2442" s="521">
        <f t="shared" ref="R2442:S2442" si="2619">SUM(R2443:R2444)</f>
        <v>0</v>
      </c>
      <c r="S2442" s="94">
        <f t="shared" si="2619"/>
        <v>0</v>
      </c>
      <c r="T2442" s="153">
        <f>T1531</f>
        <v>0</v>
      </c>
      <c r="U2442" s="653"/>
      <c r="V2442" s="572"/>
      <c r="W2442" s="608">
        <f t="shared" si="2591"/>
        <v>418000</v>
      </c>
      <c r="X2442" s="608">
        <f t="shared" si="2592"/>
        <v>0</v>
      </c>
      <c r="Y2442" s="572" t="s">
        <v>1513</v>
      </c>
      <c r="Z2442" s="572">
        <f t="shared" ref="Z2442:Z2505" si="2620">IF($Y2442="P",$I2442,)</f>
        <v>0</v>
      </c>
      <c r="AA2442" s="1">
        <f t="shared" ref="AA2442:AA2505" si="2621">IF($Y2442="G",$I2442,)</f>
        <v>418</v>
      </c>
    </row>
    <row r="2443" spans="1:27" s="162" customFormat="1" x14ac:dyDescent="0.2">
      <c r="A2443" s="123" t="str">
        <f>A1532</f>
        <v>8.16.3.1 Élaboration des cartes scolaires/universitaires</v>
      </c>
      <c r="B2443" s="163"/>
      <c r="C2443" s="389" t="str">
        <f>C1532</f>
        <v>Les cartes scolaires/universitaires sont élaborées et actualisées chaque année</v>
      </c>
      <c r="D2443" s="168">
        <f t="shared" si="2581"/>
        <v>35.6</v>
      </c>
      <c r="E2443" s="168">
        <f t="shared" si="2582"/>
        <v>35.6</v>
      </c>
      <c r="F2443" s="168">
        <f t="shared" si="2583"/>
        <v>35.6</v>
      </c>
      <c r="G2443" s="168">
        <f t="shared" si="2584"/>
        <v>35.6</v>
      </c>
      <c r="H2443" s="168">
        <f t="shared" si="2585"/>
        <v>35.6</v>
      </c>
      <c r="I2443" s="166">
        <f t="shared" si="2586"/>
        <v>178</v>
      </c>
      <c r="J2443" s="371" t="str">
        <f t="shared" si="2587"/>
        <v>EPS/ESU/ETP-DEP/MAS-DGENF</v>
      </c>
      <c r="K2443" s="342" t="str">
        <f t="shared" si="2588"/>
        <v>BM/UNESCO</v>
      </c>
      <c r="L2443" s="167">
        <f t="shared" ref="L2443:Q2443" si="2622">L1532</f>
        <v>35600</v>
      </c>
      <c r="M2443" s="168">
        <f t="shared" si="2622"/>
        <v>35600</v>
      </c>
      <c r="N2443" s="168">
        <f t="shared" si="2622"/>
        <v>35600</v>
      </c>
      <c r="O2443" s="168">
        <f t="shared" si="2622"/>
        <v>35600</v>
      </c>
      <c r="P2443" s="168">
        <f t="shared" si="2622"/>
        <v>35600</v>
      </c>
      <c r="Q2443" s="165">
        <f t="shared" si="2622"/>
        <v>178000</v>
      </c>
      <c r="R2443" s="519" t="str">
        <f t="shared" ref="R2443:S2443" si="2623">R1532</f>
        <v>EPS/ESU/ETP-DEP/MAS-DGENF</v>
      </c>
      <c r="S2443" s="224" t="str">
        <f t="shared" si="2623"/>
        <v>BM/UNESCO</v>
      </c>
      <c r="T2443" s="153">
        <f>T1532</f>
        <v>0</v>
      </c>
      <c r="U2443" s="653"/>
      <c r="V2443" s="572"/>
      <c r="W2443" s="608">
        <f t="shared" si="2591"/>
        <v>178000</v>
      </c>
      <c r="X2443" s="608">
        <f t="shared" si="2592"/>
        <v>0</v>
      </c>
      <c r="Y2443" s="572" t="s">
        <v>1513</v>
      </c>
      <c r="Z2443" s="572">
        <f t="shared" si="2620"/>
        <v>0</v>
      </c>
      <c r="AA2443" s="1">
        <f t="shared" si="2621"/>
        <v>178</v>
      </c>
    </row>
    <row r="2444" spans="1:27" s="162" customFormat="1" x14ac:dyDescent="0.2">
      <c r="A2444" s="123" t="str">
        <f>A1535</f>
        <v>8.16.3.2 Publication de la carte scolaire/universitaire (papier et numérique)</v>
      </c>
      <c r="B2444" s="163"/>
      <c r="C2444" s="389" t="str">
        <f>C1535</f>
        <v>Les cartes scolaires/universitaires sont diffusées sous différents supports</v>
      </c>
      <c r="D2444" s="168">
        <f t="shared" si="2581"/>
        <v>23.68</v>
      </c>
      <c r="E2444" s="168">
        <f t="shared" si="2582"/>
        <v>30.08</v>
      </c>
      <c r="F2444" s="168">
        <f t="shared" si="2583"/>
        <v>46.08</v>
      </c>
      <c r="G2444" s="168">
        <f t="shared" si="2584"/>
        <v>62.08</v>
      </c>
      <c r="H2444" s="168">
        <f t="shared" si="2585"/>
        <v>78.08</v>
      </c>
      <c r="I2444" s="166">
        <f t="shared" si="2586"/>
        <v>240</v>
      </c>
      <c r="J2444" s="371" t="str">
        <f t="shared" si="2587"/>
        <v>EPS/ESU/ETP-DEP/MAS-DGENF</v>
      </c>
      <c r="K2444" s="342" t="str">
        <f t="shared" si="2588"/>
        <v>BM/UNESCO</v>
      </c>
      <c r="L2444" s="167">
        <f t="shared" ref="L2444:T2444" si="2624">L1535</f>
        <v>23680</v>
      </c>
      <c r="M2444" s="168">
        <f t="shared" si="2624"/>
        <v>30080</v>
      </c>
      <c r="N2444" s="168">
        <f t="shared" si="2624"/>
        <v>46080</v>
      </c>
      <c r="O2444" s="168">
        <f t="shared" si="2624"/>
        <v>62080</v>
      </c>
      <c r="P2444" s="168">
        <f t="shared" si="2624"/>
        <v>78080</v>
      </c>
      <c r="Q2444" s="165">
        <f t="shared" si="2624"/>
        <v>240000</v>
      </c>
      <c r="R2444" s="519" t="str">
        <f t="shared" ref="R2444:S2444" si="2625">R1535</f>
        <v>EPS/ESU/ETP-DEP/MAS-DGENF</v>
      </c>
      <c r="S2444" s="224" t="str">
        <f t="shared" si="2625"/>
        <v>BM/UNESCO</v>
      </c>
      <c r="T2444" s="153">
        <f t="shared" si="2624"/>
        <v>0</v>
      </c>
      <c r="U2444" s="653"/>
      <c r="V2444" s="572"/>
      <c r="W2444" s="608">
        <f t="shared" si="2591"/>
        <v>240000</v>
      </c>
      <c r="X2444" s="608">
        <f t="shared" si="2592"/>
        <v>0</v>
      </c>
      <c r="Y2444" s="572" t="s">
        <v>1513</v>
      </c>
      <c r="Z2444" s="572">
        <f t="shared" si="2620"/>
        <v>0</v>
      </c>
      <c r="AA2444" s="1">
        <f t="shared" si="2621"/>
        <v>240</v>
      </c>
    </row>
    <row r="2445" spans="1:27" s="162" customFormat="1" x14ac:dyDescent="0.2">
      <c r="A2445" s="122" t="str">
        <f>A1538</f>
        <v>8.16.4 Définition des tableaux de bord provinciaux</v>
      </c>
      <c r="B2445" s="152"/>
      <c r="C2445" s="389" t="str">
        <f>C1538</f>
        <v xml:space="preserve">A partir de 2017, chaque Proved publie un tableau de bord </v>
      </c>
      <c r="D2445" s="157">
        <f t="shared" si="2581"/>
        <v>50</v>
      </c>
      <c r="E2445" s="157">
        <f t="shared" si="2582"/>
        <v>0</v>
      </c>
      <c r="F2445" s="157">
        <f t="shared" si="2583"/>
        <v>0</v>
      </c>
      <c r="G2445" s="157">
        <f t="shared" si="2584"/>
        <v>0</v>
      </c>
      <c r="H2445" s="157">
        <f t="shared" si="2585"/>
        <v>0</v>
      </c>
      <c r="I2445" s="160">
        <f t="shared" si="2586"/>
        <v>50</v>
      </c>
      <c r="J2445" s="374">
        <f t="shared" si="2587"/>
        <v>0</v>
      </c>
      <c r="K2445" s="341">
        <f t="shared" si="2588"/>
        <v>0</v>
      </c>
      <c r="L2445" s="161">
        <f t="shared" ref="L2445:Q2445" si="2626">SUM(L2446:L2447)</f>
        <v>50000</v>
      </c>
      <c r="M2445" s="157">
        <f t="shared" si="2626"/>
        <v>0</v>
      </c>
      <c r="N2445" s="157">
        <f t="shared" si="2626"/>
        <v>0</v>
      </c>
      <c r="O2445" s="157">
        <f t="shared" si="2626"/>
        <v>0</v>
      </c>
      <c r="P2445" s="157">
        <f t="shared" si="2626"/>
        <v>0</v>
      </c>
      <c r="Q2445" s="158">
        <f t="shared" si="2626"/>
        <v>50000</v>
      </c>
      <c r="R2445" s="520">
        <f t="shared" ref="R2445:S2445" si="2627">SUM(R2446:R2447)</f>
        <v>0</v>
      </c>
      <c r="S2445" s="201">
        <f t="shared" si="2627"/>
        <v>0</v>
      </c>
      <c r="T2445" s="154">
        <f>T1538</f>
        <v>0</v>
      </c>
      <c r="U2445" s="653"/>
      <c r="V2445" s="572"/>
      <c r="W2445" s="608">
        <f t="shared" si="2591"/>
        <v>50000</v>
      </c>
      <c r="X2445" s="608">
        <f t="shared" si="2592"/>
        <v>0</v>
      </c>
      <c r="Y2445" s="572" t="s">
        <v>1513</v>
      </c>
      <c r="Z2445" s="572">
        <f t="shared" si="2620"/>
        <v>0</v>
      </c>
      <c r="AA2445" s="1">
        <f t="shared" si="2621"/>
        <v>50</v>
      </c>
    </row>
    <row r="2446" spans="1:27" s="162" customFormat="1" x14ac:dyDescent="0.2">
      <c r="A2446" s="123" t="str">
        <f>A1539</f>
        <v>8.16.4.1 Définition des méthodes d'élaboration des tableaux des tableaux de bord provinciaux</v>
      </c>
      <c r="B2446" s="152"/>
      <c r="C2446" s="389">
        <f>C1539</f>
        <v>0</v>
      </c>
      <c r="D2446" s="157">
        <f t="shared" si="2581"/>
        <v>27.75</v>
      </c>
      <c r="E2446" s="157">
        <f t="shared" si="2582"/>
        <v>0</v>
      </c>
      <c r="F2446" s="157">
        <f t="shared" si="2583"/>
        <v>0</v>
      </c>
      <c r="G2446" s="157">
        <f t="shared" si="2584"/>
        <v>0</v>
      </c>
      <c r="H2446" s="157">
        <f t="shared" si="2585"/>
        <v>0</v>
      </c>
      <c r="I2446" s="160">
        <f t="shared" si="2586"/>
        <v>27.75</v>
      </c>
      <c r="J2446" s="374" t="str">
        <f t="shared" si="2587"/>
        <v>EPS/ETP-DEP/MAS-DGENF</v>
      </c>
      <c r="K2446" s="341" t="str">
        <f t="shared" si="2588"/>
        <v>BM/UNESCO</v>
      </c>
      <c r="L2446" s="167">
        <f t="shared" ref="L2446:Q2446" si="2628">L1539</f>
        <v>27750</v>
      </c>
      <c r="M2446" s="168">
        <f t="shared" si="2628"/>
        <v>0</v>
      </c>
      <c r="N2446" s="168">
        <f t="shared" si="2628"/>
        <v>0</v>
      </c>
      <c r="O2446" s="168">
        <f t="shared" si="2628"/>
        <v>0</v>
      </c>
      <c r="P2446" s="168">
        <f t="shared" si="2628"/>
        <v>0</v>
      </c>
      <c r="Q2446" s="165">
        <f t="shared" si="2628"/>
        <v>27750</v>
      </c>
      <c r="R2446" s="519" t="str">
        <f t="shared" ref="R2446:S2446" si="2629">R1539</f>
        <v>EPS/ETP-DEP/MAS-DGENF</v>
      </c>
      <c r="S2446" s="224" t="str">
        <f t="shared" si="2629"/>
        <v>BM/UNESCO</v>
      </c>
      <c r="T2446" s="154">
        <f>T1539</f>
        <v>0</v>
      </c>
      <c r="U2446" s="653"/>
      <c r="V2446" s="572"/>
      <c r="W2446" s="608">
        <f t="shared" si="2591"/>
        <v>27750</v>
      </c>
      <c r="X2446" s="608">
        <f t="shared" si="2592"/>
        <v>0</v>
      </c>
      <c r="Y2446" s="572" t="s">
        <v>1513</v>
      </c>
      <c r="Z2446" s="572">
        <f t="shared" si="2620"/>
        <v>0</v>
      </c>
      <c r="AA2446" s="1">
        <f t="shared" si="2621"/>
        <v>27.75</v>
      </c>
    </row>
    <row r="2447" spans="1:27" s="162" customFormat="1" x14ac:dyDescent="0.2">
      <c r="A2447" s="123" t="str">
        <f>A1542</f>
        <v>8.16.4.2 Élaboration des premiers tableaux de bord provinciaux</v>
      </c>
      <c r="B2447" s="202"/>
      <c r="C2447" s="389">
        <f>C1542</f>
        <v>0</v>
      </c>
      <c r="D2447" s="168">
        <f t="shared" si="2581"/>
        <v>22.25</v>
      </c>
      <c r="E2447" s="168">
        <f t="shared" si="2582"/>
        <v>0</v>
      </c>
      <c r="F2447" s="168">
        <f t="shared" si="2583"/>
        <v>0</v>
      </c>
      <c r="G2447" s="168">
        <f t="shared" si="2584"/>
        <v>0</v>
      </c>
      <c r="H2447" s="168">
        <f t="shared" si="2585"/>
        <v>0</v>
      </c>
      <c r="I2447" s="166">
        <f t="shared" si="2586"/>
        <v>22.25</v>
      </c>
      <c r="J2447" s="371" t="str">
        <f t="shared" si="2587"/>
        <v>EPS/ETP-DEP/MAS-DGENF</v>
      </c>
      <c r="K2447" s="342" t="str">
        <f t="shared" si="2588"/>
        <v>BM/UNESCO</v>
      </c>
      <c r="L2447" s="167">
        <f t="shared" ref="L2447:T2447" si="2630">L1542</f>
        <v>22250</v>
      </c>
      <c r="M2447" s="168">
        <f t="shared" si="2630"/>
        <v>0</v>
      </c>
      <c r="N2447" s="168">
        <f t="shared" si="2630"/>
        <v>0</v>
      </c>
      <c r="O2447" s="168">
        <f t="shared" si="2630"/>
        <v>0</v>
      </c>
      <c r="P2447" s="168">
        <f t="shared" si="2630"/>
        <v>0</v>
      </c>
      <c r="Q2447" s="165">
        <f t="shared" si="2630"/>
        <v>22250</v>
      </c>
      <c r="R2447" s="519" t="str">
        <f t="shared" ref="R2447:S2447" si="2631">R1542</f>
        <v>EPS/ETP-DEP/MAS-DGENF</v>
      </c>
      <c r="S2447" s="224" t="str">
        <f t="shared" si="2631"/>
        <v>BM/UNESCO</v>
      </c>
      <c r="T2447" s="153">
        <f t="shared" si="2630"/>
        <v>0</v>
      </c>
      <c r="U2447" s="653"/>
      <c r="V2447" s="572"/>
      <c r="W2447" s="608">
        <f t="shared" si="2591"/>
        <v>22250</v>
      </c>
      <c r="X2447" s="608">
        <f t="shared" si="2592"/>
        <v>0</v>
      </c>
      <c r="Y2447" s="572" t="s">
        <v>1513</v>
      </c>
      <c r="Z2447" s="572">
        <f t="shared" si="2620"/>
        <v>0</v>
      </c>
      <c r="AA2447" s="1">
        <f t="shared" si="2621"/>
        <v>22.25</v>
      </c>
    </row>
    <row r="2448" spans="1:27" s="162" customFormat="1" x14ac:dyDescent="0.2">
      <c r="A2448" s="122" t="str">
        <f>A1545</f>
        <v>8.16.5 Généralisation des tableaux de bord provinciaux</v>
      </c>
      <c r="B2448" s="152"/>
      <c r="C2448" s="390" t="str">
        <f>C1545</f>
        <v>Les cadres et agents d'exécution de planification sont formés</v>
      </c>
      <c r="D2448" s="157">
        <f t="shared" si="2581"/>
        <v>0</v>
      </c>
      <c r="E2448" s="157">
        <f t="shared" si="2582"/>
        <v>27</v>
      </c>
      <c r="F2448" s="157">
        <f t="shared" si="2583"/>
        <v>48</v>
      </c>
      <c r="G2448" s="157">
        <f t="shared" si="2584"/>
        <v>48</v>
      </c>
      <c r="H2448" s="157">
        <f t="shared" si="2585"/>
        <v>48</v>
      </c>
      <c r="I2448" s="160">
        <f t="shared" si="2586"/>
        <v>171</v>
      </c>
      <c r="J2448" s="374">
        <f t="shared" si="2587"/>
        <v>0</v>
      </c>
      <c r="K2448" s="341">
        <f t="shared" si="2588"/>
        <v>0</v>
      </c>
      <c r="L2448" s="161">
        <f t="shared" ref="L2448:Q2448" si="2632">SUM(L2449:L2450)</f>
        <v>0</v>
      </c>
      <c r="M2448" s="157">
        <f t="shared" si="2632"/>
        <v>27000</v>
      </c>
      <c r="N2448" s="157">
        <f t="shared" si="2632"/>
        <v>48000</v>
      </c>
      <c r="O2448" s="157">
        <f t="shared" si="2632"/>
        <v>48000</v>
      </c>
      <c r="P2448" s="157">
        <f t="shared" si="2632"/>
        <v>48000</v>
      </c>
      <c r="Q2448" s="158">
        <f t="shared" si="2632"/>
        <v>171000</v>
      </c>
      <c r="R2448" s="520">
        <f t="shared" ref="R2448:S2448" si="2633">SUM(R2449:R2450)</f>
        <v>0</v>
      </c>
      <c r="S2448" s="201">
        <f t="shared" si="2633"/>
        <v>0</v>
      </c>
      <c r="T2448" s="154">
        <f>T1545</f>
        <v>0</v>
      </c>
      <c r="U2448" s="653"/>
      <c r="V2448" s="572"/>
      <c r="W2448" s="608">
        <f t="shared" si="2591"/>
        <v>171000</v>
      </c>
      <c r="X2448" s="608">
        <f t="shared" si="2592"/>
        <v>0</v>
      </c>
      <c r="Y2448" s="572" t="s">
        <v>1513</v>
      </c>
      <c r="Z2448" s="572">
        <f t="shared" si="2620"/>
        <v>0</v>
      </c>
      <c r="AA2448" s="1">
        <f t="shared" si="2621"/>
        <v>171</v>
      </c>
    </row>
    <row r="2449" spans="1:27" s="162" customFormat="1" x14ac:dyDescent="0.2">
      <c r="A2449" s="123" t="str">
        <f>A1546</f>
        <v>8.16.5.1 Formation aux outils et méthodes</v>
      </c>
      <c r="B2449" s="202"/>
      <c r="C2449" s="389">
        <f>C1546</f>
        <v>0</v>
      </c>
      <c r="D2449" s="168">
        <f t="shared" si="2581"/>
        <v>0</v>
      </c>
      <c r="E2449" s="168">
        <f t="shared" si="2582"/>
        <v>27</v>
      </c>
      <c r="F2449" s="168">
        <f t="shared" si="2583"/>
        <v>0</v>
      </c>
      <c r="G2449" s="168">
        <f t="shared" si="2584"/>
        <v>0</v>
      </c>
      <c r="H2449" s="168">
        <f t="shared" si="2585"/>
        <v>0</v>
      </c>
      <c r="I2449" s="166">
        <f t="shared" si="2586"/>
        <v>27</v>
      </c>
      <c r="J2449" s="371" t="str">
        <f t="shared" si="2587"/>
        <v>EPS/ETP-DEP/MAS-DGENF</v>
      </c>
      <c r="K2449" s="342" t="str">
        <f t="shared" si="2588"/>
        <v>BM/UNESCO</v>
      </c>
      <c r="L2449" s="167">
        <f t="shared" ref="L2449:Q2449" si="2634">L1546</f>
        <v>0</v>
      </c>
      <c r="M2449" s="168">
        <f t="shared" si="2634"/>
        <v>27000</v>
      </c>
      <c r="N2449" s="168">
        <f t="shared" si="2634"/>
        <v>0</v>
      </c>
      <c r="O2449" s="168">
        <f t="shared" si="2634"/>
        <v>0</v>
      </c>
      <c r="P2449" s="168">
        <f t="shared" si="2634"/>
        <v>0</v>
      </c>
      <c r="Q2449" s="165">
        <f t="shared" si="2634"/>
        <v>27000</v>
      </c>
      <c r="R2449" s="519" t="str">
        <f t="shared" ref="R2449:S2449" si="2635">R1546</f>
        <v>EPS/ETP-DEP/MAS-DGENF</v>
      </c>
      <c r="S2449" s="224" t="str">
        <f t="shared" si="2635"/>
        <v>BM/UNESCO</v>
      </c>
      <c r="T2449" s="153">
        <f>T1546</f>
        <v>0</v>
      </c>
      <c r="U2449" s="653"/>
      <c r="V2449" s="572"/>
      <c r="W2449" s="608">
        <f t="shared" si="2591"/>
        <v>27000</v>
      </c>
      <c r="X2449" s="608">
        <f t="shared" si="2592"/>
        <v>0</v>
      </c>
      <c r="Y2449" s="572" t="s">
        <v>1513</v>
      </c>
      <c r="Z2449" s="572">
        <f t="shared" si="2620"/>
        <v>0</v>
      </c>
      <c r="AA2449" s="1">
        <f t="shared" si="2621"/>
        <v>27</v>
      </c>
    </row>
    <row r="2450" spans="1:27" s="162" customFormat="1" x14ac:dyDescent="0.2">
      <c r="A2450" s="123" t="str">
        <f>A1549</f>
        <v>8.16.5.2 Publication et diffusion des tableaux de bords provinciaux</v>
      </c>
      <c r="B2450" s="202"/>
      <c r="C2450" s="389">
        <f>C1549</f>
        <v>0</v>
      </c>
      <c r="D2450" s="168">
        <f t="shared" si="2581"/>
        <v>0</v>
      </c>
      <c r="E2450" s="168">
        <f t="shared" si="2582"/>
        <v>0</v>
      </c>
      <c r="F2450" s="168">
        <f t="shared" si="2583"/>
        <v>48</v>
      </c>
      <c r="G2450" s="168">
        <f t="shared" si="2584"/>
        <v>48</v>
      </c>
      <c r="H2450" s="168">
        <f t="shared" si="2585"/>
        <v>48</v>
      </c>
      <c r="I2450" s="166">
        <f t="shared" si="2586"/>
        <v>144</v>
      </c>
      <c r="J2450" s="371" t="str">
        <f t="shared" si="2587"/>
        <v>EPS/ETP-DEP/MAS-DGENF</v>
      </c>
      <c r="K2450" s="342" t="str">
        <f t="shared" si="2588"/>
        <v>BM/UNESCO</v>
      </c>
      <c r="L2450" s="167">
        <f t="shared" ref="L2450:T2450" si="2636">L1549</f>
        <v>0</v>
      </c>
      <c r="M2450" s="168">
        <f t="shared" si="2636"/>
        <v>0</v>
      </c>
      <c r="N2450" s="168">
        <f t="shared" si="2636"/>
        <v>48000</v>
      </c>
      <c r="O2450" s="168">
        <f t="shared" si="2636"/>
        <v>48000</v>
      </c>
      <c r="P2450" s="168">
        <f t="shared" si="2636"/>
        <v>48000</v>
      </c>
      <c r="Q2450" s="165">
        <f t="shared" si="2636"/>
        <v>144000</v>
      </c>
      <c r="R2450" s="519" t="str">
        <f t="shared" ref="R2450:S2450" si="2637">R1549</f>
        <v>EPS/ETP-DEP/MAS-DGENF</v>
      </c>
      <c r="S2450" s="224" t="str">
        <f t="shared" si="2637"/>
        <v>BM/UNESCO</v>
      </c>
      <c r="T2450" s="153">
        <f t="shared" si="2636"/>
        <v>0</v>
      </c>
      <c r="U2450" s="653"/>
      <c r="V2450" s="572"/>
      <c r="W2450" s="608">
        <f t="shared" si="2591"/>
        <v>144000</v>
      </c>
      <c r="X2450" s="608">
        <f t="shared" si="2592"/>
        <v>0</v>
      </c>
      <c r="Y2450" s="572" t="s">
        <v>1513</v>
      </c>
      <c r="Z2450" s="572">
        <f t="shared" si="2620"/>
        <v>0</v>
      </c>
      <c r="AA2450" s="1">
        <f t="shared" si="2621"/>
        <v>144</v>
      </c>
    </row>
    <row r="2451" spans="1:27" x14ac:dyDescent="0.2">
      <c r="A2451" s="14" t="str">
        <f>A1552</f>
        <v>8.17 Politique nationale Éducation en situation d’urgence, post-conflits &amp; post catastrophes : identifier les stratégies pour prévenir et atténuer les risques de conflits et de catastrophes et Renforcer des capacités institutionnelles et améliorer la gestion des risques</v>
      </c>
      <c r="B2451" s="44"/>
      <c r="C2451" s="385">
        <f>C1552</f>
        <v>0</v>
      </c>
      <c r="D2451" s="217">
        <f t="shared" si="2581"/>
        <v>4238.3500000000004</v>
      </c>
      <c r="E2451" s="217">
        <f t="shared" si="2582"/>
        <v>4209.95</v>
      </c>
      <c r="F2451" s="217">
        <f t="shared" si="2583"/>
        <v>4210.3500000000004</v>
      </c>
      <c r="G2451" s="217">
        <f t="shared" si="2584"/>
        <v>4159.3500000000004</v>
      </c>
      <c r="H2451" s="217">
        <f t="shared" si="2585"/>
        <v>4159.3500000000004</v>
      </c>
      <c r="I2451" s="220">
        <f t="shared" si="2586"/>
        <v>20977.35</v>
      </c>
      <c r="J2451" s="373">
        <f t="shared" si="2587"/>
        <v>0</v>
      </c>
      <c r="K2451" s="346">
        <f t="shared" si="2588"/>
        <v>0</v>
      </c>
      <c r="L2451" s="33">
        <f>+L2452+L2454+L2456+L2459+L2461+L2463+L2465+L2470+L2473+L2475+L2478+L2480+L2483</f>
        <v>4238350</v>
      </c>
      <c r="M2451" s="32">
        <f t="shared" ref="M2451:Q2451" si="2638">+M2452+M2454+M2456+M2459+M2461+M2463+M2465+M2470+M2473+M2475+M2478+M2480+M2483</f>
        <v>4209950</v>
      </c>
      <c r="N2451" s="32">
        <f t="shared" si="2638"/>
        <v>4210350</v>
      </c>
      <c r="O2451" s="32">
        <f t="shared" si="2638"/>
        <v>4159350</v>
      </c>
      <c r="P2451" s="32">
        <f t="shared" si="2638"/>
        <v>4159350</v>
      </c>
      <c r="Q2451" s="25">
        <f t="shared" si="2638"/>
        <v>20977350</v>
      </c>
      <c r="R2451" s="515">
        <f t="shared" ref="R2451:S2451" si="2639">+R2452+R2454+R2456+R2459+R2461+R2463+R2465+R2470+R2473+R2475+R2478+R2480+R2483</f>
        <v>0</v>
      </c>
      <c r="S2451" s="145">
        <f t="shared" si="2639"/>
        <v>0</v>
      </c>
      <c r="T2451" s="49">
        <f>T1552</f>
        <v>3</v>
      </c>
      <c r="W2451" s="608">
        <f t="shared" si="2591"/>
        <v>20977350</v>
      </c>
      <c r="X2451" s="608">
        <f t="shared" si="2592"/>
        <v>0</v>
      </c>
      <c r="Y2451" s="572" t="s">
        <v>1513</v>
      </c>
      <c r="Z2451" s="572">
        <f t="shared" si="2620"/>
        <v>0</v>
      </c>
      <c r="AA2451" s="1">
        <f t="shared" si="2621"/>
        <v>20977.35</v>
      </c>
    </row>
    <row r="2452" spans="1:27" x14ac:dyDescent="0.2">
      <c r="A2452" s="17" t="str">
        <f>A1553</f>
        <v>8.17.1 Prévention des catastrophes : Création d'une cellule de coordination</v>
      </c>
      <c r="B2452" s="45"/>
      <c r="C2452" s="386" t="str">
        <f>C1553</f>
        <v>La cellule de coordination est créée en 2016</v>
      </c>
      <c r="D2452" s="157">
        <f t="shared" ref="D2452:I2453" si="2640">L2452/1000</f>
        <v>13</v>
      </c>
      <c r="E2452" s="157">
        <f t="shared" si="2640"/>
        <v>0</v>
      </c>
      <c r="F2452" s="157">
        <f t="shared" si="2640"/>
        <v>0</v>
      </c>
      <c r="G2452" s="157">
        <f t="shared" si="2640"/>
        <v>0</v>
      </c>
      <c r="H2452" s="157">
        <f t="shared" si="2640"/>
        <v>0</v>
      </c>
      <c r="I2452" s="160">
        <f t="shared" si="2640"/>
        <v>13</v>
      </c>
      <c r="J2452" s="374">
        <f>R2452</f>
        <v>0</v>
      </c>
      <c r="K2452" s="348">
        <f>S2452</f>
        <v>0</v>
      </c>
      <c r="L2452" s="35">
        <f t="shared" ref="L2452:S2452" si="2641">SUM(L2453:L2453)</f>
        <v>13000</v>
      </c>
      <c r="M2452" s="34">
        <f t="shared" si="2641"/>
        <v>0</v>
      </c>
      <c r="N2452" s="34">
        <f t="shared" si="2641"/>
        <v>0</v>
      </c>
      <c r="O2452" s="34">
        <f t="shared" si="2641"/>
        <v>0</v>
      </c>
      <c r="P2452" s="34">
        <f t="shared" si="2641"/>
        <v>0</v>
      </c>
      <c r="Q2452" s="26">
        <f t="shared" si="2641"/>
        <v>13000</v>
      </c>
      <c r="R2452" s="518">
        <f t="shared" si="2641"/>
        <v>0</v>
      </c>
      <c r="S2452" s="181">
        <f t="shared" si="2641"/>
        <v>0</v>
      </c>
      <c r="T2452" s="50">
        <f>T1553</f>
        <v>0</v>
      </c>
      <c r="W2452" s="608">
        <f>SUM(L2452:P2452)</f>
        <v>13000</v>
      </c>
      <c r="X2452" s="608">
        <f>W2452-Q2452</f>
        <v>0</v>
      </c>
      <c r="Z2452" s="572">
        <f t="shared" si="2620"/>
        <v>0</v>
      </c>
      <c r="AA2452" s="1">
        <f t="shared" si="2621"/>
        <v>0</v>
      </c>
    </row>
    <row r="2453" spans="1:27" x14ac:dyDescent="0.2">
      <c r="A2453" s="20" t="str">
        <f>A1554</f>
        <v>8.17.1.1 Définition de la structure/prérogatives/composition de la cellule</v>
      </c>
      <c r="B2453" s="46"/>
      <c r="C2453" s="386">
        <f>C1554</f>
        <v>0</v>
      </c>
      <c r="D2453" s="168">
        <f t="shared" si="2640"/>
        <v>13</v>
      </c>
      <c r="E2453" s="168">
        <f t="shared" si="2640"/>
        <v>0</v>
      </c>
      <c r="F2453" s="168">
        <f t="shared" si="2640"/>
        <v>0</v>
      </c>
      <c r="G2453" s="168">
        <f t="shared" si="2640"/>
        <v>0</v>
      </c>
      <c r="H2453" s="168">
        <f t="shared" si="2640"/>
        <v>0</v>
      </c>
      <c r="I2453" s="166">
        <f t="shared" si="2640"/>
        <v>13</v>
      </c>
      <c r="J2453" s="371" t="str">
        <f>R2453</f>
        <v>SPACE</v>
      </c>
      <c r="K2453" s="350" t="str">
        <f>S2453</f>
        <v>ND</v>
      </c>
      <c r="L2453" s="167">
        <f t="shared" ref="L2453:Q2453" si="2642">L1554</f>
        <v>13000</v>
      </c>
      <c r="M2453" s="168">
        <f t="shared" si="2642"/>
        <v>0</v>
      </c>
      <c r="N2453" s="168">
        <f t="shared" si="2642"/>
        <v>0</v>
      </c>
      <c r="O2453" s="168">
        <f t="shared" si="2642"/>
        <v>0</v>
      </c>
      <c r="P2453" s="168">
        <f t="shared" si="2642"/>
        <v>0</v>
      </c>
      <c r="Q2453" s="165">
        <f t="shared" si="2642"/>
        <v>13000</v>
      </c>
      <c r="R2453" s="205" t="str">
        <f t="shared" ref="R2453:S2453" si="2643">R1554</f>
        <v>SPACE</v>
      </c>
      <c r="S2453" s="183" t="str">
        <f t="shared" si="2643"/>
        <v>ND</v>
      </c>
      <c r="T2453" s="51">
        <f>T1554</f>
        <v>0</v>
      </c>
      <c r="W2453" s="608">
        <f>SUM(L2453:P2453)</f>
        <v>13000</v>
      </c>
      <c r="X2453" s="608">
        <f>W2453-Q2453</f>
        <v>0</v>
      </c>
      <c r="Z2453" s="572">
        <f t="shared" si="2620"/>
        <v>0</v>
      </c>
      <c r="AA2453" s="1">
        <f t="shared" si="2621"/>
        <v>0</v>
      </c>
    </row>
    <row r="2454" spans="1:27" x14ac:dyDescent="0.2">
      <c r="A2454" s="17" t="str">
        <f>A1557</f>
        <v>8.17.2 Étude sur la vulnérabilité</v>
      </c>
      <c r="B2454" s="45"/>
      <c r="C2454" s="386">
        <f>C1557</f>
        <v>0</v>
      </c>
      <c r="D2454" s="157">
        <f t="shared" si="2581"/>
        <v>0</v>
      </c>
      <c r="E2454" s="157">
        <f t="shared" si="2582"/>
        <v>25.5</v>
      </c>
      <c r="F2454" s="157">
        <f t="shared" si="2583"/>
        <v>0</v>
      </c>
      <c r="G2454" s="157">
        <f t="shared" si="2584"/>
        <v>0</v>
      </c>
      <c r="H2454" s="157">
        <f t="shared" si="2585"/>
        <v>0</v>
      </c>
      <c r="I2454" s="160">
        <f t="shared" si="2586"/>
        <v>25.5</v>
      </c>
      <c r="J2454" s="374">
        <f t="shared" si="2587"/>
        <v>0</v>
      </c>
      <c r="K2454" s="348">
        <f t="shared" si="2588"/>
        <v>0</v>
      </c>
      <c r="L2454" s="35">
        <f t="shared" ref="L2454:S2454" si="2644">SUM(L2455:L2455)</f>
        <v>0</v>
      </c>
      <c r="M2454" s="34">
        <f t="shared" si="2644"/>
        <v>25500</v>
      </c>
      <c r="N2454" s="34">
        <f t="shared" si="2644"/>
        <v>0</v>
      </c>
      <c r="O2454" s="34">
        <f t="shared" si="2644"/>
        <v>0</v>
      </c>
      <c r="P2454" s="34">
        <f t="shared" si="2644"/>
        <v>0</v>
      </c>
      <c r="Q2454" s="26">
        <f t="shared" si="2644"/>
        <v>25500</v>
      </c>
      <c r="R2454" s="209">
        <f t="shared" si="2644"/>
        <v>0</v>
      </c>
      <c r="S2454" s="116">
        <f t="shared" si="2644"/>
        <v>0</v>
      </c>
      <c r="T2454" s="50">
        <f>T1557</f>
        <v>0</v>
      </c>
      <c r="W2454" s="608">
        <f t="shared" si="2591"/>
        <v>25500</v>
      </c>
      <c r="X2454" s="608">
        <f t="shared" si="2592"/>
        <v>0</v>
      </c>
      <c r="Z2454" s="572">
        <f t="shared" si="2620"/>
        <v>0</v>
      </c>
      <c r="AA2454" s="1">
        <f t="shared" si="2621"/>
        <v>0</v>
      </c>
    </row>
    <row r="2455" spans="1:27" x14ac:dyDescent="0.2">
      <c r="A2455" s="20" t="str">
        <f>A1558</f>
        <v>8.17.2.1 Élaboration d'une étude sur la vulnérabilité</v>
      </c>
      <c r="B2455" s="46"/>
      <c r="C2455" s="386">
        <f>C1558</f>
        <v>0</v>
      </c>
      <c r="D2455" s="168">
        <f t="shared" si="2581"/>
        <v>0</v>
      </c>
      <c r="E2455" s="168">
        <f t="shared" si="2582"/>
        <v>25.5</v>
      </c>
      <c r="F2455" s="168">
        <f t="shared" si="2583"/>
        <v>0</v>
      </c>
      <c r="G2455" s="168">
        <f t="shared" si="2584"/>
        <v>0</v>
      </c>
      <c r="H2455" s="168">
        <f t="shared" si="2585"/>
        <v>0</v>
      </c>
      <c r="I2455" s="166">
        <f t="shared" si="2586"/>
        <v>25.5</v>
      </c>
      <c r="J2455" s="371" t="str">
        <f t="shared" si="2587"/>
        <v>SPACE</v>
      </c>
      <c r="K2455" s="350" t="str">
        <f t="shared" si="2588"/>
        <v>Unicef/Save Children</v>
      </c>
      <c r="L2455" s="167">
        <f t="shared" ref="L2455:Q2455" si="2645">L1558</f>
        <v>0</v>
      </c>
      <c r="M2455" s="168">
        <f t="shared" si="2645"/>
        <v>25500</v>
      </c>
      <c r="N2455" s="168">
        <f t="shared" si="2645"/>
        <v>0</v>
      </c>
      <c r="O2455" s="168">
        <f t="shared" si="2645"/>
        <v>0</v>
      </c>
      <c r="P2455" s="168">
        <f t="shared" si="2645"/>
        <v>0</v>
      </c>
      <c r="Q2455" s="165">
        <f t="shared" si="2645"/>
        <v>25500</v>
      </c>
      <c r="R2455" s="198" t="str">
        <f t="shared" ref="R2455:S2455" si="2646">R1558</f>
        <v>SPACE</v>
      </c>
      <c r="S2455" s="115" t="str">
        <f t="shared" si="2646"/>
        <v>Unicef/Save Children</v>
      </c>
      <c r="T2455" s="51">
        <f>T1558</f>
        <v>0</v>
      </c>
      <c r="W2455" s="608">
        <f t="shared" si="2591"/>
        <v>25500</v>
      </c>
      <c r="X2455" s="608">
        <f t="shared" si="2592"/>
        <v>0</v>
      </c>
      <c r="Z2455" s="572">
        <f t="shared" si="2620"/>
        <v>0</v>
      </c>
      <c r="AA2455" s="1">
        <f t="shared" si="2621"/>
        <v>0</v>
      </c>
    </row>
    <row r="2456" spans="1:27" x14ac:dyDescent="0.2">
      <c r="A2456" s="17" t="str">
        <f>A1561</f>
        <v>8.17.3 Définition des stratégies pour prévenir et atténuer les risques</v>
      </c>
      <c r="B2456" s="45"/>
      <c r="C2456" s="386">
        <f>C1561</f>
        <v>0</v>
      </c>
      <c r="D2456" s="157">
        <f t="shared" si="2581"/>
        <v>0</v>
      </c>
      <c r="E2456" s="157">
        <f t="shared" si="2582"/>
        <v>0</v>
      </c>
      <c r="F2456" s="157">
        <f t="shared" si="2583"/>
        <v>45.5</v>
      </c>
      <c r="G2456" s="157">
        <f t="shared" si="2584"/>
        <v>0</v>
      </c>
      <c r="H2456" s="157">
        <f t="shared" si="2585"/>
        <v>0</v>
      </c>
      <c r="I2456" s="160">
        <f t="shared" si="2586"/>
        <v>45.5</v>
      </c>
      <c r="J2456" s="374">
        <f t="shared" si="2587"/>
        <v>0</v>
      </c>
      <c r="K2456" s="348">
        <f t="shared" si="2588"/>
        <v>0</v>
      </c>
      <c r="L2456" s="35">
        <f t="shared" ref="L2456:Q2456" si="2647">SUM(L2457:L2458)</f>
        <v>0</v>
      </c>
      <c r="M2456" s="34">
        <f t="shared" si="2647"/>
        <v>0</v>
      </c>
      <c r="N2456" s="34">
        <f t="shared" si="2647"/>
        <v>45500</v>
      </c>
      <c r="O2456" s="34">
        <f t="shared" si="2647"/>
        <v>0</v>
      </c>
      <c r="P2456" s="34">
        <f t="shared" si="2647"/>
        <v>0</v>
      </c>
      <c r="Q2456" s="26">
        <f t="shared" si="2647"/>
        <v>45500</v>
      </c>
      <c r="R2456" s="209">
        <f t="shared" ref="R2456:S2456" si="2648">SUM(R2457:R2458)</f>
        <v>0</v>
      </c>
      <c r="S2456" s="116">
        <f t="shared" si="2648"/>
        <v>0</v>
      </c>
      <c r="T2456" s="50">
        <f>T1561</f>
        <v>0</v>
      </c>
      <c r="W2456" s="608">
        <f t="shared" si="2591"/>
        <v>45500</v>
      </c>
      <c r="X2456" s="608">
        <f t="shared" si="2592"/>
        <v>0</v>
      </c>
      <c r="Z2456" s="572">
        <f t="shared" si="2620"/>
        <v>0</v>
      </c>
      <c r="AA2456" s="1">
        <f t="shared" si="2621"/>
        <v>0</v>
      </c>
    </row>
    <row r="2457" spans="1:27" x14ac:dyDescent="0.2">
      <c r="A2457" s="20" t="str">
        <f>A1562</f>
        <v>8.17.3.1 Élaboration d'une stratégie de prévention des risques</v>
      </c>
      <c r="B2457" s="46"/>
      <c r="C2457" s="386">
        <f>C1562</f>
        <v>0</v>
      </c>
      <c r="D2457" s="168">
        <f t="shared" si="2581"/>
        <v>0</v>
      </c>
      <c r="E2457" s="168">
        <f t="shared" si="2582"/>
        <v>0</v>
      </c>
      <c r="F2457" s="168">
        <f t="shared" si="2583"/>
        <v>31.5</v>
      </c>
      <c r="G2457" s="168">
        <f t="shared" si="2584"/>
        <v>0</v>
      </c>
      <c r="H2457" s="168">
        <f t="shared" si="2585"/>
        <v>0</v>
      </c>
      <c r="I2457" s="166">
        <f t="shared" si="2586"/>
        <v>31.5</v>
      </c>
      <c r="J2457" s="371" t="str">
        <f t="shared" si="2587"/>
        <v>SPACE</v>
      </c>
      <c r="K2457" s="350" t="str">
        <f t="shared" si="2588"/>
        <v>Unicef/Save Children</v>
      </c>
      <c r="L2457" s="167">
        <f t="shared" ref="L2457:Q2457" si="2649">L1562</f>
        <v>0</v>
      </c>
      <c r="M2457" s="168">
        <f t="shared" si="2649"/>
        <v>0</v>
      </c>
      <c r="N2457" s="168">
        <f t="shared" si="2649"/>
        <v>31500</v>
      </c>
      <c r="O2457" s="168">
        <f t="shared" si="2649"/>
        <v>0</v>
      </c>
      <c r="P2457" s="168">
        <f t="shared" si="2649"/>
        <v>0</v>
      </c>
      <c r="Q2457" s="165">
        <f t="shared" si="2649"/>
        <v>31500</v>
      </c>
      <c r="R2457" s="198" t="str">
        <f t="shared" ref="R2457:S2457" si="2650">R1562</f>
        <v>SPACE</v>
      </c>
      <c r="S2457" s="115" t="str">
        <f t="shared" si="2650"/>
        <v>Unicef/Save Children</v>
      </c>
      <c r="T2457" s="51">
        <f>T1562</f>
        <v>0</v>
      </c>
      <c r="W2457" s="608">
        <f t="shared" si="2591"/>
        <v>31500</v>
      </c>
      <c r="X2457" s="608">
        <f t="shared" si="2592"/>
        <v>0</v>
      </c>
      <c r="Z2457" s="572">
        <f t="shared" si="2620"/>
        <v>0</v>
      </c>
      <c r="AA2457" s="1">
        <f t="shared" si="2621"/>
        <v>0</v>
      </c>
    </row>
    <row r="2458" spans="1:27" x14ac:dyDescent="0.2">
      <c r="A2458" s="20" t="str">
        <f>A1566</f>
        <v>8.17.3.2 Définir les indicateurs de vulnérabilité et les modalité de leur production</v>
      </c>
      <c r="B2458" s="46"/>
      <c r="C2458" s="386">
        <f>C1566</f>
        <v>0</v>
      </c>
      <c r="D2458" s="168">
        <f t="shared" si="2581"/>
        <v>0</v>
      </c>
      <c r="E2458" s="168">
        <f t="shared" si="2582"/>
        <v>0</v>
      </c>
      <c r="F2458" s="168">
        <f t="shared" si="2583"/>
        <v>14</v>
      </c>
      <c r="G2458" s="168">
        <f t="shared" si="2584"/>
        <v>0</v>
      </c>
      <c r="H2458" s="168">
        <f t="shared" si="2585"/>
        <v>0</v>
      </c>
      <c r="I2458" s="166">
        <f t="shared" si="2586"/>
        <v>14</v>
      </c>
      <c r="J2458" s="371" t="str">
        <f t="shared" si="2587"/>
        <v>SPACE/DEP/CTS</v>
      </c>
      <c r="K2458" s="350" t="str">
        <f t="shared" si="2588"/>
        <v>Unicef/Save Children</v>
      </c>
      <c r="L2458" s="167">
        <f t="shared" ref="L2458:T2458" si="2651">L1566</f>
        <v>0</v>
      </c>
      <c r="M2458" s="168">
        <f t="shared" si="2651"/>
        <v>0</v>
      </c>
      <c r="N2458" s="168">
        <f t="shared" si="2651"/>
        <v>14000</v>
      </c>
      <c r="O2458" s="168">
        <f t="shared" si="2651"/>
        <v>0</v>
      </c>
      <c r="P2458" s="168">
        <f t="shared" si="2651"/>
        <v>0</v>
      </c>
      <c r="Q2458" s="165">
        <f t="shared" si="2651"/>
        <v>14000</v>
      </c>
      <c r="R2458" s="198" t="str">
        <f t="shared" ref="R2458:S2458" si="2652">R1566</f>
        <v>SPACE/DEP/CTS</v>
      </c>
      <c r="S2458" s="115" t="str">
        <f t="shared" si="2652"/>
        <v>Unicef/Save Children</v>
      </c>
      <c r="T2458" s="51">
        <f t="shared" si="2651"/>
        <v>0</v>
      </c>
      <c r="W2458" s="608">
        <f t="shared" si="2591"/>
        <v>14000</v>
      </c>
      <c r="X2458" s="608">
        <f t="shared" si="2592"/>
        <v>0</v>
      </c>
      <c r="Z2458" s="572">
        <f t="shared" si="2620"/>
        <v>0</v>
      </c>
      <c r="AA2458" s="1">
        <f t="shared" si="2621"/>
        <v>0</v>
      </c>
    </row>
    <row r="2459" spans="1:27" x14ac:dyDescent="0.2">
      <c r="A2459" s="17" t="str">
        <f>A1569</f>
        <v>8.17.4 Renforcer le rôle de coordination aux niveaux central et décentralisés</v>
      </c>
      <c r="B2459" s="45"/>
      <c r="C2459" s="386">
        <f>C1569</f>
        <v>0</v>
      </c>
      <c r="D2459" s="157">
        <f t="shared" si="2581"/>
        <v>11.5</v>
      </c>
      <c r="E2459" s="157">
        <f t="shared" si="2582"/>
        <v>0</v>
      </c>
      <c r="F2459" s="157">
        <f t="shared" si="2583"/>
        <v>0</v>
      </c>
      <c r="G2459" s="157">
        <f t="shared" si="2584"/>
        <v>0</v>
      </c>
      <c r="H2459" s="157">
        <f t="shared" si="2585"/>
        <v>0</v>
      </c>
      <c r="I2459" s="160">
        <f t="shared" si="2586"/>
        <v>11.5</v>
      </c>
      <c r="J2459" s="374">
        <f t="shared" si="2587"/>
        <v>0</v>
      </c>
      <c r="K2459" s="348">
        <f t="shared" si="2588"/>
        <v>0</v>
      </c>
      <c r="L2459" s="35">
        <f t="shared" ref="L2459:S2459" si="2653">SUM(L2460:L2460)</f>
        <v>11500</v>
      </c>
      <c r="M2459" s="34">
        <f t="shared" si="2653"/>
        <v>0</v>
      </c>
      <c r="N2459" s="34">
        <f t="shared" si="2653"/>
        <v>0</v>
      </c>
      <c r="O2459" s="34">
        <f t="shared" si="2653"/>
        <v>0</v>
      </c>
      <c r="P2459" s="34">
        <f t="shared" si="2653"/>
        <v>0</v>
      </c>
      <c r="Q2459" s="26">
        <f t="shared" si="2653"/>
        <v>11500</v>
      </c>
      <c r="R2459" s="209">
        <f t="shared" si="2653"/>
        <v>0</v>
      </c>
      <c r="S2459" s="116">
        <f t="shared" si="2653"/>
        <v>0</v>
      </c>
      <c r="T2459" s="50">
        <f>T1569</f>
        <v>0</v>
      </c>
      <c r="W2459" s="608">
        <f t="shared" si="2591"/>
        <v>11500</v>
      </c>
      <c r="X2459" s="608">
        <f t="shared" si="2592"/>
        <v>0</v>
      </c>
      <c r="Y2459" s="572" t="s">
        <v>1513</v>
      </c>
      <c r="Z2459" s="572">
        <f t="shared" si="2620"/>
        <v>0</v>
      </c>
      <c r="AA2459" s="1">
        <f t="shared" si="2621"/>
        <v>11.5</v>
      </c>
    </row>
    <row r="2460" spans="1:27" x14ac:dyDescent="0.2">
      <c r="A2460" s="20" t="str">
        <f>A1570</f>
        <v>8.17.4.1 Organisation du montage institutionnel et installation des structures provinciales</v>
      </c>
      <c r="B2460" s="46"/>
      <c r="C2460" s="386">
        <f>C1570</f>
        <v>0</v>
      </c>
      <c r="D2460" s="168">
        <f t="shared" si="2581"/>
        <v>11.5</v>
      </c>
      <c r="E2460" s="168">
        <f t="shared" si="2582"/>
        <v>0</v>
      </c>
      <c r="F2460" s="168">
        <f t="shared" si="2583"/>
        <v>0</v>
      </c>
      <c r="G2460" s="168">
        <f t="shared" si="2584"/>
        <v>0</v>
      </c>
      <c r="H2460" s="168">
        <f t="shared" si="2585"/>
        <v>0</v>
      </c>
      <c r="I2460" s="166">
        <f t="shared" si="2586"/>
        <v>11.5</v>
      </c>
      <c r="J2460" s="371" t="str">
        <f t="shared" si="2587"/>
        <v>SPACE/Directions Techniques</v>
      </c>
      <c r="K2460" s="350" t="str">
        <f t="shared" si="2588"/>
        <v>Unicef/Save Children</v>
      </c>
      <c r="L2460" s="167">
        <f t="shared" ref="L2460:Q2460" si="2654">L1570</f>
        <v>11500</v>
      </c>
      <c r="M2460" s="168">
        <f t="shared" si="2654"/>
        <v>0</v>
      </c>
      <c r="N2460" s="168">
        <f t="shared" si="2654"/>
        <v>0</v>
      </c>
      <c r="O2460" s="168">
        <f t="shared" si="2654"/>
        <v>0</v>
      </c>
      <c r="P2460" s="168">
        <f t="shared" si="2654"/>
        <v>0</v>
      </c>
      <c r="Q2460" s="165">
        <f t="shared" si="2654"/>
        <v>11500</v>
      </c>
      <c r="R2460" s="198" t="str">
        <f t="shared" ref="R2460:S2460" si="2655">R1570</f>
        <v>SPACE/Directions Techniques</v>
      </c>
      <c r="S2460" s="115" t="str">
        <f t="shared" si="2655"/>
        <v>Unicef/Save Children</v>
      </c>
      <c r="T2460" s="51">
        <f>T1570</f>
        <v>0</v>
      </c>
      <c r="W2460" s="608">
        <f t="shared" si="2591"/>
        <v>11500</v>
      </c>
      <c r="X2460" s="608">
        <f t="shared" si="2592"/>
        <v>0</v>
      </c>
      <c r="Y2460" s="572" t="s">
        <v>1513</v>
      </c>
      <c r="Z2460" s="572">
        <f t="shared" si="2620"/>
        <v>0</v>
      </c>
      <c r="AA2460" s="1">
        <f t="shared" si="2621"/>
        <v>11.5</v>
      </c>
    </row>
    <row r="2461" spans="1:27" x14ac:dyDescent="0.2">
      <c r="A2461" s="17" t="str">
        <f>A1573</f>
        <v>8.17.5 Plans d'action pour les zones à risque</v>
      </c>
      <c r="B2461" s="45"/>
      <c r="C2461" s="386">
        <f>C1573</f>
        <v>0</v>
      </c>
      <c r="D2461" s="157">
        <f t="shared" si="2581"/>
        <v>34.5</v>
      </c>
      <c r="E2461" s="157">
        <f t="shared" si="2582"/>
        <v>0</v>
      </c>
      <c r="F2461" s="157">
        <f t="shared" si="2583"/>
        <v>0</v>
      </c>
      <c r="G2461" s="157">
        <f t="shared" si="2584"/>
        <v>0</v>
      </c>
      <c r="H2461" s="157">
        <f t="shared" si="2585"/>
        <v>0</v>
      </c>
      <c r="I2461" s="160">
        <f t="shared" si="2586"/>
        <v>34.5</v>
      </c>
      <c r="J2461" s="374">
        <f t="shared" si="2587"/>
        <v>0</v>
      </c>
      <c r="K2461" s="348">
        <f t="shared" si="2588"/>
        <v>0</v>
      </c>
      <c r="L2461" s="35">
        <f t="shared" ref="L2461:S2461" si="2656">SUM(L2462:L2462)</f>
        <v>34500</v>
      </c>
      <c r="M2461" s="34">
        <f t="shared" si="2656"/>
        <v>0</v>
      </c>
      <c r="N2461" s="34">
        <f t="shared" si="2656"/>
        <v>0</v>
      </c>
      <c r="O2461" s="34">
        <f t="shared" si="2656"/>
        <v>0</v>
      </c>
      <c r="P2461" s="34">
        <f t="shared" si="2656"/>
        <v>0</v>
      </c>
      <c r="Q2461" s="26">
        <f t="shared" si="2656"/>
        <v>34500</v>
      </c>
      <c r="R2461" s="209">
        <f t="shared" si="2656"/>
        <v>0</v>
      </c>
      <c r="S2461" s="116">
        <f t="shared" si="2656"/>
        <v>0</v>
      </c>
      <c r="T2461" s="50">
        <f>T1573</f>
        <v>0</v>
      </c>
      <c r="W2461" s="608">
        <f t="shared" si="2591"/>
        <v>34500</v>
      </c>
      <c r="X2461" s="608">
        <f t="shared" si="2592"/>
        <v>0</v>
      </c>
      <c r="Z2461" s="572">
        <f t="shared" si="2620"/>
        <v>0</v>
      </c>
      <c r="AA2461" s="1">
        <f t="shared" si="2621"/>
        <v>0</v>
      </c>
    </row>
    <row r="2462" spans="1:27" x14ac:dyDescent="0.2">
      <c r="A2462" s="20" t="str">
        <f>A1574</f>
        <v>8.17.5.1 Élaboration et validation du plan d'action pour les zones à risque</v>
      </c>
      <c r="B2462" s="46"/>
      <c r="C2462" s="386">
        <f>C1574</f>
        <v>0</v>
      </c>
      <c r="D2462" s="168">
        <f t="shared" si="2581"/>
        <v>34.5</v>
      </c>
      <c r="E2462" s="168">
        <f t="shared" si="2582"/>
        <v>0</v>
      </c>
      <c r="F2462" s="168">
        <f t="shared" si="2583"/>
        <v>0</v>
      </c>
      <c r="G2462" s="168">
        <f t="shared" si="2584"/>
        <v>0</v>
      </c>
      <c r="H2462" s="168">
        <f t="shared" si="2585"/>
        <v>0</v>
      </c>
      <c r="I2462" s="166">
        <f t="shared" si="2586"/>
        <v>34.5</v>
      </c>
      <c r="J2462" s="371" t="str">
        <f t="shared" si="2587"/>
        <v>SPACE/Directions Techniques</v>
      </c>
      <c r="K2462" s="350" t="str">
        <f t="shared" si="2588"/>
        <v>Unicef/Save Children</v>
      </c>
      <c r="L2462" s="167">
        <f t="shared" ref="L2462:Q2462" si="2657">L1574</f>
        <v>34500</v>
      </c>
      <c r="M2462" s="168">
        <f t="shared" si="2657"/>
        <v>0</v>
      </c>
      <c r="N2462" s="168">
        <f t="shared" si="2657"/>
        <v>0</v>
      </c>
      <c r="O2462" s="168">
        <f t="shared" si="2657"/>
        <v>0</v>
      </c>
      <c r="P2462" s="168">
        <f t="shared" si="2657"/>
        <v>0</v>
      </c>
      <c r="Q2462" s="165">
        <f t="shared" si="2657"/>
        <v>34500</v>
      </c>
      <c r="R2462" s="198" t="str">
        <f t="shared" ref="R2462:S2462" si="2658">R1574</f>
        <v>SPACE/Directions Techniques</v>
      </c>
      <c r="S2462" s="115" t="str">
        <f t="shared" si="2658"/>
        <v>Unicef/Save Children</v>
      </c>
      <c r="T2462" s="51">
        <f>T1574</f>
        <v>0</v>
      </c>
      <c r="W2462" s="608">
        <f t="shared" si="2591"/>
        <v>34500</v>
      </c>
      <c r="X2462" s="608">
        <f t="shared" si="2592"/>
        <v>0</v>
      </c>
      <c r="Z2462" s="572">
        <f t="shared" si="2620"/>
        <v>0</v>
      </c>
      <c r="AA2462" s="1">
        <f t="shared" si="2621"/>
        <v>0</v>
      </c>
    </row>
    <row r="2463" spans="1:27" x14ac:dyDescent="0.2">
      <c r="A2463" s="17" t="str">
        <f>A1578</f>
        <v>8.17.6 Intégrer la réduction des risques dans les programmes des ministères en charge de l'éducation</v>
      </c>
      <c r="B2463" s="45"/>
      <c r="C2463" s="386">
        <f>C1578</f>
        <v>0</v>
      </c>
      <c r="D2463" s="157">
        <f t="shared" si="2581"/>
        <v>0</v>
      </c>
      <c r="E2463" s="157">
        <f t="shared" si="2582"/>
        <v>19.600000000000001</v>
      </c>
      <c r="F2463" s="157">
        <f t="shared" si="2583"/>
        <v>0</v>
      </c>
      <c r="G2463" s="157">
        <f t="shared" si="2584"/>
        <v>0</v>
      </c>
      <c r="H2463" s="157">
        <f t="shared" si="2585"/>
        <v>0</v>
      </c>
      <c r="I2463" s="160">
        <f t="shared" si="2586"/>
        <v>19.600000000000001</v>
      </c>
      <c r="J2463" s="374">
        <f t="shared" si="2587"/>
        <v>0</v>
      </c>
      <c r="K2463" s="348">
        <f t="shared" si="2588"/>
        <v>0</v>
      </c>
      <c r="L2463" s="35">
        <f t="shared" ref="L2463:S2463" si="2659">SUM(L2464:L2464)</f>
        <v>0</v>
      </c>
      <c r="M2463" s="34">
        <f t="shared" si="2659"/>
        <v>19600</v>
      </c>
      <c r="N2463" s="34">
        <f t="shared" si="2659"/>
        <v>0</v>
      </c>
      <c r="O2463" s="34">
        <f t="shared" si="2659"/>
        <v>0</v>
      </c>
      <c r="P2463" s="34">
        <f t="shared" si="2659"/>
        <v>0</v>
      </c>
      <c r="Q2463" s="26">
        <f t="shared" si="2659"/>
        <v>19600</v>
      </c>
      <c r="R2463" s="209">
        <f t="shared" si="2659"/>
        <v>0</v>
      </c>
      <c r="S2463" s="116">
        <f t="shared" si="2659"/>
        <v>0</v>
      </c>
      <c r="T2463" s="50">
        <f>T1578</f>
        <v>0</v>
      </c>
      <c r="W2463" s="608">
        <f t="shared" si="2591"/>
        <v>19600</v>
      </c>
      <c r="X2463" s="608">
        <f t="shared" si="2592"/>
        <v>0</v>
      </c>
      <c r="Z2463" s="572">
        <f t="shared" si="2620"/>
        <v>0</v>
      </c>
      <c r="AA2463" s="1">
        <f t="shared" si="2621"/>
        <v>0</v>
      </c>
    </row>
    <row r="2464" spans="1:27" x14ac:dyDescent="0.2">
      <c r="A2464" s="20" t="str">
        <f>A1579</f>
        <v>8.17.6.1 Révision des programmes en intégrant les principes de réduction des risques</v>
      </c>
      <c r="B2464" s="46"/>
      <c r="C2464" s="386">
        <f>C1579</f>
        <v>0</v>
      </c>
      <c r="D2464" s="168">
        <f t="shared" si="2581"/>
        <v>0</v>
      </c>
      <c r="E2464" s="168">
        <f t="shared" si="2582"/>
        <v>19.600000000000001</v>
      </c>
      <c r="F2464" s="168">
        <f t="shared" si="2583"/>
        <v>0</v>
      </c>
      <c r="G2464" s="168">
        <f t="shared" si="2584"/>
        <v>0</v>
      </c>
      <c r="H2464" s="168">
        <f t="shared" si="2585"/>
        <v>0</v>
      </c>
      <c r="I2464" s="166">
        <f t="shared" si="2586"/>
        <v>19.600000000000001</v>
      </c>
      <c r="J2464" s="371" t="str">
        <f t="shared" si="2587"/>
        <v>SPACE/Directions sectorielles</v>
      </c>
      <c r="K2464" s="350" t="str">
        <f t="shared" si="2588"/>
        <v>Unicef/Save Children</v>
      </c>
      <c r="L2464" s="167">
        <f t="shared" ref="L2464:Q2464" si="2660">L1579</f>
        <v>0</v>
      </c>
      <c r="M2464" s="168">
        <f t="shared" si="2660"/>
        <v>19600</v>
      </c>
      <c r="N2464" s="168">
        <f t="shared" si="2660"/>
        <v>0</v>
      </c>
      <c r="O2464" s="168">
        <f t="shared" si="2660"/>
        <v>0</v>
      </c>
      <c r="P2464" s="168">
        <f t="shared" si="2660"/>
        <v>0</v>
      </c>
      <c r="Q2464" s="165">
        <f t="shared" si="2660"/>
        <v>19600</v>
      </c>
      <c r="R2464" s="198" t="str">
        <f t="shared" ref="R2464:S2464" si="2661">R1579</f>
        <v>SPACE/Directions sectorielles</v>
      </c>
      <c r="S2464" s="115" t="str">
        <f t="shared" si="2661"/>
        <v>Unicef/Save Children</v>
      </c>
      <c r="T2464" s="51">
        <f>T1579</f>
        <v>0</v>
      </c>
      <c r="W2464" s="608">
        <f t="shared" si="2591"/>
        <v>19600</v>
      </c>
      <c r="X2464" s="608">
        <f t="shared" si="2592"/>
        <v>0</v>
      </c>
      <c r="Z2464" s="572">
        <f t="shared" si="2620"/>
        <v>0</v>
      </c>
      <c r="AA2464" s="1">
        <f t="shared" si="2621"/>
        <v>0</v>
      </c>
    </row>
    <row r="2465" spans="1:27" x14ac:dyDescent="0.2">
      <c r="A2465" s="17" t="str">
        <f>A1583</f>
        <v>8.17.7 Évaluer et réparer les dégâts sur les infrastructures</v>
      </c>
      <c r="B2465" s="45"/>
      <c r="C2465" s="386">
        <f>C1583</f>
        <v>0</v>
      </c>
      <c r="D2465" s="157">
        <f t="shared" si="2581"/>
        <v>2109.4</v>
      </c>
      <c r="E2465" s="157">
        <f t="shared" si="2582"/>
        <v>2109.4</v>
      </c>
      <c r="F2465" s="157">
        <f t="shared" si="2583"/>
        <v>2109.4</v>
      </c>
      <c r="G2465" s="157">
        <f t="shared" si="2584"/>
        <v>2109.4</v>
      </c>
      <c r="H2465" s="157">
        <f t="shared" si="2585"/>
        <v>2109.4</v>
      </c>
      <c r="I2465" s="160">
        <f t="shared" si="2586"/>
        <v>10547</v>
      </c>
      <c r="J2465" s="374">
        <f t="shared" si="2587"/>
        <v>0</v>
      </c>
      <c r="K2465" s="348">
        <f t="shared" si="2588"/>
        <v>0</v>
      </c>
      <c r="L2465" s="35">
        <f t="shared" ref="L2465:Q2465" si="2662">SUM(L2466:L2469)</f>
        <v>2109400</v>
      </c>
      <c r="M2465" s="34">
        <f t="shared" si="2662"/>
        <v>2109400</v>
      </c>
      <c r="N2465" s="34">
        <f t="shared" si="2662"/>
        <v>2109400</v>
      </c>
      <c r="O2465" s="34">
        <f t="shared" si="2662"/>
        <v>2109400</v>
      </c>
      <c r="P2465" s="34">
        <f t="shared" si="2662"/>
        <v>2109400</v>
      </c>
      <c r="Q2465" s="26">
        <f t="shared" si="2662"/>
        <v>10547000</v>
      </c>
      <c r="R2465" s="209">
        <f t="shared" ref="R2465:S2465" si="2663">SUM(R2466:R2469)</f>
        <v>0</v>
      </c>
      <c r="S2465" s="116">
        <f t="shared" si="2663"/>
        <v>0</v>
      </c>
      <c r="T2465" s="50">
        <f>T1583</f>
        <v>0</v>
      </c>
      <c r="W2465" s="608">
        <f t="shared" si="2591"/>
        <v>10547000</v>
      </c>
      <c r="X2465" s="608">
        <f t="shared" si="2592"/>
        <v>0</v>
      </c>
      <c r="Z2465" s="572">
        <f t="shared" si="2620"/>
        <v>0</v>
      </c>
      <c r="AA2465" s="1">
        <f t="shared" si="2621"/>
        <v>0</v>
      </c>
    </row>
    <row r="2466" spans="1:27" x14ac:dyDescent="0.2">
      <c r="A2466" s="20" t="str">
        <f>A1584</f>
        <v xml:space="preserve">8.17.7.1 Identification des structures scolaires affectées par les conflits et catastrophes naturelles </v>
      </c>
      <c r="B2466" s="46"/>
      <c r="C2466" s="386">
        <f>C1584</f>
        <v>0</v>
      </c>
      <c r="D2466" s="168">
        <f t="shared" si="2581"/>
        <v>4.4000000000000004</v>
      </c>
      <c r="E2466" s="168">
        <f t="shared" si="2582"/>
        <v>4.4000000000000004</v>
      </c>
      <c r="F2466" s="168">
        <f t="shared" si="2583"/>
        <v>4.4000000000000004</v>
      </c>
      <c r="G2466" s="168">
        <f t="shared" si="2584"/>
        <v>4.4000000000000004</v>
      </c>
      <c r="H2466" s="168">
        <f t="shared" si="2585"/>
        <v>4.4000000000000004</v>
      </c>
      <c r="I2466" s="166">
        <f t="shared" si="2586"/>
        <v>22</v>
      </c>
      <c r="J2466" s="371" t="str">
        <f t="shared" si="2587"/>
        <v>EPS-DIS-PROVED/MAS</v>
      </c>
      <c r="K2466" s="350" t="str">
        <f t="shared" si="2588"/>
        <v>ND</v>
      </c>
      <c r="L2466" s="167">
        <f t="shared" ref="L2466:Q2466" si="2664">L1584</f>
        <v>4400</v>
      </c>
      <c r="M2466" s="168">
        <f t="shared" si="2664"/>
        <v>4400</v>
      </c>
      <c r="N2466" s="168">
        <f t="shared" si="2664"/>
        <v>4400</v>
      </c>
      <c r="O2466" s="168">
        <f t="shared" si="2664"/>
        <v>4400</v>
      </c>
      <c r="P2466" s="168">
        <f t="shared" si="2664"/>
        <v>4400</v>
      </c>
      <c r="Q2466" s="165">
        <f t="shared" si="2664"/>
        <v>22000</v>
      </c>
      <c r="R2466" s="198" t="str">
        <f t="shared" ref="R2466:S2466" si="2665">R1584</f>
        <v>EPS-DIS-PROVED/MAS</v>
      </c>
      <c r="S2466" s="115" t="str">
        <f t="shared" si="2665"/>
        <v>ND</v>
      </c>
      <c r="T2466" s="51">
        <f>T1584</f>
        <v>0</v>
      </c>
      <c r="W2466" s="608">
        <f t="shared" si="2591"/>
        <v>22000</v>
      </c>
      <c r="X2466" s="608">
        <f t="shared" si="2592"/>
        <v>0</v>
      </c>
      <c r="Z2466" s="572">
        <f t="shared" si="2620"/>
        <v>0</v>
      </c>
      <c r="AA2466" s="1">
        <f t="shared" si="2621"/>
        <v>0</v>
      </c>
    </row>
    <row r="2467" spans="1:27" x14ac:dyDescent="0.2">
      <c r="A2467" s="20" t="str">
        <f>A1587</f>
        <v xml:space="preserve">8.17.7.2 Réhabilitation des infrastructures et des équipements éducatifs </v>
      </c>
      <c r="B2467" s="46"/>
      <c r="C2467" s="386">
        <f>C1587</f>
        <v>0</v>
      </c>
      <c r="D2467" s="168">
        <f t="shared" si="2581"/>
        <v>1080</v>
      </c>
      <c r="E2467" s="168">
        <f t="shared" si="2582"/>
        <v>1080</v>
      </c>
      <c r="F2467" s="168">
        <f t="shared" si="2583"/>
        <v>1080</v>
      </c>
      <c r="G2467" s="168">
        <f t="shared" si="2584"/>
        <v>1080</v>
      </c>
      <c r="H2467" s="168">
        <f t="shared" si="2585"/>
        <v>1080</v>
      </c>
      <c r="I2467" s="166">
        <f t="shared" si="2586"/>
        <v>5400</v>
      </c>
      <c r="J2467" s="371" t="str">
        <f t="shared" si="2587"/>
        <v>EPS-DIS-PROVED/MAS</v>
      </c>
      <c r="K2467" s="350" t="str">
        <f t="shared" si="2588"/>
        <v>ND</v>
      </c>
      <c r="L2467" s="167">
        <f t="shared" ref="L2467:T2467" si="2666">L1587</f>
        <v>1080000</v>
      </c>
      <c r="M2467" s="168">
        <f t="shared" si="2666"/>
        <v>1080000</v>
      </c>
      <c r="N2467" s="168">
        <f t="shared" si="2666"/>
        <v>1080000</v>
      </c>
      <c r="O2467" s="168">
        <f t="shared" si="2666"/>
        <v>1080000</v>
      </c>
      <c r="P2467" s="168">
        <f t="shared" si="2666"/>
        <v>1080000</v>
      </c>
      <c r="Q2467" s="165">
        <f t="shared" si="2666"/>
        <v>5400000</v>
      </c>
      <c r="R2467" s="198" t="str">
        <f t="shared" ref="R2467:S2467" si="2667">R1587</f>
        <v>EPS-DIS-PROVED/MAS</v>
      </c>
      <c r="S2467" s="115" t="str">
        <f t="shared" si="2667"/>
        <v>ND</v>
      </c>
      <c r="T2467" s="51">
        <f t="shared" si="2666"/>
        <v>0</v>
      </c>
      <c r="W2467" s="608">
        <f t="shared" si="2591"/>
        <v>5400000</v>
      </c>
      <c r="X2467" s="608">
        <f t="shared" si="2592"/>
        <v>0</v>
      </c>
      <c r="Z2467" s="572">
        <f t="shared" si="2620"/>
        <v>0</v>
      </c>
      <c r="AA2467" s="1">
        <f t="shared" si="2621"/>
        <v>0</v>
      </c>
    </row>
    <row r="2468" spans="1:27" x14ac:dyDescent="0.2">
      <c r="A2468" s="20" t="str">
        <f>A1589</f>
        <v>8.17.7.3 Mise en place des infrastructures temporaires d’apprentissage</v>
      </c>
      <c r="B2468" s="46"/>
      <c r="C2468" s="386">
        <f>C1589</f>
        <v>0</v>
      </c>
      <c r="D2468" s="168">
        <f t="shared" si="2581"/>
        <v>150</v>
      </c>
      <c r="E2468" s="168">
        <f t="shared" si="2582"/>
        <v>150</v>
      </c>
      <c r="F2468" s="168">
        <f t="shared" si="2583"/>
        <v>150</v>
      </c>
      <c r="G2468" s="168">
        <f t="shared" si="2584"/>
        <v>150</v>
      </c>
      <c r="H2468" s="168">
        <f t="shared" si="2585"/>
        <v>150</v>
      </c>
      <c r="I2468" s="166">
        <f t="shared" si="2586"/>
        <v>750</v>
      </c>
      <c r="J2468" s="371" t="str">
        <f t="shared" si="2587"/>
        <v>EPS-DIS-PROVED/MAS</v>
      </c>
      <c r="K2468" s="350" t="str">
        <f t="shared" si="2588"/>
        <v>ND</v>
      </c>
      <c r="L2468" s="167">
        <f t="shared" ref="L2468:T2468" si="2668">L1589</f>
        <v>150000</v>
      </c>
      <c r="M2468" s="168">
        <f t="shared" si="2668"/>
        <v>150000</v>
      </c>
      <c r="N2468" s="168">
        <f t="shared" si="2668"/>
        <v>150000</v>
      </c>
      <c r="O2468" s="168">
        <f t="shared" si="2668"/>
        <v>150000</v>
      </c>
      <c r="P2468" s="168">
        <f t="shared" si="2668"/>
        <v>150000</v>
      </c>
      <c r="Q2468" s="165">
        <f t="shared" si="2668"/>
        <v>750000</v>
      </c>
      <c r="R2468" s="198" t="str">
        <f t="shared" ref="R2468:S2468" si="2669">R1589</f>
        <v>EPS-DIS-PROVED/MAS</v>
      </c>
      <c r="S2468" s="115" t="str">
        <f t="shared" si="2669"/>
        <v>ND</v>
      </c>
      <c r="T2468" s="51">
        <f t="shared" si="2668"/>
        <v>0</v>
      </c>
      <c r="W2468" s="608">
        <f t="shared" si="2591"/>
        <v>750000</v>
      </c>
      <c r="X2468" s="608">
        <f t="shared" si="2592"/>
        <v>0</v>
      </c>
      <c r="Z2468" s="572">
        <f t="shared" si="2620"/>
        <v>0</v>
      </c>
      <c r="AA2468" s="1">
        <f t="shared" si="2621"/>
        <v>0</v>
      </c>
    </row>
    <row r="2469" spans="1:27" x14ac:dyDescent="0.2">
      <c r="A2469" s="20" t="str">
        <f>A1591</f>
        <v>8.17.4.4 Équipement des infrastructures temporaires d’apprentissage</v>
      </c>
      <c r="B2469" s="108"/>
      <c r="C2469" s="386">
        <f>C1591</f>
        <v>0</v>
      </c>
      <c r="D2469" s="168">
        <f t="shared" si="2581"/>
        <v>875</v>
      </c>
      <c r="E2469" s="168">
        <f t="shared" si="2582"/>
        <v>875</v>
      </c>
      <c r="F2469" s="168">
        <f t="shared" si="2583"/>
        <v>875</v>
      </c>
      <c r="G2469" s="168">
        <f t="shared" si="2584"/>
        <v>875</v>
      </c>
      <c r="H2469" s="168">
        <f t="shared" si="2585"/>
        <v>875</v>
      </c>
      <c r="I2469" s="166">
        <f t="shared" si="2586"/>
        <v>4375</v>
      </c>
      <c r="J2469" s="371" t="str">
        <f t="shared" si="2587"/>
        <v>EPS-DIS-PROVED/MAS</v>
      </c>
      <c r="K2469" s="350" t="str">
        <f t="shared" si="2588"/>
        <v>ND</v>
      </c>
      <c r="L2469" s="167">
        <f t="shared" ref="L2469:T2469" si="2670">L1591</f>
        <v>875000</v>
      </c>
      <c r="M2469" s="168">
        <f t="shared" si="2670"/>
        <v>875000</v>
      </c>
      <c r="N2469" s="168">
        <f t="shared" si="2670"/>
        <v>875000</v>
      </c>
      <c r="O2469" s="168">
        <f t="shared" si="2670"/>
        <v>875000</v>
      </c>
      <c r="P2469" s="168">
        <f t="shared" si="2670"/>
        <v>875000</v>
      </c>
      <c r="Q2469" s="165">
        <f t="shared" si="2670"/>
        <v>4375000</v>
      </c>
      <c r="R2469" s="198" t="str">
        <f t="shared" ref="R2469:S2469" si="2671">R1591</f>
        <v>EPS-DIS-PROVED/MAS</v>
      </c>
      <c r="S2469" s="115" t="str">
        <f t="shared" si="2671"/>
        <v>ND</v>
      </c>
      <c r="T2469" s="51">
        <f t="shared" si="2670"/>
        <v>0</v>
      </c>
      <c r="W2469" s="608">
        <f t="shared" si="2591"/>
        <v>4375000</v>
      </c>
      <c r="X2469" s="608">
        <f t="shared" si="2592"/>
        <v>0</v>
      </c>
      <c r="Z2469" s="572">
        <f t="shared" si="2620"/>
        <v>0</v>
      </c>
      <c r="AA2469" s="1">
        <f t="shared" si="2621"/>
        <v>0</v>
      </c>
    </row>
    <row r="2470" spans="1:27" x14ac:dyDescent="0.2">
      <c r="A2470" s="17" t="str">
        <f>A1593</f>
        <v>8.17.8 Renforcer le contrôle qualité des constructions</v>
      </c>
      <c r="B2470" s="45"/>
      <c r="C2470" s="386">
        <f>C1593</f>
        <v>0</v>
      </c>
      <c r="D2470" s="157">
        <f t="shared" si="2581"/>
        <v>34.4</v>
      </c>
      <c r="E2470" s="157">
        <f t="shared" si="2582"/>
        <v>26.4</v>
      </c>
      <c r="F2470" s="157">
        <f t="shared" si="2583"/>
        <v>26.4</v>
      </c>
      <c r="G2470" s="157">
        <f t="shared" si="2584"/>
        <v>26.4</v>
      </c>
      <c r="H2470" s="157">
        <f t="shared" si="2585"/>
        <v>26.4</v>
      </c>
      <c r="I2470" s="160">
        <f t="shared" si="2586"/>
        <v>140</v>
      </c>
      <c r="J2470" s="374">
        <f t="shared" si="2587"/>
        <v>0</v>
      </c>
      <c r="K2470" s="348">
        <f t="shared" si="2588"/>
        <v>0</v>
      </c>
      <c r="L2470" s="35">
        <f t="shared" ref="L2470:Q2470" si="2672">SUM(L2471:L2472)</f>
        <v>34400</v>
      </c>
      <c r="M2470" s="34">
        <f t="shared" si="2672"/>
        <v>26400</v>
      </c>
      <c r="N2470" s="34">
        <f t="shared" si="2672"/>
        <v>26400</v>
      </c>
      <c r="O2470" s="34">
        <f t="shared" si="2672"/>
        <v>26400</v>
      </c>
      <c r="P2470" s="34">
        <f t="shared" si="2672"/>
        <v>26400</v>
      </c>
      <c r="Q2470" s="26">
        <f t="shared" si="2672"/>
        <v>140000</v>
      </c>
      <c r="R2470" s="209">
        <f t="shared" ref="R2470:S2470" si="2673">SUM(R2471:R2472)</f>
        <v>0</v>
      </c>
      <c r="S2470" s="116">
        <f t="shared" si="2673"/>
        <v>0</v>
      </c>
      <c r="T2470" s="50">
        <f>T1593</f>
        <v>0</v>
      </c>
      <c r="W2470" s="608">
        <f t="shared" si="2591"/>
        <v>140000</v>
      </c>
      <c r="X2470" s="608">
        <f t="shared" si="2592"/>
        <v>0</v>
      </c>
      <c r="Y2470" s="572" t="s">
        <v>1513</v>
      </c>
      <c r="Z2470" s="572">
        <f t="shared" si="2620"/>
        <v>0</v>
      </c>
      <c r="AA2470" s="1">
        <f t="shared" si="2621"/>
        <v>140</v>
      </c>
    </row>
    <row r="2471" spans="1:27" x14ac:dyDescent="0.2">
      <c r="A2471" s="20" t="str">
        <f>A1594</f>
        <v xml:space="preserve">8.17.8.1 Respect des normes de constructions </v>
      </c>
      <c r="B2471" s="46"/>
      <c r="C2471" s="386">
        <f>C1594</f>
        <v>0</v>
      </c>
      <c r="D2471" s="168">
        <f t="shared" si="2581"/>
        <v>25</v>
      </c>
      <c r="E2471" s="168">
        <f t="shared" si="2582"/>
        <v>25</v>
      </c>
      <c r="F2471" s="168">
        <f t="shared" si="2583"/>
        <v>25</v>
      </c>
      <c r="G2471" s="168">
        <f t="shared" si="2584"/>
        <v>25</v>
      </c>
      <c r="H2471" s="168">
        <f t="shared" si="2585"/>
        <v>25</v>
      </c>
      <c r="I2471" s="166">
        <f t="shared" si="2586"/>
        <v>125</v>
      </c>
      <c r="J2471" s="371" t="str">
        <f t="shared" si="2587"/>
        <v>EPS-DIS-PROVED</v>
      </c>
      <c r="K2471" s="350" t="str">
        <f t="shared" si="2588"/>
        <v>ND</v>
      </c>
      <c r="L2471" s="167">
        <f t="shared" ref="L2471:Q2471" si="2674">L1594</f>
        <v>25000</v>
      </c>
      <c r="M2471" s="168">
        <f t="shared" si="2674"/>
        <v>25000</v>
      </c>
      <c r="N2471" s="168">
        <f t="shared" si="2674"/>
        <v>25000</v>
      </c>
      <c r="O2471" s="168">
        <f t="shared" si="2674"/>
        <v>25000</v>
      </c>
      <c r="P2471" s="168">
        <f t="shared" si="2674"/>
        <v>25000</v>
      </c>
      <c r="Q2471" s="165">
        <f t="shared" si="2674"/>
        <v>125000</v>
      </c>
      <c r="R2471" s="198" t="str">
        <f t="shared" ref="R2471:S2471" si="2675">R1594</f>
        <v>EPS-DIS-PROVED</v>
      </c>
      <c r="S2471" s="115" t="str">
        <f t="shared" si="2675"/>
        <v>ND</v>
      </c>
      <c r="T2471" s="51">
        <f>T1594</f>
        <v>0</v>
      </c>
      <c r="W2471" s="608">
        <f t="shared" si="2591"/>
        <v>125000</v>
      </c>
      <c r="X2471" s="608">
        <f t="shared" si="2592"/>
        <v>0</v>
      </c>
      <c r="Y2471" s="572" t="s">
        <v>1513</v>
      </c>
      <c r="Z2471" s="572">
        <f t="shared" si="2620"/>
        <v>0</v>
      </c>
      <c r="AA2471" s="1">
        <f t="shared" si="2621"/>
        <v>125</v>
      </c>
    </row>
    <row r="2472" spans="1:27" x14ac:dyDescent="0.2">
      <c r="A2472" s="20" t="str">
        <f>A1596</f>
        <v>8.17.8.2 Élaboration d'un guide des normes de construction des établissements ETFP</v>
      </c>
      <c r="B2472" s="46"/>
      <c r="C2472" s="386">
        <f>C1596</f>
        <v>0</v>
      </c>
      <c r="D2472" s="168">
        <f t="shared" si="2581"/>
        <v>9.4</v>
      </c>
      <c r="E2472" s="168">
        <f t="shared" si="2582"/>
        <v>1.4</v>
      </c>
      <c r="F2472" s="168">
        <f t="shared" si="2583"/>
        <v>1.4</v>
      </c>
      <c r="G2472" s="168">
        <f t="shared" si="2584"/>
        <v>1.4</v>
      </c>
      <c r="H2472" s="168">
        <f t="shared" si="2585"/>
        <v>1.4</v>
      </c>
      <c r="I2472" s="166">
        <f t="shared" si="2586"/>
        <v>15</v>
      </c>
      <c r="J2472" s="371" t="str">
        <f t="shared" si="2587"/>
        <v>ETP</v>
      </c>
      <c r="K2472" s="350" t="str">
        <f t="shared" si="2588"/>
        <v>ND</v>
      </c>
      <c r="L2472" s="167">
        <f t="shared" ref="L2472:T2472" si="2676">L1596</f>
        <v>9400</v>
      </c>
      <c r="M2472" s="168">
        <f t="shared" si="2676"/>
        <v>1400</v>
      </c>
      <c r="N2472" s="168">
        <f t="shared" si="2676"/>
        <v>1400</v>
      </c>
      <c r="O2472" s="168">
        <f t="shared" si="2676"/>
        <v>1400</v>
      </c>
      <c r="P2472" s="168">
        <f t="shared" si="2676"/>
        <v>1400</v>
      </c>
      <c r="Q2472" s="165">
        <f t="shared" si="2676"/>
        <v>15000</v>
      </c>
      <c r="R2472" s="198" t="str">
        <f t="shared" ref="R2472:S2472" si="2677">R1596</f>
        <v>ETP</v>
      </c>
      <c r="S2472" s="115" t="str">
        <f t="shared" si="2677"/>
        <v>ND</v>
      </c>
      <c r="T2472" s="51">
        <f t="shared" si="2676"/>
        <v>0</v>
      </c>
      <c r="W2472" s="608">
        <f t="shared" si="2591"/>
        <v>15000</v>
      </c>
      <c r="X2472" s="608">
        <f t="shared" si="2592"/>
        <v>0</v>
      </c>
      <c r="Y2472" s="572" t="s">
        <v>1513</v>
      </c>
      <c r="Z2472" s="572">
        <f t="shared" si="2620"/>
        <v>0</v>
      </c>
      <c r="AA2472" s="1">
        <f t="shared" si="2621"/>
        <v>15</v>
      </c>
    </row>
    <row r="2473" spans="1:27" x14ac:dyDescent="0.2">
      <c r="A2473" s="17" t="str">
        <f>A1600</f>
        <v>8.17.9 Fourniture de repas pendant les crises</v>
      </c>
      <c r="B2473" s="45"/>
      <c r="C2473" s="386">
        <f>C1600</f>
        <v>0</v>
      </c>
      <c r="D2473" s="157">
        <f t="shared" si="2581"/>
        <v>1260</v>
      </c>
      <c r="E2473" s="157">
        <f t="shared" si="2582"/>
        <v>1260</v>
      </c>
      <c r="F2473" s="157">
        <f t="shared" si="2583"/>
        <v>1260</v>
      </c>
      <c r="G2473" s="157">
        <f t="shared" si="2584"/>
        <v>1260</v>
      </c>
      <c r="H2473" s="157">
        <f t="shared" si="2585"/>
        <v>1260</v>
      </c>
      <c r="I2473" s="160">
        <f t="shared" si="2586"/>
        <v>6300</v>
      </c>
      <c r="J2473" s="374">
        <f t="shared" si="2587"/>
        <v>0</v>
      </c>
      <c r="K2473" s="348">
        <f t="shared" si="2588"/>
        <v>0</v>
      </c>
      <c r="L2473" s="35">
        <f t="shared" ref="L2473:S2473" si="2678">SUM(L2474:L2474)</f>
        <v>1260000</v>
      </c>
      <c r="M2473" s="34">
        <f t="shared" si="2678"/>
        <v>1260000</v>
      </c>
      <c r="N2473" s="34">
        <f t="shared" si="2678"/>
        <v>1260000</v>
      </c>
      <c r="O2473" s="34">
        <f t="shared" si="2678"/>
        <v>1260000</v>
      </c>
      <c r="P2473" s="34">
        <f t="shared" si="2678"/>
        <v>1260000</v>
      </c>
      <c r="Q2473" s="26">
        <f t="shared" si="2678"/>
        <v>6300000</v>
      </c>
      <c r="R2473" s="209">
        <f t="shared" si="2678"/>
        <v>0</v>
      </c>
      <c r="S2473" s="116">
        <f t="shared" si="2678"/>
        <v>0</v>
      </c>
      <c r="T2473" s="50">
        <f>T1600</f>
        <v>0</v>
      </c>
      <c r="W2473" s="608">
        <f t="shared" si="2591"/>
        <v>6300000</v>
      </c>
      <c r="X2473" s="608">
        <f t="shared" si="2592"/>
        <v>0</v>
      </c>
      <c r="Z2473" s="572">
        <f t="shared" si="2620"/>
        <v>0</v>
      </c>
      <c r="AA2473" s="1">
        <f t="shared" si="2621"/>
        <v>0</v>
      </c>
    </row>
    <row r="2474" spans="1:27" x14ac:dyDescent="0.2">
      <c r="A2474" s="20" t="str">
        <f>A1601</f>
        <v>8.17.9.1 Fourniture des repas pendant les crises</v>
      </c>
      <c r="B2474" s="46"/>
      <c r="C2474" s="386">
        <f>C1601</f>
        <v>0</v>
      </c>
      <c r="D2474" s="168">
        <f t="shared" si="2581"/>
        <v>1260</v>
      </c>
      <c r="E2474" s="168">
        <f t="shared" si="2582"/>
        <v>1260</v>
      </c>
      <c r="F2474" s="168">
        <f t="shared" si="2583"/>
        <v>1260</v>
      </c>
      <c r="G2474" s="168">
        <f t="shared" si="2584"/>
        <v>1260</v>
      </c>
      <c r="H2474" s="168">
        <f t="shared" si="2585"/>
        <v>1260</v>
      </c>
      <c r="I2474" s="166">
        <f t="shared" si="2586"/>
        <v>6300</v>
      </c>
      <c r="J2474" s="371" t="str">
        <f t="shared" si="2587"/>
        <v>EPS/EVF</v>
      </c>
      <c r="K2474" s="350" t="str">
        <f t="shared" si="2588"/>
        <v>ND</v>
      </c>
      <c r="L2474" s="167">
        <f t="shared" ref="L2474:Q2474" si="2679">L1601</f>
        <v>1260000</v>
      </c>
      <c r="M2474" s="168">
        <f t="shared" si="2679"/>
        <v>1260000</v>
      </c>
      <c r="N2474" s="168">
        <f t="shared" si="2679"/>
        <v>1260000</v>
      </c>
      <c r="O2474" s="168">
        <f t="shared" si="2679"/>
        <v>1260000</v>
      </c>
      <c r="P2474" s="168">
        <f t="shared" si="2679"/>
        <v>1260000</v>
      </c>
      <c r="Q2474" s="165">
        <f t="shared" si="2679"/>
        <v>6300000</v>
      </c>
      <c r="R2474" s="198" t="str">
        <f t="shared" ref="R2474:S2474" si="2680">R1601</f>
        <v>EPS/EVF</v>
      </c>
      <c r="S2474" s="115" t="str">
        <f t="shared" si="2680"/>
        <v>ND</v>
      </c>
      <c r="T2474" s="51">
        <f>T1601</f>
        <v>0</v>
      </c>
      <c r="W2474" s="608">
        <f t="shared" si="2591"/>
        <v>6300000</v>
      </c>
      <c r="X2474" s="608">
        <f t="shared" si="2592"/>
        <v>0</v>
      </c>
      <c r="Z2474" s="572">
        <f t="shared" si="2620"/>
        <v>0</v>
      </c>
      <c r="AA2474" s="1">
        <f t="shared" si="2621"/>
        <v>0</v>
      </c>
    </row>
    <row r="2475" spans="1:27" x14ac:dyDescent="0.2">
      <c r="A2475" s="17" t="str">
        <f>A1603</f>
        <v>8.17.10 Renforcer les dispositifs d'accueil des déplacés</v>
      </c>
      <c r="B2475" s="45"/>
      <c r="C2475" s="386">
        <f>C1603</f>
        <v>0</v>
      </c>
      <c r="D2475" s="157">
        <f t="shared" si="2581"/>
        <v>410</v>
      </c>
      <c r="E2475" s="157">
        <f t="shared" si="2582"/>
        <v>410</v>
      </c>
      <c r="F2475" s="157">
        <f t="shared" si="2583"/>
        <v>410</v>
      </c>
      <c r="G2475" s="157">
        <f t="shared" si="2584"/>
        <v>410</v>
      </c>
      <c r="H2475" s="157">
        <f t="shared" si="2585"/>
        <v>410</v>
      </c>
      <c r="I2475" s="160">
        <f t="shared" si="2586"/>
        <v>2050</v>
      </c>
      <c r="J2475" s="374">
        <f t="shared" si="2587"/>
        <v>0</v>
      </c>
      <c r="K2475" s="348">
        <f t="shared" si="2588"/>
        <v>0</v>
      </c>
      <c r="L2475" s="35">
        <f t="shared" ref="L2475:Q2475" si="2681">SUM(L2476:L2477)</f>
        <v>410000</v>
      </c>
      <c r="M2475" s="34">
        <f t="shared" si="2681"/>
        <v>410000</v>
      </c>
      <c r="N2475" s="34">
        <f t="shared" si="2681"/>
        <v>410000</v>
      </c>
      <c r="O2475" s="34">
        <f t="shared" si="2681"/>
        <v>410000</v>
      </c>
      <c r="P2475" s="34">
        <f t="shared" si="2681"/>
        <v>410000</v>
      </c>
      <c r="Q2475" s="26">
        <f t="shared" si="2681"/>
        <v>2050000</v>
      </c>
      <c r="R2475" s="209">
        <f t="shared" ref="R2475:S2475" si="2682">SUM(R2476:R2477)</f>
        <v>0</v>
      </c>
      <c r="S2475" s="116">
        <f t="shared" si="2682"/>
        <v>0</v>
      </c>
      <c r="T2475" s="50">
        <f>T1603</f>
        <v>0</v>
      </c>
      <c r="W2475" s="608">
        <f t="shared" si="2591"/>
        <v>2050000</v>
      </c>
      <c r="X2475" s="608">
        <f t="shared" si="2592"/>
        <v>0</v>
      </c>
      <c r="Z2475" s="572">
        <f t="shared" si="2620"/>
        <v>0</v>
      </c>
      <c r="AA2475" s="1">
        <f t="shared" si="2621"/>
        <v>0</v>
      </c>
    </row>
    <row r="2476" spans="1:27" x14ac:dyDescent="0.2">
      <c r="A2476" s="20" t="str">
        <f>A1604</f>
        <v>8.17.10.1 Mise en place des infrastructures temporaires d’apprentissage pour les déplacés</v>
      </c>
      <c r="B2476" s="46"/>
      <c r="C2476" s="386">
        <f>C1604</f>
        <v>0</v>
      </c>
      <c r="D2476" s="168">
        <f t="shared" si="2581"/>
        <v>60</v>
      </c>
      <c r="E2476" s="168">
        <f t="shared" si="2582"/>
        <v>60</v>
      </c>
      <c r="F2476" s="168">
        <f t="shared" si="2583"/>
        <v>60</v>
      </c>
      <c r="G2476" s="168">
        <f t="shared" si="2584"/>
        <v>60</v>
      </c>
      <c r="H2476" s="168">
        <f t="shared" si="2585"/>
        <v>60</v>
      </c>
      <c r="I2476" s="166">
        <f t="shared" si="2586"/>
        <v>300</v>
      </c>
      <c r="J2476" s="371" t="str">
        <f t="shared" si="2587"/>
        <v>EPS-DIS-PROVED/MAS</v>
      </c>
      <c r="K2476" s="350" t="str">
        <f t="shared" si="2588"/>
        <v>ND</v>
      </c>
      <c r="L2476" s="167">
        <f t="shared" ref="L2476:Q2476" si="2683">L1604</f>
        <v>60000</v>
      </c>
      <c r="M2476" s="168">
        <f t="shared" si="2683"/>
        <v>60000</v>
      </c>
      <c r="N2476" s="168">
        <f t="shared" si="2683"/>
        <v>60000</v>
      </c>
      <c r="O2476" s="168">
        <f t="shared" si="2683"/>
        <v>60000</v>
      </c>
      <c r="P2476" s="168">
        <f t="shared" si="2683"/>
        <v>60000</v>
      </c>
      <c r="Q2476" s="165">
        <f t="shared" si="2683"/>
        <v>300000</v>
      </c>
      <c r="R2476" s="198" t="str">
        <f t="shared" ref="R2476:S2476" si="2684">R1604</f>
        <v>EPS-DIS-PROVED/MAS</v>
      </c>
      <c r="S2476" s="115" t="str">
        <f t="shared" si="2684"/>
        <v>ND</v>
      </c>
      <c r="T2476" s="51">
        <f>T1604</f>
        <v>0</v>
      </c>
      <c r="W2476" s="608">
        <f t="shared" si="2591"/>
        <v>300000</v>
      </c>
      <c r="X2476" s="608">
        <f t="shared" si="2592"/>
        <v>0</v>
      </c>
      <c r="Z2476" s="572">
        <f t="shared" si="2620"/>
        <v>0</v>
      </c>
      <c r="AA2476" s="1">
        <f t="shared" si="2621"/>
        <v>0</v>
      </c>
    </row>
    <row r="2477" spans="1:27" x14ac:dyDescent="0.2">
      <c r="A2477" s="20" t="str">
        <f>A1606</f>
        <v>8.17.10.2 Équipement des infrastructures temporaires d’apprentissage pour les déplacés</v>
      </c>
      <c r="B2477" s="108"/>
      <c r="C2477" s="386">
        <f>C1606</f>
        <v>0</v>
      </c>
      <c r="D2477" s="168">
        <f t="shared" si="2581"/>
        <v>350</v>
      </c>
      <c r="E2477" s="168">
        <f t="shared" si="2582"/>
        <v>350</v>
      </c>
      <c r="F2477" s="168">
        <f t="shared" si="2583"/>
        <v>350</v>
      </c>
      <c r="G2477" s="168">
        <f t="shared" si="2584"/>
        <v>350</v>
      </c>
      <c r="H2477" s="168">
        <f t="shared" si="2585"/>
        <v>350</v>
      </c>
      <c r="I2477" s="166">
        <f t="shared" si="2586"/>
        <v>1750</v>
      </c>
      <c r="J2477" s="371" t="str">
        <f t="shared" si="2587"/>
        <v>EPS-DIS-PROVED/MAS</v>
      </c>
      <c r="K2477" s="350" t="str">
        <f t="shared" si="2588"/>
        <v>ND</v>
      </c>
      <c r="L2477" s="167">
        <f t="shared" ref="L2477:T2477" si="2685">L1606</f>
        <v>350000</v>
      </c>
      <c r="M2477" s="168">
        <f t="shared" si="2685"/>
        <v>350000</v>
      </c>
      <c r="N2477" s="168">
        <f t="shared" si="2685"/>
        <v>350000</v>
      </c>
      <c r="O2477" s="168">
        <f t="shared" si="2685"/>
        <v>350000</v>
      </c>
      <c r="P2477" s="168">
        <f t="shared" si="2685"/>
        <v>350000</v>
      </c>
      <c r="Q2477" s="165">
        <f t="shared" si="2685"/>
        <v>1750000</v>
      </c>
      <c r="R2477" s="198" t="str">
        <f t="shared" ref="R2477:S2477" si="2686">R1606</f>
        <v>EPS-DIS-PROVED/MAS</v>
      </c>
      <c r="S2477" s="115" t="str">
        <f t="shared" si="2686"/>
        <v>ND</v>
      </c>
      <c r="T2477" s="51">
        <f t="shared" si="2685"/>
        <v>0</v>
      </c>
      <c r="W2477" s="608">
        <f t="shared" si="2591"/>
        <v>1750000</v>
      </c>
      <c r="X2477" s="608">
        <f t="shared" si="2592"/>
        <v>0</v>
      </c>
      <c r="Z2477" s="572">
        <f t="shared" si="2620"/>
        <v>0</v>
      </c>
      <c r="AA2477" s="1">
        <f t="shared" si="2621"/>
        <v>0</v>
      </c>
    </row>
    <row r="2478" spans="1:27" x14ac:dyDescent="0.2">
      <c r="A2478" s="17" t="str">
        <f>A1608</f>
        <v>8.17.11 Adaptation des calendriers et horaires</v>
      </c>
      <c r="B2478" s="45"/>
      <c r="C2478" s="386">
        <f>C1608</f>
        <v>0</v>
      </c>
      <c r="D2478" s="157">
        <f t="shared" si="2581"/>
        <v>6.9</v>
      </c>
      <c r="E2478" s="157">
        <f t="shared" si="2582"/>
        <v>0.4</v>
      </c>
      <c r="F2478" s="157">
        <f t="shared" si="2583"/>
        <v>0.4</v>
      </c>
      <c r="G2478" s="157">
        <f t="shared" si="2584"/>
        <v>0.4</v>
      </c>
      <c r="H2478" s="157">
        <f t="shared" si="2585"/>
        <v>0.4</v>
      </c>
      <c r="I2478" s="160">
        <f t="shared" si="2586"/>
        <v>8.5</v>
      </c>
      <c r="J2478" s="374">
        <f t="shared" si="2587"/>
        <v>0</v>
      </c>
      <c r="K2478" s="348">
        <f t="shared" si="2588"/>
        <v>0</v>
      </c>
      <c r="L2478" s="35">
        <f t="shared" ref="L2478:S2478" si="2687">SUM(L2479:L2479)</f>
        <v>6900</v>
      </c>
      <c r="M2478" s="34">
        <f t="shared" si="2687"/>
        <v>400</v>
      </c>
      <c r="N2478" s="34">
        <f t="shared" si="2687"/>
        <v>400</v>
      </c>
      <c r="O2478" s="34">
        <f t="shared" si="2687"/>
        <v>400</v>
      </c>
      <c r="P2478" s="34">
        <f t="shared" si="2687"/>
        <v>400</v>
      </c>
      <c r="Q2478" s="26">
        <f t="shared" si="2687"/>
        <v>8500</v>
      </c>
      <c r="R2478" s="209">
        <f t="shared" si="2687"/>
        <v>0</v>
      </c>
      <c r="S2478" s="116">
        <f t="shared" si="2687"/>
        <v>0</v>
      </c>
      <c r="T2478" s="50">
        <f>T1608</f>
        <v>0</v>
      </c>
      <c r="W2478" s="608">
        <f t="shared" si="2591"/>
        <v>8500</v>
      </c>
      <c r="X2478" s="608">
        <f t="shared" si="2592"/>
        <v>0</v>
      </c>
      <c r="Z2478" s="572">
        <f t="shared" si="2620"/>
        <v>0</v>
      </c>
      <c r="AA2478" s="1">
        <f t="shared" si="2621"/>
        <v>0</v>
      </c>
    </row>
    <row r="2479" spans="1:27" x14ac:dyDescent="0.2">
      <c r="A2479" s="20" t="str">
        <f>A1609</f>
        <v>8.17.11.1 Élaboration d'un guide pratique pour adapter le calendrier et les horaires</v>
      </c>
      <c r="B2479" s="46"/>
      <c r="C2479" s="386">
        <f>C1609</f>
        <v>0</v>
      </c>
      <c r="D2479" s="168">
        <f t="shared" si="2581"/>
        <v>6.9</v>
      </c>
      <c r="E2479" s="168">
        <f t="shared" si="2582"/>
        <v>0.4</v>
      </c>
      <c r="F2479" s="168">
        <f t="shared" si="2583"/>
        <v>0.4</v>
      </c>
      <c r="G2479" s="168">
        <f t="shared" si="2584"/>
        <v>0.4</v>
      </c>
      <c r="H2479" s="168">
        <f t="shared" si="2585"/>
        <v>0.4</v>
      </c>
      <c r="I2479" s="166">
        <f t="shared" si="2586"/>
        <v>8.5</v>
      </c>
      <c r="J2479" s="371" t="str">
        <f t="shared" si="2587"/>
        <v>EPS-IG-PROVED/MAS-DIC</v>
      </c>
      <c r="K2479" s="350" t="str">
        <f t="shared" si="2588"/>
        <v>ND</v>
      </c>
      <c r="L2479" s="167">
        <f t="shared" ref="L2479:Q2479" si="2688">L1609</f>
        <v>6900</v>
      </c>
      <c r="M2479" s="168">
        <f t="shared" si="2688"/>
        <v>400</v>
      </c>
      <c r="N2479" s="168">
        <f t="shared" si="2688"/>
        <v>400</v>
      </c>
      <c r="O2479" s="168">
        <f t="shared" si="2688"/>
        <v>400</v>
      </c>
      <c r="P2479" s="168">
        <f t="shared" si="2688"/>
        <v>400</v>
      </c>
      <c r="Q2479" s="165">
        <f t="shared" si="2688"/>
        <v>8500</v>
      </c>
      <c r="R2479" s="198" t="str">
        <f t="shared" ref="R2479:S2479" si="2689">R1609</f>
        <v>EPS-IG-PROVED/MAS-DIC</v>
      </c>
      <c r="S2479" s="115" t="str">
        <f t="shared" si="2689"/>
        <v>ND</v>
      </c>
      <c r="T2479" s="51">
        <f>T1609</f>
        <v>0</v>
      </c>
      <c r="W2479" s="608">
        <f t="shared" si="2591"/>
        <v>8500</v>
      </c>
      <c r="X2479" s="608">
        <f t="shared" si="2592"/>
        <v>0</v>
      </c>
      <c r="Z2479" s="572">
        <f t="shared" si="2620"/>
        <v>0</v>
      </c>
      <c r="AA2479" s="1">
        <f t="shared" si="2621"/>
        <v>0</v>
      </c>
    </row>
    <row r="2480" spans="1:27" x14ac:dyDescent="0.2">
      <c r="A2480" s="17" t="str">
        <f>A1613</f>
        <v>8.17.12 Appui psychologique aux enfants traumatisés</v>
      </c>
      <c r="B2480" s="45"/>
      <c r="C2480" s="386">
        <f>C1613</f>
        <v>0</v>
      </c>
      <c r="D2480" s="157">
        <f t="shared" si="2581"/>
        <v>355.5</v>
      </c>
      <c r="E2480" s="157">
        <f t="shared" si="2582"/>
        <v>355.5</v>
      </c>
      <c r="F2480" s="157">
        <f t="shared" si="2583"/>
        <v>355.5</v>
      </c>
      <c r="G2480" s="157">
        <f t="shared" si="2584"/>
        <v>350</v>
      </c>
      <c r="H2480" s="157">
        <f t="shared" si="2585"/>
        <v>350</v>
      </c>
      <c r="I2480" s="160">
        <f t="shared" si="2586"/>
        <v>1766.5</v>
      </c>
      <c r="J2480" s="374">
        <f t="shared" si="2587"/>
        <v>0</v>
      </c>
      <c r="K2480" s="348">
        <f t="shared" si="2588"/>
        <v>0</v>
      </c>
      <c r="L2480" s="35">
        <f t="shared" ref="L2480:Q2480" si="2690">SUM(L2481:L2482)</f>
        <v>355500</v>
      </c>
      <c r="M2480" s="34">
        <f t="shared" si="2690"/>
        <v>355500</v>
      </c>
      <c r="N2480" s="34">
        <f t="shared" si="2690"/>
        <v>355500</v>
      </c>
      <c r="O2480" s="34">
        <f t="shared" si="2690"/>
        <v>350000</v>
      </c>
      <c r="P2480" s="34">
        <f t="shared" si="2690"/>
        <v>350000</v>
      </c>
      <c r="Q2480" s="26">
        <f t="shared" si="2690"/>
        <v>1766500</v>
      </c>
      <c r="R2480" s="209">
        <f t="shared" ref="R2480:S2480" si="2691">SUM(R2481:R2482)</f>
        <v>0</v>
      </c>
      <c r="S2480" s="116">
        <f t="shared" si="2691"/>
        <v>0</v>
      </c>
      <c r="T2480" s="50">
        <f>T1613</f>
        <v>0</v>
      </c>
      <c r="W2480" s="608">
        <f t="shared" si="2591"/>
        <v>1766500</v>
      </c>
      <c r="X2480" s="608">
        <f t="shared" si="2592"/>
        <v>0</v>
      </c>
      <c r="Z2480" s="572">
        <f t="shared" si="2620"/>
        <v>0</v>
      </c>
      <c r="AA2480" s="1">
        <f t="shared" si="2621"/>
        <v>0</v>
      </c>
    </row>
    <row r="2481" spans="1:27" x14ac:dyDescent="0.2">
      <c r="A2481" s="20" t="str">
        <f>A1614</f>
        <v>8.17.12.1 Sensibiliser les élèves et les enseignants sur les risques des crises ainsi que le comportement à adopter y compris le soutien psycho-social</v>
      </c>
      <c r="B2481" s="46"/>
      <c r="C2481" s="386">
        <f>C1614</f>
        <v>0</v>
      </c>
      <c r="D2481" s="168">
        <f t="shared" si="2581"/>
        <v>350</v>
      </c>
      <c r="E2481" s="168">
        <f t="shared" si="2582"/>
        <v>350</v>
      </c>
      <c r="F2481" s="168">
        <f t="shared" si="2583"/>
        <v>350</v>
      </c>
      <c r="G2481" s="168">
        <f t="shared" si="2584"/>
        <v>350</v>
      </c>
      <c r="H2481" s="168">
        <f t="shared" si="2585"/>
        <v>350</v>
      </c>
      <c r="I2481" s="166">
        <f t="shared" si="2586"/>
        <v>1750</v>
      </c>
      <c r="J2481" s="371" t="str">
        <f t="shared" si="2587"/>
        <v>EPS-EVF</v>
      </c>
      <c r="K2481" s="350">
        <f t="shared" si="2588"/>
        <v>0</v>
      </c>
      <c r="L2481" s="167">
        <f t="shared" ref="L2481:Q2481" si="2692">L1614</f>
        <v>350000</v>
      </c>
      <c r="M2481" s="168">
        <f t="shared" si="2692"/>
        <v>350000</v>
      </c>
      <c r="N2481" s="168">
        <f t="shared" si="2692"/>
        <v>350000</v>
      </c>
      <c r="O2481" s="168">
        <f t="shared" si="2692"/>
        <v>350000</v>
      </c>
      <c r="P2481" s="168">
        <f t="shared" si="2692"/>
        <v>350000</v>
      </c>
      <c r="Q2481" s="165">
        <f t="shared" si="2692"/>
        <v>1750000</v>
      </c>
      <c r="R2481" s="198" t="str">
        <f t="shared" ref="R2481:S2481" si="2693">R1614</f>
        <v>EPS-EVF</v>
      </c>
      <c r="S2481" s="115">
        <f t="shared" si="2693"/>
        <v>0</v>
      </c>
      <c r="T2481" s="51">
        <f>T1614</f>
        <v>0</v>
      </c>
      <c r="W2481" s="608">
        <f t="shared" si="2591"/>
        <v>1750000</v>
      </c>
      <c r="X2481" s="608">
        <f t="shared" si="2592"/>
        <v>0</v>
      </c>
      <c r="Z2481" s="572">
        <f t="shared" si="2620"/>
        <v>0</v>
      </c>
      <c r="AA2481" s="1">
        <f t="shared" si="2621"/>
        <v>0</v>
      </c>
    </row>
    <row r="2482" spans="1:27" x14ac:dyDescent="0.2">
      <c r="A2482" s="20" t="str">
        <f>A1616</f>
        <v>8.17.12.2 Former les inspecteurs formateurs des enseignants sur les risques de catastrophe naturelle, leurs conséquences et le comportement à tenir à destination des élèves</v>
      </c>
      <c r="B2482" s="46"/>
      <c r="C2482" s="386">
        <f>C1616</f>
        <v>0</v>
      </c>
      <c r="D2482" s="168">
        <f t="shared" si="2581"/>
        <v>5.5</v>
      </c>
      <c r="E2482" s="168">
        <f t="shared" si="2582"/>
        <v>5.5</v>
      </c>
      <c r="F2482" s="168">
        <f t="shared" si="2583"/>
        <v>5.5</v>
      </c>
      <c r="G2482" s="168">
        <f t="shared" si="2584"/>
        <v>0</v>
      </c>
      <c r="H2482" s="168">
        <f t="shared" si="2585"/>
        <v>0</v>
      </c>
      <c r="I2482" s="166">
        <f t="shared" si="2586"/>
        <v>16.5</v>
      </c>
      <c r="J2482" s="371" t="str">
        <f t="shared" si="2587"/>
        <v>EPS-IG/ETP-IG</v>
      </c>
      <c r="K2482" s="350" t="str">
        <f t="shared" si="2588"/>
        <v>ND</v>
      </c>
      <c r="L2482" s="167">
        <f t="shared" ref="L2482:T2482" si="2694">L1616</f>
        <v>5500</v>
      </c>
      <c r="M2482" s="168">
        <f t="shared" si="2694"/>
        <v>5500</v>
      </c>
      <c r="N2482" s="168">
        <f t="shared" si="2694"/>
        <v>5500</v>
      </c>
      <c r="O2482" s="168">
        <f t="shared" si="2694"/>
        <v>0</v>
      </c>
      <c r="P2482" s="168">
        <f t="shared" si="2694"/>
        <v>0</v>
      </c>
      <c r="Q2482" s="165">
        <f t="shared" si="2694"/>
        <v>16500</v>
      </c>
      <c r="R2482" s="198" t="str">
        <f t="shared" ref="R2482:S2482" si="2695">R1616</f>
        <v>EPS-IG/ETP-IG</v>
      </c>
      <c r="S2482" s="115" t="str">
        <f t="shared" si="2695"/>
        <v>ND</v>
      </c>
      <c r="T2482" s="51">
        <f t="shared" si="2694"/>
        <v>0</v>
      </c>
      <c r="W2482" s="608">
        <f t="shared" si="2591"/>
        <v>16500</v>
      </c>
      <c r="X2482" s="608">
        <f t="shared" si="2592"/>
        <v>0</v>
      </c>
      <c r="Z2482" s="572">
        <f t="shared" si="2620"/>
        <v>0</v>
      </c>
      <c r="AA2482" s="1">
        <f t="shared" si="2621"/>
        <v>0</v>
      </c>
    </row>
    <row r="2483" spans="1:27" x14ac:dyDescent="0.2">
      <c r="A2483" s="17" t="str">
        <f>A1618</f>
        <v>8.17.13 Exemption des frais directs pour les élèves/étudiants déplacés</v>
      </c>
      <c r="B2483" s="45"/>
      <c r="C2483" s="386">
        <f>C1618</f>
        <v>0</v>
      </c>
      <c r="D2483" s="157">
        <f t="shared" si="2581"/>
        <v>3.15</v>
      </c>
      <c r="E2483" s="157">
        <f t="shared" si="2582"/>
        <v>3.15</v>
      </c>
      <c r="F2483" s="157">
        <f t="shared" si="2583"/>
        <v>3.15</v>
      </c>
      <c r="G2483" s="157">
        <f t="shared" si="2584"/>
        <v>3.15</v>
      </c>
      <c r="H2483" s="157">
        <f t="shared" si="2585"/>
        <v>3.15</v>
      </c>
      <c r="I2483" s="160">
        <f t="shared" si="2586"/>
        <v>15.75</v>
      </c>
      <c r="J2483" s="374">
        <f t="shared" si="2587"/>
        <v>0</v>
      </c>
      <c r="K2483" s="348">
        <f t="shared" si="2588"/>
        <v>0</v>
      </c>
      <c r="L2483" s="35">
        <f t="shared" ref="L2483:Q2483" si="2696">SUM(L2484:L2485)</f>
        <v>3150</v>
      </c>
      <c r="M2483" s="34">
        <f t="shared" si="2696"/>
        <v>3150</v>
      </c>
      <c r="N2483" s="34">
        <f t="shared" si="2696"/>
        <v>3150</v>
      </c>
      <c r="O2483" s="34">
        <f t="shared" si="2696"/>
        <v>3150</v>
      </c>
      <c r="P2483" s="34">
        <f t="shared" si="2696"/>
        <v>3150</v>
      </c>
      <c r="Q2483" s="26">
        <f t="shared" si="2696"/>
        <v>15750</v>
      </c>
      <c r="R2483" s="209">
        <f t="shared" ref="R2483:S2483" si="2697">SUM(R2484:R2485)</f>
        <v>0</v>
      </c>
      <c r="S2483" s="116">
        <f t="shared" si="2697"/>
        <v>0</v>
      </c>
      <c r="T2483" s="50">
        <f>T1618</f>
        <v>0</v>
      </c>
      <c r="W2483" s="608">
        <f t="shared" si="2591"/>
        <v>15750</v>
      </c>
      <c r="X2483" s="608">
        <f t="shared" si="2592"/>
        <v>0</v>
      </c>
      <c r="Z2483" s="572">
        <f t="shared" si="2620"/>
        <v>0</v>
      </c>
      <c r="AA2483" s="1">
        <f t="shared" si="2621"/>
        <v>0</v>
      </c>
    </row>
    <row r="2484" spans="1:27" x14ac:dyDescent="0.2">
      <c r="A2484" s="20" t="str">
        <f>A1619</f>
        <v xml:space="preserve">8.17.13.1 Élaboration d'un arrêté interministériel exemptant les élèves/étudiants déplacés des frais directs </v>
      </c>
      <c r="B2484" s="46"/>
      <c r="C2484" s="386">
        <f>C1619</f>
        <v>0</v>
      </c>
      <c r="D2484" s="168">
        <f t="shared" si="2581"/>
        <v>0</v>
      </c>
      <c r="E2484" s="168">
        <f t="shared" si="2582"/>
        <v>0</v>
      </c>
      <c r="F2484" s="168">
        <f t="shared" si="2583"/>
        <v>0</v>
      </c>
      <c r="G2484" s="168">
        <f t="shared" si="2584"/>
        <v>0</v>
      </c>
      <c r="H2484" s="168">
        <f t="shared" si="2585"/>
        <v>0</v>
      </c>
      <c r="I2484" s="166">
        <f t="shared" si="2586"/>
        <v>0</v>
      </c>
      <c r="J2484" s="371">
        <f t="shared" si="2587"/>
        <v>0</v>
      </c>
      <c r="K2484" s="350">
        <f t="shared" si="2588"/>
        <v>0</v>
      </c>
      <c r="L2484" s="37">
        <f t="shared" ref="L2484:Q2484" si="2698">L1619</f>
        <v>0</v>
      </c>
      <c r="M2484" s="36">
        <f t="shared" si="2698"/>
        <v>0</v>
      </c>
      <c r="N2484" s="36">
        <f t="shared" si="2698"/>
        <v>0</v>
      </c>
      <c r="O2484" s="36">
        <f t="shared" si="2698"/>
        <v>0</v>
      </c>
      <c r="P2484" s="36">
        <f t="shared" si="2698"/>
        <v>0</v>
      </c>
      <c r="Q2484" s="27">
        <f t="shared" si="2698"/>
        <v>0</v>
      </c>
      <c r="R2484" s="198">
        <f t="shared" ref="R2484:S2484" si="2699">R1619</f>
        <v>0</v>
      </c>
      <c r="S2484" s="115">
        <f t="shared" si="2699"/>
        <v>0</v>
      </c>
      <c r="T2484" s="51">
        <f>T1619</f>
        <v>0</v>
      </c>
      <c r="W2484" s="608">
        <f t="shared" si="2591"/>
        <v>0</v>
      </c>
      <c r="X2484" s="608">
        <f t="shared" si="2592"/>
        <v>0</v>
      </c>
      <c r="Z2484" s="572">
        <f t="shared" si="2620"/>
        <v>0</v>
      </c>
      <c r="AA2484" s="1">
        <f t="shared" si="2621"/>
        <v>0</v>
      </c>
    </row>
    <row r="2485" spans="1:27" x14ac:dyDescent="0.2">
      <c r="A2485" s="20" t="str">
        <f>A1621</f>
        <v>8.17.13.2 Identification des élèves/étudiants déplacés ainsi que leurs établissements</v>
      </c>
      <c r="B2485" s="46"/>
      <c r="C2485" s="386">
        <f>C1621</f>
        <v>0</v>
      </c>
      <c r="D2485" s="168">
        <f t="shared" si="2581"/>
        <v>3.15</v>
      </c>
      <c r="E2485" s="168">
        <f t="shared" si="2582"/>
        <v>3.15</v>
      </c>
      <c r="F2485" s="168">
        <f t="shared" si="2583"/>
        <v>3.15</v>
      </c>
      <c r="G2485" s="168">
        <f t="shared" si="2584"/>
        <v>3.15</v>
      </c>
      <c r="H2485" s="168">
        <f t="shared" si="2585"/>
        <v>3.15</v>
      </c>
      <c r="I2485" s="166">
        <f t="shared" si="2586"/>
        <v>15.75</v>
      </c>
      <c r="J2485" s="371" t="str">
        <f t="shared" si="2587"/>
        <v>EPS/ESU/ETP/MAS</v>
      </c>
      <c r="K2485" s="350" t="str">
        <f t="shared" si="2588"/>
        <v>ND</v>
      </c>
      <c r="L2485" s="167">
        <f t="shared" ref="L2485:T2485" si="2700">L1621</f>
        <v>3150</v>
      </c>
      <c r="M2485" s="168">
        <f t="shared" si="2700"/>
        <v>3150</v>
      </c>
      <c r="N2485" s="168">
        <f t="shared" si="2700"/>
        <v>3150</v>
      </c>
      <c r="O2485" s="168">
        <f t="shared" si="2700"/>
        <v>3150</v>
      </c>
      <c r="P2485" s="168">
        <f t="shared" si="2700"/>
        <v>3150</v>
      </c>
      <c r="Q2485" s="165">
        <f t="shared" si="2700"/>
        <v>15750</v>
      </c>
      <c r="R2485" s="198" t="str">
        <f t="shared" ref="R2485:S2485" si="2701">R1621</f>
        <v>EPS/ESU/ETP/MAS</v>
      </c>
      <c r="S2485" s="115" t="str">
        <f t="shared" si="2701"/>
        <v>ND</v>
      </c>
      <c r="T2485" s="51">
        <f t="shared" si="2700"/>
        <v>0</v>
      </c>
      <c r="W2485" s="608">
        <f t="shared" si="2591"/>
        <v>15750</v>
      </c>
      <c r="X2485" s="608">
        <f t="shared" si="2592"/>
        <v>0</v>
      </c>
      <c r="Z2485" s="572">
        <f t="shared" si="2620"/>
        <v>0</v>
      </c>
      <c r="AA2485" s="1">
        <f t="shared" si="2621"/>
        <v>0</v>
      </c>
    </row>
    <row r="2486" spans="1:27" x14ac:dyDescent="0.2">
      <c r="A2486" s="14" t="str">
        <f>A1624</f>
        <v>8.18 Éducation à la nouvelle citoyenneté et à la paix et Prévention des violences</v>
      </c>
      <c r="B2486" s="44"/>
      <c r="C2486" s="385">
        <f>C1624</f>
        <v>0</v>
      </c>
      <c r="D2486" s="217">
        <f t="shared" ref="D2486:D2515" si="2702">L2486/1000</f>
        <v>157.5</v>
      </c>
      <c r="E2486" s="217">
        <f t="shared" ref="E2486:E2515" si="2703">M2486/1000</f>
        <v>510.3</v>
      </c>
      <c r="F2486" s="217">
        <f t="shared" ref="F2486:F2515" si="2704">N2486/1000</f>
        <v>377.3</v>
      </c>
      <c r="G2486" s="217">
        <f t="shared" ref="G2486:G2515" si="2705">O2486/1000</f>
        <v>278.8</v>
      </c>
      <c r="H2486" s="217">
        <f t="shared" ref="H2486:H2515" si="2706">P2486/1000</f>
        <v>207</v>
      </c>
      <c r="I2486" s="220">
        <f t="shared" ref="I2486:I2515" si="2707">Q2486/1000</f>
        <v>1530.9</v>
      </c>
      <c r="J2486" s="373">
        <f t="shared" ref="J2486:J2506" si="2708">R2486</f>
        <v>0</v>
      </c>
      <c r="K2486" s="346">
        <f t="shared" ref="K2486:K2506" si="2709">S2486</f>
        <v>0</v>
      </c>
      <c r="L2486" s="33">
        <f>L2487+L2492+L2495+L2499+L2502+L2504</f>
        <v>157500</v>
      </c>
      <c r="M2486" s="32">
        <f t="shared" ref="M2486:Q2486" si="2710">M2487+M2492+M2495+M2499+M2502+M2504</f>
        <v>510300</v>
      </c>
      <c r="N2486" s="32">
        <f t="shared" si="2710"/>
        <v>377300</v>
      </c>
      <c r="O2486" s="32">
        <f t="shared" si="2710"/>
        <v>278800</v>
      </c>
      <c r="P2486" s="32">
        <f t="shared" si="2710"/>
        <v>207000</v>
      </c>
      <c r="Q2486" s="25">
        <f t="shared" si="2710"/>
        <v>1530900</v>
      </c>
      <c r="R2486" s="515">
        <f t="shared" ref="R2486:S2486" si="2711">R2487+R2492+R2495+R2499+R2502+R2504</f>
        <v>0</v>
      </c>
      <c r="S2486" s="145">
        <f t="shared" si="2711"/>
        <v>0</v>
      </c>
      <c r="T2486" s="49">
        <f>T1624</f>
        <v>3</v>
      </c>
      <c r="W2486" s="608">
        <f t="shared" ref="W2486:W2514" si="2712">SUM(L2486:P2486)</f>
        <v>1530900</v>
      </c>
      <c r="X2486" s="608">
        <f t="shared" ref="X2486:X2514" si="2713">W2486-Q2486</f>
        <v>0</v>
      </c>
      <c r="Y2486" s="572" t="s">
        <v>1513</v>
      </c>
      <c r="Z2486" s="572">
        <f t="shared" si="2620"/>
        <v>0</v>
      </c>
      <c r="AA2486" s="1">
        <f t="shared" si="2621"/>
        <v>1530.9</v>
      </c>
    </row>
    <row r="2487" spans="1:27" x14ac:dyDescent="0.2">
      <c r="A2487" s="17" t="str">
        <f>A1625</f>
        <v>8.18.1 Élaboration d'une stratégie et d'un plan d'action pour l'éducation à la paix et à la nouvelle citoyenneté</v>
      </c>
      <c r="B2487" s="45"/>
      <c r="C2487" s="386">
        <f>C1625</f>
        <v>0</v>
      </c>
      <c r="D2487" s="157">
        <f t="shared" si="2702"/>
        <v>68</v>
      </c>
      <c r="E2487" s="157">
        <f t="shared" si="2703"/>
        <v>98.5</v>
      </c>
      <c r="F2487" s="157">
        <f t="shared" si="2704"/>
        <v>98.5</v>
      </c>
      <c r="G2487" s="157">
        <f t="shared" si="2705"/>
        <v>0</v>
      </c>
      <c r="H2487" s="157">
        <f t="shared" si="2706"/>
        <v>0</v>
      </c>
      <c r="I2487" s="160">
        <f t="shared" si="2707"/>
        <v>265</v>
      </c>
      <c r="J2487" s="374">
        <f t="shared" si="2708"/>
        <v>0</v>
      </c>
      <c r="K2487" s="348">
        <f t="shared" si="2709"/>
        <v>0</v>
      </c>
      <c r="L2487" s="35">
        <f t="shared" ref="L2487:Q2487" si="2714">SUM(L2488:L2491)</f>
        <v>68000</v>
      </c>
      <c r="M2487" s="34">
        <f t="shared" si="2714"/>
        <v>98500</v>
      </c>
      <c r="N2487" s="34">
        <f t="shared" si="2714"/>
        <v>98500</v>
      </c>
      <c r="O2487" s="34">
        <f t="shared" si="2714"/>
        <v>0</v>
      </c>
      <c r="P2487" s="34">
        <f t="shared" si="2714"/>
        <v>0</v>
      </c>
      <c r="Q2487" s="26">
        <f t="shared" si="2714"/>
        <v>265000</v>
      </c>
      <c r="R2487" s="209">
        <f t="shared" ref="R2487:S2487" si="2715">SUM(R2488:R2491)</f>
        <v>0</v>
      </c>
      <c r="S2487" s="116">
        <f t="shared" si="2715"/>
        <v>0</v>
      </c>
      <c r="T2487" s="50">
        <f>T1625</f>
        <v>0</v>
      </c>
      <c r="W2487" s="608">
        <f t="shared" si="2712"/>
        <v>265000</v>
      </c>
      <c r="X2487" s="608">
        <f t="shared" si="2713"/>
        <v>0</v>
      </c>
      <c r="Z2487" s="572">
        <f t="shared" si="2620"/>
        <v>0</v>
      </c>
      <c r="AA2487" s="1">
        <f t="shared" si="2621"/>
        <v>0</v>
      </c>
    </row>
    <row r="2488" spans="1:27" x14ac:dyDescent="0.2">
      <c r="A2488" s="20" t="str">
        <f>A1626</f>
        <v>8.18.1.1 Établir un diagnostic de la situation</v>
      </c>
      <c r="B2488" s="46"/>
      <c r="C2488" s="386">
        <f>C1626</f>
        <v>0</v>
      </c>
      <c r="D2488" s="168">
        <f t="shared" si="2702"/>
        <v>17</v>
      </c>
      <c r="E2488" s="168">
        <f t="shared" si="2703"/>
        <v>0</v>
      </c>
      <c r="F2488" s="168">
        <f t="shared" si="2704"/>
        <v>0</v>
      </c>
      <c r="G2488" s="168">
        <f t="shared" si="2705"/>
        <v>0</v>
      </c>
      <c r="H2488" s="168">
        <f t="shared" si="2706"/>
        <v>0</v>
      </c>
      <c r="I2488" s="166">
        <f t="shared" si="2707"/>
        <v>17</v>
      </c>
      <c r="J2488" s="371" t="str">
        <f t="shared" si="2708"/>
        <v>SPACE/CTINC/Directions sectorielles</v>
      </c>
      <c r="K2488" s="350" t="str">
        <f t="shared" si="2709"/>
        <v>Unicef/Unesco</v>
      </c>
      <c r="L2488" s="167">
        <f t="shared" ref="L2488:Q2488" si="2716">L1626</f>
        <v>17000</v>
      </c>
      <c r="M2488" s="168">
        <f t="shared" si="2716"/>
        <v>0</v>
      </c>
      <c r="N2488" s="168">
        <f t="shared" si="2716"/>
        <v>0</v>
      </c>
      <c r="O2488" s="168">
        <f t="shared" si="2716"/>
        <v>0</v>
      </c>
      <c r="P2488" s="168">
        <f t="shared" si="2716"/>
        <v>0</v>
      </c>
      <c r="Q2488" s="165">
        <f t="shared" si="2716"/>
        <v>17000</v>
      </c>
      <c r="R2488" s="198" t="str">
        <f t="shared" ref="R2488:S2488" si="2717">R1626</f>
        <v>SPACE/CTINC/Directions sectorielles</v>
      </c>
      <c r="S2488" s="115" t="str">
        <f t="shared" si="2717"/>
        <v>Unicef/Unesco</v>
      </c>
      <c r="T2488" s="51">
        <f>T1626</f>
        <v>0</v>
      </c>
      <c r="W2488" s="608">
        <f t="shared" si="2712"/>
        <v>17000</v>
      </c>
      <c r="X2488" s="608">
        <f t="shared" si="2713"/>
        <v>0</v>
      </c>
      <c r="Z2488" s="572">
        <f t="shared" si="2620"/>
        <v>0</v>
      </c>
      <c r="AA2488" s="1">
        <f t="shared" si="2621"/>
        <v>0</v>
      </c>
    </row>
    <row r="2489" spans="1:27" x14ac:dyDescent="0.2">
      <c r="A2489" s="20" t="str">
        <f>A1630</f>
        <v>8.18.1.2 Élaboration du/des document(s) de stratégie pour l'éducation à la paix à la citoyenneté</v>
      </c>
      <c r="B2489" s="46"/>
      <c r="C2489" s="386">
        <f>C1630</f>
        <v>0</v>
      </c>
      <c r="D2489" s="168">
        <f t="shared" si="2702"/>
        <v>25.5</v>
      </c>
      <c r="E2489" s="168">
        <f t="shared" si="2703"/>
        <v>0</v>
      </c>
      <c r="F2489" s="168">
        <f t="shared" si="2704"/>
        <v>0</v>
      </c>
      <c r="G2489" s="168">
        <f t="shared" si="2705"/>
        <v>0</v>
      </c>
      <c r="H2489" s="168">
        <f t="shared" si="2706"/>
        <v>0</v>
      </c>
      <c r="I2489" s="166">
        <f t="shared" si="2707"/>
        <v>25.5</v>
      </c>
      <c r="J2489" s="371" t="str">
        <f t="shared" si="2708"/>
        <v>SPACE/CTINC/Directions sectorielles</v>
      </c>
      <c r="K2489" s="350" t="str">
        <f t="shared" si="2709"/>
        <v>Unicef/Unesco</v>
      </c>
      <c r="L2489" s="167">
        <f t="shared" ref="L2489:T2489" si="2718">L1630</f>
        <v>25500</v>
      </c>
      <c r="M2489" s="168">
        <f t="shared" si="2718"/>
        <v>0</v>
      </c>
      <c r="N2489" s="168">
        <f t="shared" si="2718"/>
        <v>0</v>
      </c>
      <c r="O2489" s="168">
        <f t="shared" si="2718"/>
        <v>0</v>
      </c>
      <c r="P2489" s="168">
        <f t="shared" si="2718"/>
        <v>0</v>
      </c>
      <c r="Q2489" s="165">
        <f t="shared" si="2718"/>
        <v>25500</v>
      </c>
      <c r="R2489" s="198" t="str">
        <f t="shared" ref="R2489:S2489" si="2719">R1630</f>
        <v>SPACE/CTINC/Directions sectorielles</v>
      </c>
      <c r="S2489" s="115" t="str">
        <f t="shared" si="2719"/>
        <v>Unicef/Unesco</v>
      </c>
      <c r="T2489" s="51">
        <f t="shared" si="2718"/>
        <v>0</v>
      </c>
      <c r="W2489" s="608">
        <f t="shared" si="2712"/>
        <v>25500</v>
      </c>
      <c r="X2489" s="608">
        <f t="shared" si="2713"/>
        <v>0</v>
      </c>
      <c r="Z2489" s="572">
        <f t="shared" si="2620"/>
        <v>0</v>
      </c>
      <c r="AA2489" s="1">
        <f t="shared" si="2621"/>
        <v>0</v>
      </c>
    </row>
    <row r="2490" spans="1:27" x14ac:dyDescent="0.2">
      <c r="A2490" s="20" t="str">
        <f>A1634</f>
        <v>8.18.1.3 Élaboration et validation des plans d'action pour l'éducation à la paix, en situation d'urgence et à la citoyenneté</v>
      </c>
      <c r="B2490" s="46"/>
      <c r="C2490" s="386">
        <f>C1634</f>
        <v>0</v>
      </c>
      <c r="D2490" s="168">
        <f t="shared" si="2702"/>
        <v>25.5</v>
      </c>
      <c r="E2490" s="168">
        <f t="shared" si="2703"/>
        <v>0</v>
      </c>
      <c r="F2490" s="168">
        <f t="shared" si="2704"/>
        <v>0</v>
      </c>
      <c r="G2490" s="168">
        <f t="shared" si="2705"/>
        <v>0</v>
      </c>
      <c r="H2490" s="168">
        <f t="shared" si="2706"/>
        <v>0</v>
      </c>
      <c r="I2490" s="166">
        <f t="shared" si="2707"/>
        <v>25.5</v>
      </c>
      <c r="J2490" s="371" t="str">
        <f t="shared" si="2708"/>
        <v>SPACE/CTINC/Directions sectorielles</v>
      </c>
      <c r="K2490" s="350" t="str">
        <f t="shared" si="2709"/>
        <v>Unicef/Unesco</v>
      </c>
      <c r="L2490" s="167">
        <f t="shared" ref="L2490:T2490" si="2720">L1634</f>
        <v>25500</v>
      </c>
      <c r="M2490" s="168">
        <f t="shared" si="2720"/>
        <v>0</v>
      </c>
      <c r="N2490" s="168">
        <f t="shared" si="2720"/>
        <v>0</v>
      </c>
      <c r="O2490" s="168">
        <f t="shared" si="2720"/>
        <v>0</v>
      </c>
      <c r="P2490" s="168">
        <f t="shared" si="2720"/>
        <v>0</v>
      </c>
      <c r="Q2490" s="165">
        <f t="shared" si="2720"/>
        <v>25500</v>
      </c>
      <c r="R2490" s="198" t="str">
        <f t="shared" ref="R2490:S2490" si="2721">R1634</f>
        <v>SPACE/CTINC/Directions sectorielles</v>
      </c>
      <c r="S2490" s="115" t="str">
        <f t="shared" si="2721"/>
        <v>Unicef/Unesco</v>
      </c>
      <c r="T2490" s="51">
        <f t="shared" si="2720"/>
        <v>0</v>
      </c>
      <c r="W2490" s="608">
        <f t="shared" si="2712"/>
        <v>25500</v>
      </c>
      <c r="X2490" s="608">
        <f t="shared" si="2713"/>
        <v>0</v>
      </c>
      <c r="Z2490" s="572">
        <f t="shared" si="2620"/>
        <v>0</v>
      </c>
      <c r="AA2490" s="1">
        <f t="shared" si="2621"/>
        <v>0</v>
      </c>
    </row>
    <row r="2491" spans="1:27" x14ac:dyDescent="0.2">
      <c r="A2491" s="20" t="str">
        <f>A1638</f>
        <v>8.18.1.4 Publication et vulgarisation des plans d'action pour l'éducation à la paix et à la nouvelle citoyenneté</v>
      </c>
      <c r="B2491" s="46"/>
      <c r="C2491" s="386">
        <f>C1638</f>
        <v>0</v>
      </c>
      <c r="D2491" s="168">
        <f t="shared" si="2702"/>
        <v>0</v>
      </c>
      <c r="E2491" s="168">
        <f t="shared" si="2703"/>
        <v>98.5</v>
      </c>
      <c r="F2491" s="168">
        <f t="shared" si="2704"/>
        <v>98.5</v>
      </c>
      <c r="G2491" s="168">
        <f t="shared" si="2705"/>
        <v>0</v>
      </c>
      <c r="H2491" s="168">
        <f t="shared" si="2706"/>
        <v>0</v>
      </c>
      <c r="I2491" s="166">
        <f t="shared" si="2707"/>
        <v>197</v>
      </c>
      <c r="J2491" s="371" t="str">
        <f t="shared" si="2708"/>
        <v>SPACE/CTINC/Directions sectorielles</v>
      </c>
      <c r="K2491" s="350" t="str">
        <f t="shared" si="2709"/>
        <v>Unicef/Unesco</v>
      </c>
      <c r="L2491" s="167">
        <f t="shared" ref="L2491:T2491" si="2722">L1638</f>
        <v>0</v>
      </c>
      <c r="M2491" s="168">
        <f t="shared" si="2722"/>
        <v>98500</v>
      </c>
      <c r="N2491" s="168">
        <f t="shared" si="2722"/>
        <v>98500</v>
      </c>
      <c r="O2491" s="168">
        <f t="shared" si="2722"/>
        <v>0</v>
      </c>
      <c r="P2491" s="168">
        <f t="shared" si="2722"/>
        <v>0</v>
      </c>
      <c r="Q2491" s="165">
        <f t="shared" si="2722"/>
        <v>197000</v>
      </c>
      <c r="R2491" s="198" t="str">
        <f t="shared" ref="R2491:S2491" si="2723">R1638</f>
        <v>SPACE/CTINC/Directions sectorielles</v>
      </c>
      <c r="S2491" s="115" t="str">
        <f t="shared" si="2723"/>
        <v>Unicef/Unesco</v>
      </c>
      <c r="T2491" s="51">
        <f t="shared" si="2722"/>
        <v>0</v>
      </c>
      <c r="W2491" s="608">
        <f t="shared" si="2712"/>
        <v>197000</v>
      </c>
      <c r="X2491" s="608">
        <f t="shared" si="2713"/>
        <v>0</v>
      </c>
      <c r="Z2491" s="572">
        <f t="shared" si="2620"/>
        <v>0</v>
      </c>
      <c r="AA2491" s="1">
        <f t="shared" si="2621"/>
        <v>0</v>
      </c>
    </row>
    <row r="2492" spans="1:27" x14ac:dyDescent="0.2">
      <c r="A2492" s="17" t="str">
        <f>A1642</f>
        <v>8.18.2 Élaboration d'instruments et outils d'éducation à la paix et à la Nouvelle citoyenneté</v>
      </c>
      <c r="B2492" s="45"/>
      <c r="C2492" s="386">
        <f>C1642</f>
        <v>0</v>
      </c>
      <c r="D2492" s="157">
        <f t="shared" si="2702"/>
        <v>0</v>
      </c>
      <c r="E2492" s="157">
        <f t="shared" si="2703"/>
        <v>52</v>
      </c>
      <c r="F2492" s="157">
        <f t="shared" si="2704"/>
        <v>0</v>
      </c>
      <c r="G2492" s="157">
        <f t="shared" si="2705"/>
        <v>0</v>
      </c>
      <c r="H2492" s="157">
        <f t="shared" si="2706"/>
        <v>0</v>
      </c>
      <c r="I2492" s="160">
        <f t="shared" si="2707"/>
        <v>52</v>
      </c>
      <c r="J2492" s="374">
        <f t="shared" si="2708"/>
        <v>0</v>
      </c>
      <c r="K2492" s="348">
        <f t="shared" si="2709"/>
        <v>0</v>
      </c>
      <c r="L2492" s="35">
        <f t="shared" ref="L2492:Q2492" si="2724">SUM(L2493:L2494)</f>
        <v>0</v>
      </c>
      <c r="M2492" s="34">
        <f t="shared" si="2724"/>
        <v>52000</v>
      </c>
      <c r="N2492" s="34">
        <f t="shared" si="2724"/>
        <v>0</v>
      </c>
      <c r="O2492" s="34">
        <f t="shared" si="2724"/>
        <v>0</v>
      </c>
      <c r="P2492" s="34">
        <f t="shared" si="2724"/>
        <v>0</v>
      </c>
      <c r="Q2492" s="26">
        <f t="shared" si="2724"/>
        <v>52000</v>
      </c>
      <c r="R2492" s="209">
        <f t="shared" ref="R2492:S2492" si="2725">SUM(R2493:R2494)</f>
        <v>0</v>
      </c>
      <c r="S2492" s="116">
        <f t="shared" si="2725"/>
        <v>0</v>
      </c>
      <c r="T2492" s="50">
        <f>T1642</f>
        <v>0</v>
      </c>
      <c r="W2492" s="608">
        <f t="shared" si="2712"/>
        <v>52000</v>
      </c>
      <c r="X2492" s="608">
        <f t="shared" si="2713"/>
        <v>0</v>
      </c>
      <c r="Z2492" s="572">
        <f t="shared" si="2620"/>
        <v>0</v>
      </c>
      <c r="AA2492" s="1">
        <f t="shared" si="2621"/>
        <v>0</v>
      </c>
    </row>
    <row r="2493" spans="1:27" x14ac:dyDescent="0.2">
      <c r="A2493" s="20" t="str">
        <f>A1643</f>
        <v>8.18.2.1 Élaboration de modules de formation et de guides pratiques</v>
      </c>
      <c r="B2493" s="46"/>
      <c r="C2493" s="386">
        <f>C1643</f>
        <v>0</v>
      </c>
      <c r="D2493" s="168">
        <f t="shared" si="2702"/>
        <v>0</v>
      </c>
      <c r="E2493" s="168">
        <f t="shared" si="2703"/>
        <v>26</v>
      </c>
      <c r="F2493" s="168">
        <f t="shared" si="2704"/>
        <v>0</v>
      </c>
      <c r="G2493" s="168">
        <f t="shared" si="2705"/>
        <v>0</v>
      </c>
      <c r="H2493" s="168">
        <f t="shared" si="2706"/>
        <v>0</v>
      </c>
      <c r="I2493" s="166">
        <f t="shared" si="2707"/>
        <v>26</v>
      </c>
      <c r="J2493" s="371" t="str">
        <f t="shared" si="2708"/>
        <v>SPACE/CTINC/Directions sectorielles</v>
      </c>
      <c r="K2493" s="350" t="str">
        <f t="shared" si="2709"/>
        <v>Unicef/Unesco</v>
      </c>
      <c r="L2493" s="167">
        <f t="shared" ref="L2493:Q2493" si="2726">L1643</f>
        <v>0</v>
      </c>
      <c r="M2493" s="168">
        <f t="shared" si="2726"/>
        <v>26000</v>
      </c>
      <c r="N2493" s="168">
        <f t="shared" si="2726"/>
        <v>0</v>
      </c>
      <c r="O2493" s="168">
        <f t="shared" si="2726"/>
        <v>0</v>
      </c>
      <c r="P2493" s="168">
        <f t="shared" si="2726"/>
        <v>0</v>
      </c>
      <c r="Q2493" s="165">
        <f t="shared" si="2726"/>
        <v>26000</v>
      </c>
      <c r="R2493" s="198" t="str">
        <f t="shared" ref="R2493:S2493" si="2727">R1643</f>
        <v>SPACE/CTINC/Directions sectorielles</v>
      </c>
      <c r="S2493" s="115" t="str">
        <f t="shared" si="2727"/>
        <v>Unicef/Unesco</v>
      </c>
      <c r="T2493" s="51">
        <f>T1643</f>
        <v>0</v>
      </c>
      <c r="W2493" s="608">
        <f t="shared" si="2712"/>
        <v>26000</v>
      </c>
      <c r="X2493" s="608">
        <f t="shared" si="2713"/>
        <v>0</v>
      </c>
      <c r="Z2493" s="572">
        <f t="shared" si="2620"/>
        <v>0</v>
      </c>
      <c r="AA2493" s="1">
        <f t="shared" si="2621"/>
        <v>0</v>
      </c>
    </row>
    <row r="2494" spans="1:27" x14ac:dyDescent="0.2">
      <c r="A2494" s="20" t="str">
        <f>A1647</f>
        <v>8.18.2.2 Élaboration d'un référentiel de cours d'éducation civique et morale et d'éducation à la nouvelle citoyenneté</v>
      </c>
      <c r="B2494" s="46"/>
      <c r="C2494" s="386">
        <f>C1647</f>
        <v>0</v>
      </c>
      <c r="D2494" s="168">
        <f t="shared" si="2702"/>
        <v>0</v>
      </c>
      <c r="E2494" s="168">
        <f t="shared" si="2703"/>
        <v>26</v>
      </c>
      <c r="F2494" s="168">
        <f t="shared" si="2704"/>
        <v>0</v>
      </c>
      <c r="G2494" s="168">
        <f t="shared" si="2705"/>
        <v>0</v>
      </c>
      <c r="H2494" s="168">
        <f t="shared" si="2706"/>
        <v>0</v>
      </c>
      <c r="I2494" s="166">
        <f t="shared" si="2707"/>
        <v>26</v>
      </c>
      <c r="J2494" s="371" t="str">
        <f t="shared" si="2708"/>
        <v>SPACE/CTINC/Directions sectorielles</v>
      </c>
      <c r="K2494" s="350" t="str">
        <f t="shared" si="2709"/>
        <v>Unicef/Unesco</v>
      </c>
      <c r="L2494" s="167">
        <f t="shared" ref="L2494:T2494" si="2728">L1647</f>
        <v>0</v>
      </c>
      <c r="M2494" s="168">
        <f t="shared" si="2728"/>
        <v>26000</v>
      </c>
      <c r="N2494" s="168">
        <f t="shared" si="2728"/>
        <v>0</v>
      </c>
      <c r="O2494" s="168">
        <f t="shared" si="2728"/>
        <v>0</v>
      </c>
      <c r="P2494" s="168">
        <f t="shared" si="2728"/>
        <v>0</v>
      </c>
      <c r="Q2494" s="165">
        <f t="shared" si="2728"/>
        <v>26000</v>
      </c>
      <c r="R2494" s="198" t="str">
        <f t="shared" ref="R2494:S2494" si="2729">R1647</f>
        <v>SPACE/CTINC/Directions sectorielles</v>
      </c>
      <c r="S2494" s="115" t="str">
        <f t="shared" si="2729"/>
        <v>Unicef/Unesco</v>
      </c>
      <c r="T2494" s="51">
        <f t="shared" si="2728"/>
        <v>0</v>
      </c>
      <c r="W2494" s="608">
        <f t="shared" si="2712"/>
        <v>26000</v>
      </c>
      <c r="X2494" s="608">
        <f t="shared" si="2713"/>
        <v>0</v>
      </c>
      <c r="Z2494" s="572">
        <f t="shared" si="2620"/>
        <v>0</v>
      </c>
      <c r="AA2494" s="1">
        <f t="shared" si="2621"/>
        <v>0</v>
      </c>
    </row>
    <row r="2495" spans="1:27" x14ac:dyDescent="0.2">
      <c r="A2495" s="17" t="str">
        <f>A1651</f>
        <v>8.18.3 Assurer une large diffusion des principes d'éducation à la paix et à la Nouvelle citoyenneté</v>
      </c>
      <c r="B2495" s="45"/>
      <c r="C2495" s="386">
        <f>C1651</f>
        <v>0</v>
      </c>
      <c r="D2495" s="157">
        <f t="shared" si="2702"/>
        <v>0</v>
      </c>
      <c r="E2495" s="157">
        <f t="shared" si="2703"/>
        <v>187.8</v>
      </c>
      <c r="F2495" s="157">
        <f t="shared" si="2704"/>
        <v>124.3</v>
      </c>
      <c r="G2495" s="157">
        <f t="shared" si="2705"/>
        <v>124.3</v>
      </c>
      <c r="H2495" s="157">
        <f t="shared" si="2706"/>
        <v>52.5</v>
      </c>
      <c r="I2495" s="160">
        <f t="shared" si="2707"/>
        <v>488.9</v>
      </c>
      <c r="J2495" s="374">
        <f t="shared" si="2708"/>
        <v>0</v>
      </c>
      <c r="K2495" s="348">
        <f t="shared" si="2709"/>
        <v>0</v>
      </c>
      <c r="L2495" s="35">
        <f t="shared" ref="L2495:Q2495" si="2730">SUM(L2496:L2498)</f>
        <v>0</v>
      </c>
      <c r="M2495" s="34">
        <f t="shared" si="2730"/>
        <v>187800</v>
      </c>
      <c r="N2495" s="34">
        <f t="shared" si="2730"/>
        <v>124300</v>
      </c>
      <c r="O2495" s="34">
        <f t="shared" si="2730"/>
        <v>124300</v>
      </c>
      <c r="P2495" s="34">
        <f t="shared" si="2730"/>
        <v>52500</v>
      </c>
      <c r="Q2495" s="26">
        <f t="shared" si="2730"/>
        <v>488900</v>
      </c>
      <c r="R2495" s="209">
        <f t="shared" ref="R2495:S2495" si="2731">SUM(R2496:R2498)</f>
        <v>0</v>
      </c>
      <c r="S2495" s="116">
        <f t="shared" si="2731"/>
        <v>0</v>
      </c>
      <c r="T2495" s="50">
        <f>T1651</f>
        <v>0</v>
      </c>
      <c r="W2495" s="608">
        <f t="shared" si="2712"/>
        <v>488900</v>
      </c>
      <c r="X2495" s="608">
        <f t="shared" si="2713"/>
        <v>0</v>
      </c>
      <c r="Z2495" s="572">
        <f t="shared" si="2620"/>
        <v>0</v>
      </c>
      <c r="AA2495" s="1">
        <f t="shared" si="2621"/>
        <v>0</v>
      </c>
    </row>
    <row r="2496" spans="1:27" x14ac:dyDescent="0.2">
      <c r="A2496" s="20" t="str">
        <f>A1652</f>
        <v>8.18.3.1 Élaboration d'un plan de communication</v>
      </c>
      <c r="B2496" s="46"/>
      <c r="C2496" s="386">
        <f>C1652</f>
        <v>0</v>
      </c>
      <c r="D2496" s="168">
        <f t="shared" si="2702"/>
        <v>0</v>
      </c>
      <c r="E2496" s="168">
        <f t="shared" si="2703"/>
        <v>26</v>
      </c>
      <c r="F2496" s="168">
        <f t="shared" si="2704"/>
        <v>0</v>
      </c>
      <c r="G2496" s="168">
        <f t="shared" si="2705"/>
        <v>0</v>
      </c>
      <c r="H2496" s="168">
        <f t="shared" si="2706"/>
        <v>0</v>
      </c>
      <c r="I2496" s="166">
        <f t="shared" si="2707"/>
        <v>26</v>
      </c>
      <c r="J2496" s="371" t="str">
        <f t="shared" si="2708"/>
        <v>SPACE/CTINC/CGC/Directions sectorielles</v>
      </c>
      <c r="K2496" s="350" t="str">
        <f t="shared" si="2709"/>
        <v>Unicef/Unesco</v>
      </c>
      <c r="L2496" s="167">
        <f t="shared" ref="L2496:Q2496" si="2732">L1652</f>
        <v>0</v>
      </c>
      <c r="M2496" s="168">
        <f t="shared" si="2732"/>
        <v>26000</v>
      </c>
      <c r="N2496" s="168">
        <f t="shared" si="2732"/>
        <v>0</v>
      </c>
      <c r="O2496" s="168">
        <f t="shared" si="2732"/>
        <v>0</v>
      </c>
      <c r="P2496" s="168">
        <f t="shared" si="2732"/>
        <v>0</v>
      </c>
      <c r="Q2496" s="165">
        <f t="shared" si="2732"/>
        <v>26000</v>
      </c>
      <c r="R2496" s="198" t="str">
        <f t="shared" ref="R2496:S2496" si="2733">R1652</f>
        <v>SPACE/CTINC/CGC/Directions sectorielles</v>
      </c>
      <c r="S2496" s="115" t="str">
        <f t="shared" si="2733"/>
        <v>Unicef/Unesco</v>
      </c>
      <c r="T2496" s="51">
        <f>T1652</f>
        <v>0</v>
      </c>
      <c r="W2496" s="608">
        <f t="shared" si="2712"/>
        <v>26000</v>
      </c>
      <c r="X2496" s="608">
        <f t="shared" si="2713"/>
        <v>0</v>
      </c>
      <c r="Z2496" s="572">
        <f t="shared" si="2620"/>
        <v>0</v>
      </c>
      <c r="AA2496" s="1">
        <f t="shared" si="2621"/>
        <v>0</v>
      </c>
    </row>
    <row r="2497" spans="1:27" x14ac:dyDescent="0.2">
      <c r="A2497" s="20" t="str">
        <f>A1656</f>
        <v>8.18.3.2 Développer des outils et des supports</v>
      </c>
      <c r="B2497" s="109"/>
      <c r="C2497" s="386">
        <f>C1656</f>
        <v>0</v>
      </c>
      <c r="D2497" s="168">
        <f t="shared" si="2702"/>
        <v>0</v>
      </c>
      <c r="E2497" s="168">
        <f t="shared" si="2703"/>
        <v>71.8</v>
      </c>
      <c r="F2497" s="168">
        <f t="shared" si="2704"/>
        <v>71.8</v>
      </c>
      <c r="G2497" s="168">
        <f t="shared" si="2705"/>
        <v>71.8</v>
      </c>
      <c r="H2497" s="168">
        <f t="shared" si="2706"/>
        <v>0</v>
      </c>
      <c r="I2497" s="166">
        <f t="shared" si="2707"/>
        <v>215.4</v>
      </c>
      <c r="J2497" s="371" t="str">
        <f t="shared" si="2708"/>
        <v>SPACE/CTINC/CGC/Directions sectorielles</v>
      </c>
      <c r="K2497" s="350" t="str">
        <f t="shared" si="2709"/>
        <v>Unicef/Unesco</v>
      </c>
      <c r="L2497" s="167">
        <f t="shared" ref="L2497:T2497" si="2734">L1656</f>
        <v>0</v>
      </c>
      <c r="M2497" s="168">
        <f t="shared" si="2734"/>
        <v>71800</v>
      </c>
      <c r="N2497" s="168">
        <f t="shared" si="2734"/>
        <v>71800</v>
      </c>
      <c r="O2497" s="168">
        <f t="shared" si="2734"/>
        <v>71800</v>
      </c>
      <c r="P2497" s="168">
        <f t="shared" si="2734"/>
        <v>0</v>
      </c>
      <c r="Q2497" s="165">
        <f t="shared" si="2734"/>
        <v>215400</v>
      </c>
      <c r="R2497" s="198" t="str">
        <f t="shared" ref="R2497:S2497" si="2735">R1656</f>
        <v>SPACE/CTINC/CGC/Directions sectorielles</v>
      </c>
      <c r="S2497" s="115" t="str">
        <f t="shared" si="2735"/>
        <v>Unicef/Unesco</v>
      </c>
      <c r="T2497" s="51">
        <f t="shared" si="2734"/>
        <v>0</v>
      </c>
      <c r="W2497" s="608">
        <f t="shared" si="2712"/>
        <v>215400</v>
      </c>
      <c r="X2497" s="608">
        <f t="shared" si="2713"/>
        <v>0</v>
      </c>
      <c r="Z2497" s="572">
        <f t="shared" si="2620"/>
        <v>0</v>
      </c>
      <c r="AA2497" s="1">
        <f t="shared" si="2621"/>
        <v>0</v>
      </c>
    </row>
    <row r="2498" spans="1:27" x14ac:dyDescent="0.2">
      <c r="A2498" s="20" t="str">
        <f>A1660</f>
        <v>8.18.3.3 Assurer des campagnes IEC</v>
      </c>
      <c r="B2498" s="109"/>
      <c r="C2498" s="386">
        <f>C1660</f>
        <v>0</v>
      </c>
      <c r="D2498" s="168">
        <f t="shared" si="2702"/>
        <v>0</v>
      </c>
      <c r="E2498" s="168">
        <f t="shared" si="2703"/>
        <v>90</v>
      </c>
      <c r="F2498" s="168">
        <f t="shared" si="2704"/>
        <v>52.5</v>
      </c>
      <c r="G2498" s="168">
        <f t="shared" si="2705"/>
        <v>52.5</v>
      </c>
      <c r="H2498" s="168">
        <f t="shared" si="2706"/>
        <v>52.5</v>
      </c>
      <c r="I2498" s="166">
        <f t="shared" si="2707"/>
        <v>247.5</v>
      </c>
      <c r="J2498" s="371" t="str">
        <f t="shared" si="2708"/>
        <v>SPACE/CTINC/CGC/Directions sectorielles</v>
      </c>
      <c r="K2498" s="350" t="str">
        <f t="shared" si="2709"/>
        <v>Unicef/Unesco</v>
      </c>
      <c r="L2498" s="167">
        <f t="shared" ref="L2498:T2498" si="2736">L1660</f>
        <v>0</v>
      </c>
      <c r="M2498" s="168">
        <f t="shared" si="2736"/>
        <v>90000</v>
      </c>
      <c r="N2498" s="168">
        <f t="shared" si="2736"/>
        <v>52500</v>
      </c>
      <c r="O2498" s="168">
        <f t="shared" si="2736"/>
        <v>52500</v>
      </c>
      <c r="P2498" s="168">
        <f t="shared" si="2736"/>
        <v>52500</v>
      </c>
      <c r="Q2498" s="165">
        <f t="shared" si="2736"/>
        <v>247500</v>
      </c>
      <c r="R2498" s="198" t="str">
        <f t="shared" ref="R2498:S2498" si="2737">R1660</f>
        <v>SPACE/CTINC/CGC/Directions sectorielles</v>
      </c>
      <c r="S2498" s="115" t="str">
        <f t="shared" si="2737"/>
        <v>Unicef/Unesco</v>
      </c>
      <c r="T2498" s="51">
        <f t="shared" si="2736"/>
        <v>0</v>
      </c>
      <c r="W2498" s="608">
        <f t="shared" si="2712"/>
        <v>247500</v>
      </c>
      <c r="X2498" s="608">
        <f t="shared" si="2713"/>
        <v>0</v>
      </c>
      <c r="Z2498" s="572">
        <f t="shared" si="2620"/>
        <v>0</v>
      </c>
      <c r="AA2498" s="1">
        <f t="shared" si="2621"/>
        <v>0</v>
      </c>
    </row>
    <row r="2499" spans="1:27" x14ac:dyDescent="0.2">
      <c r="A2499" s="17" t="str">
        <f>A1663</f>
        <v>8.18.4 Renforcer des capacités institutionnelles et humaines</v>
      </c>
      <c r="B2499" s="45"/>
      <c r="C2499" s="386">
        <f>C1663</f>
        <v>0</v>
      </c>
      <c r="D2499" s="157">
        <f t="shared" si="2702"/>
        <v>0</v>
      </c>
      <c r="E2499" s="157">
        <f t="shared" si="2703"/>
        <v>127.5</v>
      </c>
      <c r="F2499" s="157">
        <f t="shared" si="2704"/>
        <v>110</v>
      </c>
      <c r="G2499" s="157">
        <f t="shared" si="2705"/>
        <v>110</v>
      </c>
      <c r="H2499" s="157">
        <f t="shared" si="2706"/>
        <v>110</v>
      </c>
      <c r="I2499" s="160">
        <f t="shared" si="2707"/>
        <v>457.5</v>
      </c>
      <c r="J2499" s="374">
        <f t="shared" si="2708"/>
        <v>0</v>
      </c>
      <c r="K2499" s="348">
        <f t="shared" si="2709"/>
        <v>0</v>
      </c>
      <c r="L2499" s="35">
        <f t="shared" ref="L2499:Q2499" si="2738">SUM(L2500:L2501)</f>
        <v>0</v>
      </c>
      <c r="M2499" s="34">
        <f t="shared" si="2738"/>
        <v>127500</v>
      </c>
      <c r="N2499" s="34">
        <f t="shared" si="2738"/>
        <v>110000</v>
      </c>
      <c r="O2499" s="34">
        <f t="shared" si="2738"/>
        <v>110000</v>
      </c>
      <c r="P2499" s="34">
        <f t="shared" si="2738"/>
        <v>110000</v>
      </c>
      <c r="Q2499" s="26">
        <f t="shared" si="2738"/>
        <v>457500</v>
      </c>
      <c r="R2499" s="209">
        <f t="shared" ref="R2499:S2499" si="2739">SUM(R2500:R2501)</f>
        <v>0</v>
      </c>
      <c r="S2499" s="116">
        <f t="shared" si="2739"/>
        <v>0</v>
      </c>
      <c r="T2499" s="50">
        <f>T1663</f>
        <v>0</v>
      </c>
      <c r="W2499" s="608">
        <f t="shared" si="2712"/>
        <v>457500</v>
      </c>
      <c r="X2499" s="608">
        <f t="shared" si="2713"/>
        <v>0</v>
      </c>
      <c r="Y2499" s="572" t="s">
        <v>1513</v>
      </c>
      <c r="Z2499" s="572">
        <f t="shared" si="2620"/>
        <v>0</v>
      </c>
      <c r="AA2499" s="1">
        <f t="shared" si="2621"/>
        <v>457.5</v>
      </c>
    </row>
    <row r="2500" spans="1:27" x14ac:dyDescent="0.2">
      <c r="A2500" s="20" t="str">
        <f>A1664</f>
        <v>8.18.4.1 Organisation du montage institutionnel et installation des structures provinciales</v>
      </c>
      <c r="B2500" s="46"/>
      <c r="C2500" s="386">
        <f>C1664</f>
        <v>0</v>
      </c>
      <c r="D2500" s="168">
        <f t="shared" si="2702"/>
        <v>0</v>
      </c>
      <c r="E2500" s="168">
        <f t="shared" si="2703"/>
        <v>13</v>
      </c>
      <c r="F2500" s="168">
        <f t="shared" si="2704"/>
        <v>0</v>
      </c>
      <c r="G2500" s="168">
        <f t="shared" si="2705"/>
        <v>0</v>
      </c>
      <c r="H2500" s="168">
        <f t="shared" si="2706"/>
        <v>0</v>
      </c>
      <c r="I2500" s="166">
        <f t="shared" si="2707"/>
        <v>13</v>
      </c>
      <c r="J2500" s="371" t="str">
        <f t="shared" si="2708"/>
        <v>SPACE/CTINC/Directions sectorielles</v>
      </c>
      <c r="K2500" s="350" t="str">
        <f t="shared" si="2709"/>
        <v>Unicef/Unesco</v>
      </c>
      <c r="L2500" s="167">
        <f t="shared" ref="L2500:Q2500" si="2740">L1664</f>
        <v>0</v>
      </c>
      <c r="M2500" s="168">
        <f t="shared" si="2740"/>
        <v>13000</v>
      </c>
      <c r="N2500" s="168">
        <f t="shared" si="2740"/>
        <v>0</v>
      </c>
      <c r="O2500" s="168">
        <f t="shared" si="2740"/>
        <v>0</v>
      </c>
      <c r="P2500" s="168">
        <f t="shared" si="2740"/>
        <v>0</v>
      </c>
      <c r="Q2500" s="165">
        <f t="shared" si="2740"/>
        <v>13000</v>
      </c>
      <c r="R2500" s="198" t="str">
        <f t="shared" ref="R2500:S2500" si="2741">R1664</f>
        <v>SPACE/CTINC/Directions sectorielles</v>
      </c>
      <c r="S2500" s="115" t="str">
        <f t="shared" si="2741"/>
        <v>Unicef/Unesco</v>
      </c>
      <c r="T2500" s="51">
        <f>T1664</f>
        <v>0</v>
      </c>
      <c r="W2500" s="608">
        <f t="shared" si="2712"/>
        <v>13000</v>
      </c>
      <c r="X2500" s="608">
        <f t="shared" si="2713"/>
        <v>0</v>
      </c>
      <c r="Y2500" s="572" t="s">
        <v>1513</v>
      </c>
      <c r="Z2500" s="572">
        <f t="shared" si="2620"/>
        <v>0</v>
      </c>
      <c r="AA2500" s="1">
        <f t="shared" si="2621"/>
        <v>13</v>
      </c>
    </row>
    <row r="2501" spans="1:27" x14ac:dyDescent="0.2">
      <c r="A2501" s="20" t="str">
        <f>A1667</f>
        <v>8.18.4.2 Renforcement des capacités</v>
      </c>
      <c r="B2501" s="46"/>
      <c r="C2501" s="386" t="str">
        <f>C1667</f>
        <v>Former 30 formateurs et 35 000 enseignants</v>
      </c>
      <c r="D2501" s="168">
        <f t="shared" si="2702"/>
        <v>0</v>
      </c>
      <c r="E2501" s="168">
        <f t="shared" si="2703"/>
        <v>114.5</v>
      </c>
      <c r="F2501" s="168">
        <f t="shared" si="2704"/>
        <v>110</v>
      </c>
      <c r="G2501" s="168">
        <f t="shared" si="2705"/>
        <v>110</v>
      </c>
      <c r="H2501" s="168">
        <f t="shared" si="2706"/>
        <v>110</v>
      </c>
      <c r="I2501" s="166">
        <f t="shared" si="2707"/>
        <v>444.5</v>
      </c>
      <c r="J2501" s="371" t="str">
        <f t="shared" si="2708"/>
        <v>SPACE/CTINC/Directions sectorielles</v>
      </c>
      <c r="K2501" s="350" t="str">
        <f t="shared" si="2709"/>
        <v>Unicef/Unesco</v>
      </c>
      <c r="L2501" s="167">
        <f t="shared" ref="L2501:T2501" si="2742">L1667</f>
        <v>0</v>
      </c>
      <c r="M2501" s="168">
        <f t="shared" si="2742"/>
        <v>114500</v>
      </c>
      <c r="N2501" s="168">
        <f t="shared" si="2742"/>
        <v>110000</v>
      </c>
      <c r="O2501" s="168">
        <f t="shared" si="2742"/>
        <v>110000</v>
      </c>
      <c r="P2501" s="168">
        <f t="shared" si="2742"/>
        <v>110000</v>
      </c>
      <c r="Q2501" s="165">
        <f t="shared" si="2742"/>
        <v>444500</v>
      </c>
      <c r="R2501" s="198" t="str">
        <f t="shared" ref="R2501:S2501" si="2743">R1667</f>
        <v>SPACE/CTINC/Directions sectorielles</v>
      </c>
      <c r="S2501" s="115" t="str">
        <f t="shared" si="2743"/>
        <v>Unicef/Unesco</v>
      </c>
      <c r="T2501" s="51">
        <f t="shared" si="2742"/>
        <v>0</v>
      </c>
      <c r="W2501" s="608">
        <f t="shared" si="2712"/>
        <v>444500</v>
      </c>
      <c r="X2501" s="608">
        <f t="shared" si="2713"/>
        <v>0</v>
      </c>
      <c r="Y2501" s="572" t="s">
        <v>1513</v>
      </c>
      <c r="Z2501" s="572">
        <f t="shared" si="2620"/>
        <v>0</v>
      </c>
      <c r="AA2501" s="1">
        <f t="shared" si="2621"/>
        <v>444.5</v>
      </c>
    </row>
    <row r="2502" spans="1:27" s="162" customFormat="1" x14ac:dyDescent="0.2">
      <c r="A2502" s="122" t="str">
        <f>A1670</f>
        <v>8.18.5 Prévention des violences : Développement des services sociaux des établissements</v>
      </c>
      <c r="B2502" s="152"/>
      <c r="C2502" s="389">
        <f>C1670</f>
        <v>0</v>
      </c>
      <c r="D2502" s="157">
        <f t="shared" ref="D2502:I2505" si="2744">L2502/1000</f>
        <v>72</v>
      </c>
      <c r="E2502" s="157">
        <f t="shared" si="2744"/>
        <v>27</v>
      </c>
      <c r="F2502" s="157">
        <f t="shared" si="2744"/>
        <v>27</v>
      </c>
      <c r="G2502" s="157">
        <f t="shared" si="2744"/>
        <v>27</v>
      </c>
      <c r="H2502" s="157">
        <f t="shared" si="2744"/>
        <v>27</v>
      </c>
      <c r="I2502" s="160">
        <f t="shared" si="2744"/>
        <v>180</v>
      </c>
      <c r="J2502" s="374">
        <f t="shared" ref="J2502:K2505" si="2745">R2502</f>
        <v>0</v>
      </c>
      <c r="K2502" s="341">
        <f t="shared" si="2745"/>
        <v>0</v>
      </c>
      <c r="L2502" s="161">
        <f t="shared" ref="L2502:S2502" si="2746">SUM(L2503:L2503)</f>
        <v>72000</v>
      </c>
      <c r="M2502" s="157">
        <f t="shared" si="2746"/>
        <v>27000</v>
      </c>
      <c r="N2502" s="157">
        <f t="shared" si="2746"/>
        <v>27000</v>
      </c>
      <c r="O2502" s="157">
        <f t="shared" si="2746"/>
        <v>27000</v>
      </c>
      <c r="P2502" s="157">
        <f t="shared" si="2746"/>
        <v>27000</v>
      </c>
      <c r="Q2502" s="158">
        <f t="shared" si="2746"/>
        <v>180000</v>
      </c>
      <c r="R2502" s="521">
        <f t="shared" si="2746"/>
        <v>0</v>
      </c>
      <c r="S2502" s="208">
        <f t="shared" si="2746"/>
        <v>0</v>
      </c>
      <c r="T2502" s="154">
        <f>T1670</f>
        <v>0</v>
      </c>
      <c r="U2502" s="653"/>
      <c r="V2502" s="572"/>
      <c r="W2502" s="608">
        <f>SUM(L2502:P2502)</f>
        <v>180000</v>
      </c>
      <c r="X2502" s="608">
        <f>W2502-Q2502</f>
        <v>0</v>
      </c>
      <c r="Y2502" s="572"/>
      <c r="Z2502" s="572">
        <f t="shared" si="2620"/>
        <v>0</v>
      </c>
      <c r="AA2502" s="1">
        <f t="shared" si="2621"/>
        <v>0</v>
      </c>
    </row>
    <row r="2503" spans="1:27" s="162" customFormat="1" x14ac:dyDescent="0.2">
      <c r="A2503" s="123" t="str">
        <f>A1671</f>
        <v>8.18.5.1 Formation du personnel enseignant et des administrateurs sur la prévention des conflits et des violences en milieu scolaire et universitaire</v>
      </c>
      <c r="B2503" s="152"/>
      <c r="C2503" s="389">
        <f>C1671</f>
        <v>0</v>
      </c>
      <c r="D2503" s="157">
        <f t="shared" si="2744"/>
        <v>72</v>
      </c>
      <c r="E2503" s="157">
        <f t="shared" si="2744"/>
        <v>27</v>
      </c>
      <c r="F2503" s="157">
        <f t="shared" si="2744"/>
        <v>27</v>
      </c>
      <c r="G2503" s="157">
        <f t="shared" si="2744"/>
        <v>27</v>
      </c>
      <c r="H2503" s="157">
        <f t="shared" si="2744"/>
        <v>27</v>
      </c>
      <c r="I2503" s="160">
        <f t="shared" si="2744"/>
        <v>180</v>
      </c>
      <c r="J2503" s="374" t="str">
        <f t="shared" si="2745"/>
        <v>EPS-EVF</v>
      </c>
      <c r="K2503" s="341">
        <f t="shared" si="2745"/>
        <v>0</v>
      </c>
      <c r="L2503" s="167">
        <f t="shared" ref="L2503:Q2503" si="2747">L1671</f>
        <v>72000</v>
      </c>
      <c r="M2503" s="168">
        <f t="shared" si="2747"/>
        <v>27000</v>
      </c>
      <c r="N2503" s="168">
        <f t="shared" si="2747"/>
        <v>27000</v>
      </c>
      <c r="O2503" s="168">
        <f t="shared" si="2747"/>
        <v>27000</v>
      </c>
      <c r="P2503" s="168">
        <f t="shared" si="2747"/>
        <v>27000</v>
      </c>
      <c r="Q2503" s="165">
        <f t="shared" si="2747"/>
        <v>180000</v>
      </c>
      <c r="R2503" s="521" t="str">
        <f t="shared" ref="R2503:S2503" si="2748">R1671</f>
        <v>EPS-EVF</v>
      </c>
      <c r="S2503" s="208">
        <f t="shared" si="2748"/>
        <v>0</v>
      </c>
      <c r="T2503" s="154">
        <f>T1671</f>
        <v>0</v>
      </c>
      <c r="U2503" s="653"/>
      <c r="V2503" s="572"/>
      <c r="W2503" s="608">
        <f>SUM(L2503:P2503)</f>
        <v>180000</v>
      </c>
      <c r="X2503" s="608">
        <f>W2503-Q2503</f>
        <v>0</v>
      </c>
      <c r="Y2503" s="572"/>
      <c r="Z2503" s="572">
        <f t="shared" si="2620"/>
        <v>0</v>
      </c>
      <c r="AA2503" s="1">
        <f t="shared" si="2621"/>
        <v>0</v>
      </c>
    </row>
    <row r="2504" spans="1:27" s="162" customFormat="1" ht="12" x14ac:dyDescent="0.2">
      <c r="A2504" s="122" t="str">
        <f>A1675</f>
        <v>8.18.6 Assurer des campagnes de sensibilisation sur la prévention des violences</v>
      </c>
      <c r="B2504" s="202"/>
      <c r="C2504" s="389">
        <f>C1675</f>
        <v>0</v>
      </c>
      <c r="D2504" s="376">
        <f t="shared" si="2744"/>
        <v>17.5</v>
      </c>
      <c r="E2504" s="168">
        <f t="shared" si="2744"/>
        <v>17.5</v>
      </c>
      <c r="F2504" s="168">
        <f t="shared" si="2744"/>
        <v>17.5</v>
      </c>
      <c r="G2504" s="168">
        <f t="shared" si="2744"/>
        <v>17.5</v>
      </c>
      <c r="H2504" s="168">
        <f t="shared" si="2744"/>
        <v>17.5</v>
      </c>
      <c r="I2504" s="166">
        <f t="shared" si="2744"/>
        <v>87.5</v>
      </c>
      <c r="J2504" s="371">
        <f t="shared" si="2745"/>
        <v>0</v>
      </c>
      <c r="K2504" s="342">
        <f t="shared" si="2745"/>
        <v>0</v>
      </c>
      <c r="L2504" s="161">
        <f t="shared" ref="L2504:S2504" si="2749">SUM(L2505:L2505)</f>
        <v>17500</v>
      </c>
      <c r="M2504" s="157">
        <f t="shared" si="2749"/>
        <v>17500</v>
      </c>
      <c r="N2504" s="157">
        <f t="shared" si="2749"/>
        <v>17500</v>
      </c>
      <c r="O2504" s="157">
        <f t="shared" si="2749"/>
        <v>17500</v>
      </c>
      <c r="P2504" s="157">
        <f t="shared" si="2749"/>
        <v>17500</v>
      </c>
      <c r="Q2504" s="158">
        <f t="shared" si="2749"/>
        <v>87500</v>
      </c>
      <c r="R2504" s="521">
        <f t="shared" si="2749"/>
        <v>0</v>
      </c>
      <c r="S2504" s="94">
        <f t="shared" si="2749"/>
        <v>0</v>
      </c>
      <c r="T2504" s="153">
        <f>T1675</f>
        <v>0</v>
      </c>
      <c r="U2504" s="653"/>
      <c r="V2504" s="572"/>
      <c r="W2504" s="608">
        <f>SUM(L2504:P2504)</f>
        <v>87500</v>
      </c>
      <c r="X2504" s="608">
        <f>W2504-Q2504</f>
        <v>0</v>
      </c>
      <c r="Y2504" s="572"/>
      <c r="Z2504" s="572">
        <f t="shared" si="2620"/>
        <v>0</v>
      </c>
      <c r="AA2504" s="1">
        <f t="shared" si="2621"/>
        <v>0</v>
      </c>
    </row>
    <row r="2505" spans="1:27" s="162" customFormat="1" x14ac:dyDescent="0.2">
      <c r="A2505" s="123" t="str">
        <f>A1676</f>
        <v>8.18.6.1 Campagnes de sensibilisation à travers les radios communautaires</v>
      </c>
      <c r="B2505" s="202"/>
      <c r="C2505" s="389">
        <f>C1676</f>
        <v>0</v>
      </c>
      <c r="D2505" s="168">
        <f t="shared" si="2744"/>
        <v>17.5</v>
      </c>
      <c r="E2505" s="168">
        <f t="shared" si="2744"/>
        <v>17.5</v>
      </c>
      <c r="F2505" s="168">
        <f t="shared" si="2744"/>
        <v>17.5</v>
      </c>
      <c r="G2505" s="168">
        <f t="shared" si="2744"/>
        <v>17.5</v>
      </c>
      <c r="H2505" s="168">
        <f t="shared" si="2744"/>
        <v>17.5</v>
      </c>
      <c r="I2505" s="166">
        <f t="shared" si="2744"/>
        <v>87.5</v>
      </c>
      <c r="J2505" s="371" t="str">
        <f t="shared" si="2745"/>
        <v>EPS-EVF</v>
      </c>
      <c r="K2505" s="342">
        <f t="shared" si="2745"/>
        <v>0</v>
      </c>
      <c r="L2505" s="167">
        <f t="shared" ref="L2505:Q2505" si="2750">L1676</f>
        <v>17500</v>
      </c>
      <c r="M2505" s="168">
        <f t="shared" si="2750"/>
        <v>17500</v>
      </c>
      <c r="N2505" s="168">
        <f t="shared" si="2750"/>
        <v>17500</v>
      </c>
      <c r="O2505" s="168">
        <f t="shared" si="2750"/>
        <v>17500</v>
      </c>
      <c r="P2505" s="168">
        <f t="shared" si="2750"/>
        <v>17500</v>
      </c>
      <c r="Q2505" s="165">
        <f t="shared" si="2750"/>
        <v>87500</v>
      </c>
      <c r="R2505" s="521" t="str">
        <f t="shared" ref="R2505:S2505" si="2751">R1676</f>
        <v>EPS-EVF</v>
      </c>
      <c r="S2505" s="94">
        <f t="shared" si="2751"/>
        <v>0</v>
      </c>
      <c r="T2505" s="153">
        <f>T1676</f>
        <v>0</v>
      </c>
      <c r="U2505" s="653"/>
      <c r="V2505" s="572"/>
      <c r="W2505" s="608">
        <f>SUM(L2505:P2505)</f>
        <v>87500</v>
      </c>
      <c r="X2505" s="608">
        <f>W2505-Q2505</f>
        <v>0</v>
      </c>
      <c r="Y2505" s="572"/>
      <c r="Z2505" s="572">
        <f t="shared" si="2620"/>
        <v>0</v>
      </c>
      <c r="AA2505" s="1">
        <f t="shared" si="2621"/>
        <v>0</v>
      </c>
    </row>
    <row r="2506" spans="1:27" x14ac:dyDescent="0.2">
      <c r="A2506" s="14" t="str">
        <f>A1678</f>
        <v>8.19 Pilotage et coordination du Plan sectoriel : Renforcement des structures, dispositifs et mesures institutionnels de pilotage, de coordination et de mise en œuvre et de suivi du Plan sectoriel</v>
      </c>
      <c r="B2506" s="44"/>
      <c r="C2506" s="385">
        <f>C1678</f>
        <v>0</v>
      </c>
      <c r="D2506" s="217">
        <f t="shared" si="2702"/>
        <v>4286.6000000000004</v>
      </c>
      <c r="E2506" s="217">
        <f t="shared" si="2703"/>
        <v>4281.1000000000004</v>
      </c>
      <c r="F2506" s="217">
        <f t="shared" si="2704"/>
        <v>3833.1</v>
      </c>
      <c r="G2506" s="217">
        <f t="shared" si="2705"/>
        <v>4085.1</v>
      </c>
      <c r="H2506" s="217">
        <f t="shared" si="2706"/>
        <v>4337.1000000000004</v>
      </c>
      <c r="I2506" s="220">
        <f t="shared" si="2707"/>
        <v>20823</v>
      </c>
      <c r="J2506" s="373">
        <f t="shared" si="2708"/>
        <v>0</v>
      </c>
      <c r="K2506" s="346">
        <f t="shared" si="2709"/>
        <v>0</v>
      </c>
      <c r="L2506" s="33">
        <f>L2507+L2510+L2512</f>
        <v>4286600</v>
      </c>
      <c r="M2506" s="32">
        <f t="shared" ref="M2506:Q2506" si="2752">M2507+M2510+M2512</f>
        <v>4281100</v>
      </c>
      <c r="N2506" s="32">
        <f t="shared" si="2752"/>
        <v>3833100</v>
      </c>
      <c r="O2506" s="32">
        <f t="shared" si="2752"/>
        <v>4085100</v>
      </c>
      <c r="P2506" s="32">
        <f t="shared" si="2752"/>
        <v>4337100</v>
      </c>
      <c r="Q2506" s="25">
        <f t="shared" si="2752"/>
        <v>20823000</v>
      </c>
      <c r="R2506" s="515"/>
      <c r="S2506" s="145"/>
      <c r="T2506" s="49">
        <f>T1678</f>
        <v>3</v>
      </c>
      <c r="W2506" s="608">
        <f t="shared" si="2712"/>
        <v>20823000</v>
      </c>
      <c r="X2506" s="608">
        <f t="shared" si="2713"/>
        <v>0</v>
      </c>
      <c r="Y2506" s="572" t="s">
        <v>1513</v>
      </c>
      <c r="Z2506" s="572">
        <f t="shared" ref="Z2506:Z2514" si="2753">IF($Y2506="P",$I2506,)</f>
        <v>0</v>
      </c>
      <c r="AA2506" s="1">
        <f t="shared" ref="AA2506:AA2514" si="2754">IF($Y2506="G",$I2506,)</f>
        <v>20823</v>
      </c>
    </row>
    <row r="2507" spans="1:27" x14ac:dyDescent="0.2">
      <c r="A2507" s="17" t="str">
        <f>+A1679</f>
        <v>8.19.1 Assurer la coordination stratégique et opérationnelle du Plan sectoriel</v>
      </c>
      <c r="B2507" s="45"/>
      <c r="C2507" s="386">
        <f>+C1679</f>
        <v>0</v>
      </c>
      <c r="D2507" s="157">
        <f t="shared" si="2702"/>
        <v>3809.6</v>
      </c>
      <c r="E2507" s="157">
        <f t="shared" si="2703"/>
        <v>3813.6</v>
      </c>
      <c r="F2507" s="157">
        <f t="shared" si="2704"/>
        <v>3365.6</v>
      </c>
      <c r="G2507" s="157">
        <f t="shared" si="2705"/>
        <v>3617.6</v>
      </c>
      <c r="H2507" s="157">
        <f t="shared" si="2706"/>
        <v>3869.6</v>
      </c>
      <c r="I2507" s="160">
        <f t="shared" si="2707"/>
        <v>18476</v>
      </c>
      <c r="J2507" s="374">
        <f>+J1679</f>
        <v>0</v>
      </c>
      <c r="K2507" s="348">
        <f>+K1679</f>
        <v>0</v>
      </c>
      <c r="L2507" s="35">
        <f>+SUM(L2508:L2509)</f>
        <v>3809600</v>
      </c>
      <c r="M2507" s="34">
        <f t="shared" ref="M2507:Q2507" si="2755">+SUM(M2508:M2509)</f>
        <v>3813600</v>
      </c>
      <c r="N2507" s="34">
        <f t="shared" si="2755"/>
        <v>3365600</v>
      </c>
      <c r="O2507" s="34">
        <f t="shared" si="2755"/>
        <v>3617600</v>
      </c>
      <c r="P2507" s="34">
        <f t="shared" si="2755"/>
        <v>3869600</v>
      </c>
      <c r="Q2507" s="26">
        <f t="shared" si="2755"/>
        <v>18476000</v>
      </c>
      <c r="R2507" s="209">
        <f t="shared" ref="R2507:S2507" si="2756">+SUM(R2508:R2509)</f>
        <v>0</v>
      </c>
      <c r="S2507" s="116">
        <f t="shared" si="2756"/>
        <v>0</v>
      </c>
      <c r="T2507" s="50">
        <f>+T1679</f>
        <v>0</v>
      </c>
      <c r="W2507" s="608">
        <f t="shared" si="2712"/>
        <v>18476000</v>
      </c>
      <c r="X2507" s="608">
        <f t="shared" si="2713"/>
        <v>0</v>
      </c>
      <c r="Y2507" s="572" t="s">
        <v>1513</v>
      </c>
      <c r="Z2507" s="572">
        <f t="shared" si="2753"/>
        <v>0</v>
      </c>
      <c r="AA2507" s="1">
        <f t="shared" si="2754"/>
        <v>18476</v>
      </c>
    </row>
    <row r="2508" spans="1:27" x14ac:dyDescent="0.2">
      <c r="A2508" s="20" t="str">
        <f>+A1680</f>
        <v>8.19.1.1 Renforcement des structures de pilotage et coordination</v>
      </c>
      <c r="B2508" s="46"/>
      <c r="C2508" s="386">
        <f>+C1680</f>
        <v>0</v>
      </c>
      <c r="D2508" s="168">
        <f t="shared" si="2702"/>
        <v>3016</v>
      </c>
      <c r="E2508" s="168">
        <f t="shared" si="2703"/>
        <v>3020</v>
      </c>
      <c r="F2508" s="168">
        <f t="shared" si="2704"/>
        <v>2772</v>
      </c>
      <c r="G2508" s="168">
        <f t="shared" si="2705"/>
        <v>3024</v>
      </c>
      <c r="H2508" s="168">
        <f t="shared" si="2706"/>
        <v>3276</v>
      </c>
      <c r="I2508" s="166">
        <f t="shared" si="2707"/>
        <v>15108</v>
      </c>
      <c r="J2508" s="371" t="str">
        <f>R2508</f>
        <v>SPACE</v>
      </c>
      <c r="K2508" s="350" t="str">
        <f t="shared" ref="K2508:K2514" si="2757">S2508</f>
        <v>ND</v>
      </c>
      <c r="L2508" s="167">
        <f t="shared" ref="L2508:Q2508" si="2758">+L1680</f>
        <v>3016000</v>
      </c>
      <c r="M2508" s="168">
        <f t="shared" si="2758"/>
        <v>3020000</v>
      </c>
      <c r="N2508" s="168">
        <f t="shared" si="2758"/>
        <v>2772000</v>
      </c>
      <c r="O2508" s="168">
        <f t="shared" si="2758"/>
        <v>3024000</v>
      </c>
      <c r="P2508" s="168">
        <f t="shared" si="2758"/>
        <v>3276000</v>
      </c>
      <c r="Q2508" s="165">
        <f t="shared" si="2758"/>
        <v>15108000</v>
      </c>
      <c r="R2508" s="198" t="str">
        <f t="shared" ref="R2508:S2508" si="2759">+R1680</f>
        <v>SPACE</v>
      </c>
      <c r="S2508" s="115" t="str">
        <f t="shared" si="2759"/>
        <v>ND</v>
      </c>
      <c r="T2508" s="51">
        <f>+T1680</f>
        <v>0</v>
      </c>
      <c r="W2508" s="608">
        <f t="shared" si="2712"/>
        <v>15108000</v>
      </c>
      <c r="X2508" s="608">
        <f t="shared" si="2713"/>
        <v>0</v>
      </c>
      <c r="Y2508" s="572" t="s">
        <v>1513</v>
      </c>
      <c r="Z2508" s="572">
        <f t="shared" si="2753"/>
        <v>0</v>
      </c>
      <c r="AA2508" s="1">
        <f t="shared" si="2754"/>
        <v>15108</v>
      </c>
    </row>
    <row r="2509" spans="1:27" x14ac:dyDescent="0.2">
      <c r="A2509" s="20" t="str">
        <f>+A1683</f>
        <v>8.19.1.2 Renforcement des structures de mise en œuvre du Plan sectoriel</v>
      </c>
      <c r="B2509" s="108"/>
      <c r="C2509" s="386">
        <f>+C1683</f>
        <v>0</v>
      </c>
      <c r="D2509" s="168">
        <f t="shared" si="2702"/>
        <v>793.6</v>
      </c>
      <c r="E2509" s="168">
        <f t="shared" si="2703"/>
        <v>793.6</v>
      </c>
      <c r="F2509" s="168">
        <f t="shared" si="2704"/>
        <v>593.6</v>
      </c>
      <c r="G2509" s="168">
        <f t="shared" si="2705"/>
        <v>593.6</v>
      </c>
      <c r="H2509" s="168">
        <f t="shared" si="2706"/>
        <v>593.6</v>
      </c>
      <c r="I2509" s="166">
        <f t="shared" si="2707"/>
        <v>3368</v>
      </c>
      <c r="J2509" s="371" t="str">
        <f t="shared" ref="J2509:J2514" si="2760">R2509</f>
        <v>SPACE</v>
      </c>
      <c r="K2509" s="350" t="str">
        <f t="shared" si="2757"/>
        <v>ND</v>
      </c>
      <c r="L2509" s="167">
        <f t="shared" ref="L2509:T2509" si="2761">+L1683</f>
        <v>793600</v>
      </c>
      <c r="M2509" s="168">
        <f t="shared" si="2761"/>
        <v>793600</v>
      </c>
      <c r="N2509" s="168">
        <f t="shared" si="2761"/>
        <v>593600</v>
      </c>
      <c r="O2509" s="168">
        <f t="shared" si="2761"/>
        <v>593600</v>
      </c>
      <c r="P2509" s="168">
        <f t="shared" si="2761"/>
        <v>593600</v>
      </c>
      <c r="Q2509" s="165">
        <f t="shared" si="2761"/>
        <v>3368000</v>
      </c>
      <c r="R2509" s="198" t="str">
        <f t="shared" ref="R2509:S2509" si="2762">+R1683</f>
        <v>SPACE</v>
      </c>
      <c r="S2509" s="115" t="str">
        <f t="shared" si="2762"/>
        <v>ND</v>
      </c>
      <c r="T2509" s="51">
        <f t="shared" si="2761"/>
        <v>0</v>
      </c>
      <c r="W2509" s="608">
        <f t="shared" si="2712"/>
        <v>3368000</v>
      </c>
      <c r="X2509" s="608">
        <f t="shared" si="2713"/>
        <v>0</v>
      </c>
      <c r="Y2509" s="572" t="s">
        <v>1513</v>
      </c>
      <c r="Z2509" s="572">
        <f t="shared" si="2753"/>
        <v>0</v>
      </c>
      <c r="AA2509" s="1">
        <f t="shared" si="2754"/>
        <v>3368</v>
      </c>
    </row>
    <row r="2510" spans="1:27" x14ac:dyDescent="0.2">
      <c r="A2510" s="17" t="str">
        <f>+A1691</f>
        <v>8.19.2 Assurer le suivi et l'évaluation du Plan sectoriel</v>
      </c>
      <c r="B2510" s="45"/>
      <c r="C2510" s="386">
        <f>+C1691</f>
        <v>0</v>
      </c>
      <c r="D2510" s="157">
        <f t="shared" si="2702"/>
        <v>457.5</v>
      </c>
      <c r="E2510" s="157">
        <f t="shared" si="2703"/>
        <v>457.5</v>
      </c>
      <c r="F2510" s="157">
        <f t="shared" si="2704"/>
        <v>457.5</v>
      </c>
      <c r="G2510" s="157">
        <f t="shared" si="2705"/>
        <v>457.5</v>
      </c>
      <c r="H2510" s="157">
        <f t="shared" si="2706"/>
        <v>457.5</v>
      </c>
      <c r="I2510" s="160">
        <f t="shared" si="2707"/>
        <v>2287.5</v>
      </c>
      <c r="J2510" s="374">
        <f t="shared" si="2760"/>
        <v>0</v>
      </c>
      <c r="K2510" s="348">
        <f t="shared" si="2757"/>
        <v>0</v>
      </c>
      <c r="L2510" s="35">
        <f>+L2511</f>
        <v>457500</v>
      </c>
      <c r="M2510" s="34">
        <f t="shared" ref="M2510:Q2510" si="2763">+M2511</f>
        <v>457500</v>
      </c>
      <c r="N2510" s="34">
        <f t="shared" si="2763"/>
        <v>457500</v>
      </c>
      <c r="O2510" s="34">
        <f t="shared" si="2763"/>
        <v>457500</v>
      </c>
      <c r="P2510" s="34">
        <f t="shared" si="2763"/>
        <v>457500</v>
      </c>
      <c r="Q2510" s="26">
        <f t="shared" si="2763"/>
        <v>2287500</v>
      </c>
      <c r="R2510" s="209"/>
      <c r="S2510" s="116"/>
      <c r="T2510" s="50">
        <f t="shared" ref="T2510:T2511" si="2764">+T1691</f>
        <v>0</v>
      </c>
      <c r="W2510" s="608">
        <f t="shared" ref="W2510:W2511" si="2765">SUM(L2510:P2510)</f>
        <v>2287500</v>
      </c>
      <c r="X2510" s="608">
        <f t="shared" ref="X2510:X2511" si="2766">W2510-Q2510</f>
        <v>0</v>
      </c>
      <c r="Y2510" s="572" t="s">
        <v>1513</v>
      </c>
      <c r="Z2510" s="572">
        <f t="shared" si="2753"/>
        <v>0</v>
      </c>
      <c r="AA2510" s="1">
        <f t="shared" si="2754"/>
        <v>2287.5</v>
      </c>
    </row>
    <row r="2511" spans="1:27" x14ac:dyDescent="0.2">
      <c r="A2511" s="20" t="str">
        <f>+A1692</f>
        <v>8.19.2.1 Organisation et tenue des Revues conjointes</v>
      </c>
      <c r="B2511" s="46"/>
      <c r="C2511" s="386">
        <f>+C1692</f>
        <v>0</v>
      </c>
      <c r="D2511" s="168">
        <f t="shared" si="2702"/>
        <v>457.5</v>
      </c>
      <c r="E2511" s="168">
        <f t="shared" si="2703"/>
        <v>457.5</v>
      </c>
      <c r="F2511" s="168">
        <f t="shared" si="2704"/>
        <v>457.5</v>
      </c>
      <c r="G2511" s="168">
        <f t="shared" si="2705"/>
        <v>457.5</v>
      </c>
      <c r="H2511" s="168">
        <f t="shared" si="2706"/>
        <v>457.5</v>
      </c>
      <c r="I2511" s="166">
        <f t="shared" si="2707"/>
        <v>2287.5</v>
      </c>
      <c r="J2511" s="371" t="str">
        <f t="shared" si="2760"/>
        <v>SPACE</v>
      </c>
      <c r="K2511" s="350" t="str">
        <f t="shared" si="2757"/>
        <v>ND</v>
      </c>
      <c r="L2511" s="167">
        <f t="shared" ref="L2511:Q2511" si="2767">+L1692</f>
        <v>457500</v>
      </c>
      <c r="M2511" s="168">
        <f t="shared" si="2767"/>
        <v>457500</v>
      </c>
      <c r="N2511" s="168">
        <f t="shared" si="2767"/>
        <v>457500</v>
      </c>
      <c r="O2511" s="168">
        <f t="shared" si="2767"/>
        <v>457500</v>
      </c>
      <c r="P2511" s="168">
        <f t="shared" si="2767"/>
        <v>457500</v>
      </c>
      <c r="Q2511" s="165">
        <f t="shared" si="2767"/>
        <v>2287500</v>
      </c>
      <c r="R2511" s="198" t="str">
        <f t="shared" ref="R2511:S2511" si="2768">+R1692</f>
        <v>SPACE</v>
      </c>
      <c r="S2511" s="115" t="str">
        <f t="shared" si="2768"/>
        <v>ND</v>
      </c>
      <c r="T2511" s="51">
        <f t="shared" si="2764"/>
        <v>0</v>
      </c>
      <c r="W2511" s="608">
        <f t="shared" si="2765"/>
        <v>2287500</v>
      </c>
      <c r="X2511" s="608">
        <f t="shared" si="2766"/>
        <v>0</v>
      </c>
      <c r="Y2511" s="572" t="s">
        <v>1513</v>
      </c>
      <c r="Z2511" s="572">
        <f t="shared" si="2753"/>
        <v>0</v>
      </c>
      <c r="AA2511" s="1">
        <f t="shared" si="2754"/>
        <v>2287.5</v>
      </c>
    </row>
    <row r="2512" spans="1:27" x14ac:dyDescent="0.2">
      <c r="A2512" s="17" t="str">
        <f>A1695</f>
        <v>8.19.3 Assurer le fonctionnement du cadre de coordination interministérielle</v>
      </c>
      <c r="B2512" s="45"/>
      <c r="C2512" s="386">
        <f>C1695</f>
        <v>0</v>
      </c>
      <c r="D2512" s="157">
        <f t="shared" si="2702"/>
        <v>19.5</v>
      </c>
      <c r="E2512" s="157">
        <f t="shared" si="2703"/>
        <v>10</v>
      </c>
      <c r="F2512" s="157">
        <f t="shared" si="2704"/>
        <v>10</v>
      </c>
      <c r="G2512" s="157">
        <f t="shared" si="2705"/>
        <v>10</v>
      </c>
      <c r="H2512" s="157">
        <f t="shared" si="2706"/>
        <v>10</v>
      </c>
      <c r="I2512" s="160">
        <f t="shared" si="2707"/>
        <v>59.5</v>
      </c>
      <c r="J2512" s="374">
        <f t="shared" si="2760"/>
        <v>0</v>
      </c>
      <c r="K2512" s="348">
        <f t="shared" si="2757"/>
        <v>0</v>
      </c>
      <c r="L2512" s="35">
        <f>+SUM(L2513:L2514)</f>
        <v>19500</v>
      </c>
      <c r="M2512" s="34">
        <f t="shared" ref="M2512" si="2769">+SUM(M2513:M2514)</f>
        <v>10000</v>
      </c>
      <c r="N2512" s="34">
        <f t="shared" ref="N2512" si="2770">+SUM(N2513:N2514)</f>
        <v>10000</v>
      </c>
      <c r="O2512" s="34">
        <f t="shared" ref="O2512" si="2771">+SUM(O2513:O2514)</f>
        <v>10000</v>
      </c>
      <c r="P2512" s="34">
        <f t="shared" ref="P2512" si="2772">+SUM(P2513:P2514)</f>
        <v>10000</v>
      </c>
      <c r="Q2512" s="26">
        <f t="shared" ref="Q2512" si="2773">+SUM(Q2513:Q2514)</f>
        <v>59500</v>
      </c>
      <c r="R2512" s="209">
        <f t="shared" ref="R2512:S2512" si="2774">+SUM(R2513:R2514)</f>
        <v>0</v>
      </c>
      <c r="S2512" s="116">
        <f t="shared" si="2774"/>
        <v>0</v>
      </c>
      <c r="T2512" s="50">
        <f t="shared" ref="T2512" si="2775">T1695</f>
        <v>0</v>
      </c>
      <c r="W2512" s="608">
        <f t="shared" si="2712"/>
        <v>59500</v>
      </c>
      <c r="X2512" s="608">
        <f t="shared" si="2713"/>
        <v>0</v>
      </c>
      <c r="Y2512" s="572" t="s">
        <v>1513</v>
      </c>
      <c r="Z2512" s="572">
        <f t="shared" si="2753"/>
        <v>0</v>
      </c>
      <c r="AA2512" s="1">
        <f t="shared" si="2754"/>
        <v>59.5</v>
      </c>
    </row>
    <row r="2513" spans="1:27" x14ac:dyDescent="0.2">
      <c r="A2513" s="20" t="str">
        <f>A1696</f>
        <v>8.19.3.1 Définition d'un cadre de coordination interministérielle</v>
      </c>
      <c r="B2513" s="46"/>
      <c r="C2513" s="386">
        <f>C1696</f>
        <v>0</v>
      </c>
      <c r="D2513" s="168">
        <f t="shared" si="2702"/>
        <v>9.5</v>
      </c>
      <c r="E2513" s="168">
        <f t="shared" si="2703"/>
        <v>0</v>
      </c>
      <c r="F2513" s="168">
        <f t="shared" si="2704"/>
        <v>0</v>
      </c>
      <c r="G2513" s="168">
        <f t="shared" si="2705"/>
        <v>0</v>
      </c>
      <c r="H2513" s="168">
        <f t="shared" si="2706"/>
        <v>0</v>
      </c>
      <c r="I2513" s="166">
        <f t="shared" si="2707"/>
        <v>9.5</v>
      </c>
      <c r="J2513" s="371" t="str">
        <f t="shared" si="2760"/>
        <v>SPACE</v>
      </c>
      <c r="K2513" s="350" t="str">
        <f t="shared" si="2757"/>
        <v>ND</v>
      </c>
      <c r="L2513" s="167">
        <f t="shared" ref="L2513:Q2513" si="2776">L1696</f>
        <v>9500</v>
      </c>
      <c r="M2513" s="168">
        <f t="shared" si="2776"/>
        <v>0</v>
      </c>
      <c r="N2513" s="168">
        <f t="shared" si="2776"/>
        <v>0</v>
      </c>
      <c r="O2513" s="168">
        <f t="shared" si="2776"/>
        <v>0</v>
      </c>
      <c r="P2513" s="168">
        <f t="shared" si="2776"/>
        <v>0</v>
      </c>
      <c r="Q2513" s="165">
        <f t="shared" si="2776"/>
        <v>9500</v>
      </c>
      <c r="R2513" s="198" t="str">
        <f t="shared" ref="R2513:S2513" si="2777">R1696</f>
        <v>SPACE</v>
      </c>
      <c r="S2513" s="115" t="str">
        <f t="shared" si="2777"/>
        <v>ND</v>
      </c>
      <c r="T2513" s="51">
        <f t="shared" ref="T2513" si="2778">T1696</f>
        <v>0</v>
      </c>
      <c r="W2513" s="608">
        <f t="shared" si="2712"/>
        <v>9500</v>
      </c>
      <c r="X2513" s="608">
        <f t="shared" si="2713"/>
        <v>0</v>
      </c>
      <c r="Y2513" s="572" t="s">
        <v>1513</v>
      </c>
      <c r="Z2513" s="572">
        <f t="shared" si="2753"/>
        <v>0</v>
      </c>
      <c r="AA2513" s="1">
        <f t="shared" si="2754"/>
        <v>9.5</v>
      </c>
    </row>
    <row r="2514" spans="1:27" ht="12" thickBot="1" x14ac:dyDescent="0.25">
      <c r="A2514" s="20" t="str">
        <f>A1699</f>
        <v>8.19.3.2 Mise en place et fonctionnement du cadre de coordination interministérielle</v>
      </c>
      <c r="B2514" s="108"/>
      <c r="C2514" s="386">
        <f>C1699</f>
        <v>0</v>
      </c>
      <c r="D2514" s="168">
        <f t="shared" si="2702"/>
        <v>10</v>
      </c>
      <c r="E2514" s="168">
        <f t="shared" si="2703"/>
        <v>10</v>
      </c>
      <c r="F2514" s="168">
        <f t="shared" si="2704"/>
        <v>10</v>
      </c>
      <c r="G2514" s="168">
        <f t="shared" si="2705"/>
        <v>10</v>
      </c>
      <c r="H2514" s="168">
        <f t="shared" si="2706"/>
        <v>10</v>
      </c>
      <c r="I2514" s="166">
        <f t="shared" si="2707"/>
        <v>50</v>
      </c>
      <c r="J2514" s="371" t="str">
        <f t="shared" si="2760"/>
        <v>SPACE</v>
      </c>
      <c r="K2514" s="350" t="str">
        <f t="shared" si="2757"/>
        <v>ND</v>
      </c>
      <c r="L2514" s="167">
        <f t="shared" ref="L2514:Q2514" si="2779">L1699</f>
        <v>10000</v>
      </c>
      <c r="M2514" s="168">
        <f t="shared" si="2779"/>
        <v>10000</v>
      </c>
      <c r="N2514" s="168">
        <f t="shared" si="2779"/>
        <v>10000</v>
      </c>
      <c r="O2514" s="168">
        <f t="shared" si="2779"/>
        <v>10000</v>
      </c>
      <c r="P2514" s="168">
        <f t="shared" si="2779"/>
        <v>10000</v>
      </c>
      <c r="Q2514" s="165">
        <f t="shared" si="2779"/>
        <v>50000</v>
      </c>
      <c r="R2514" s="198" t="str">
        <f t="shared" ref="R2514:S2514" si="2780">R1699</f>
        <v>SPACE</v>
      </c>
      <c r="S2514" s="115" t="str">
        <f t="shared" si="2780"/>
        <v>ND</v>
      </c>
      <c r="T2514" s="51">
        <f t="shared" ref="T2514" si="2781">T1699</f>
        <v>0</v>
      </c>
      <c r="W2514" s="608">
        <f t="shared" si="2712"/>
        <v>50000</v>
      </c>
      <c r="X2514" s="608">
        <f t="shared" si="2713"/>
        <v>0</v>
      </c>
      <c r="Y2514" s="572" t="s">
        <v>1513</v>
      </c>
      <c r="Z2514" s="572">
        <f t="shared" si="2753"/>
        <v>0</v>
      </c>
      <c r="AA2514" s="1">
        <f t="shared" si="2754"/>
        <v>50</v>
      </c>
    </row>
    <row r="2515" spans="1:27" s="259" customFormat="1" ht="18" customHeight="1" thickTop="1" thickBot="1" x14ac:dyDescent="0.3">
      <c r="A2515" s="260" t="s">
        <v>963</v>
      </c>
      <c r="B2515" s="261"/>
      <c r="C2515" s="261"/>
      <c r="D2515" s="377">
        <f t="shared" si="2702"/>
        <v>1239553.0626433904</v>
      </c>
      <c r="E2515" s="377">
        <f t="shared" si="2703"/>
        <v>1461511.6749240307</v>
      </c>
      <c r="F2515" s="377">
        <f t="shared" si="2704"/>
        <v>1635857.423863536</v>
      </c>
      <c r="G2515" s="377">
        <f t="shared" si="2705"/>
        <v>1742951.3773052255</v>
      </c>
      <c r="H2515" s="377">
        <f t="shared" si="2706"/>
        <v>1883244.3822925671</v>
      </c>
      <c r="I2515" s="378">
        <f t="shared" si="2707"/>
        <v>7963117.9210287482</v>
      </c>
      <c r="J2515" s="335"/>
      <c r="K2515" s="262"/>
      <c r="L2515" s="258">
        <f t="shared" ref="L2515:Q2515" si="2782">SUM(L1709:L2514)/4</f>
        <v>1239553062.6433904</v>
      </c>
      <c r="M2515" s="258">
        <f t="shared" si="2782"/>
        <v>1461511674.9240308</v>
      </c>
      <c r="N2515" s="258">
        <f t="shared" si="2782"/>
        <v>1635857423.8635359</v>
      </c>
      <c r="O2515" s="258">
        <f t="shared" si="2782"/>
        <v>1742951377.3052254</v>
      </c>
      <c r="P2515" s="275">
        <f t="shared" si="2782"/>
        <v>1883244382.292567</v>
      </c>
      <c r="Q2515" s="287">
        <f t="shared" si="2782"/>
        <v>7963117921.0287485</v>
      </c>
      <c r="R2515" s="263"/>
      <c r="S2515" s="263"/>
      <c r="T2515" s="264"/>
      <c r="U2515" s="654"/>
      <c r="V2515" s="607"/>
      <c r="W2515" s="607"/>
      <c r="X2515" s="607"/>
      <c r="Y2515" s="607"/>
      <c r="Z2515" s="607"/>
    </row>
    <row r="2516" spans="1:27" ht="12" thickTop="1" x14ac:dyDescent="0.2">
      <c r="L2516" s="148"/>
      <c r="M2516" s="148"/>
      <c r="N2516" s="148"/>
      <c r="O2516" s="148"/>
      <c r="P2516" s="148"/>
      <c r="Q2516" s="148"/>
    </row>
  </sheetData>
  <mergeCells count="3">
    <mergeCell ref="E4:J4"/>
    <mergeCell ref="L4:Q4"/>
    <mergeCell ref="L1707:Q170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0"/>
  <sheetViews>
    <sheetView showZeros="0" workbookViewId="0">
      <selection activeCell="B14" sqref="B14"/>
    </sheetView>
  </sheetViews>
  <sheetFormatPr defaultColWidth="11" defaultRowHeight="11.25" x14ac:dyDescent="0.2"/>
  <cols>
    <col min="1" max="1" width="60.25" style="1" customWidth="1"/>
    <col min="2" max="16384" width="11" style="1"/>
  </cols>
  <sheetData>
    <row r="2" spans="1:3" ht="12" thickBot="1" x14ac:dyDescent="0.25"/>
    <row r="3" spans="1:3" ht="12" thickTop="1" x14ac:dyDescent="0.2">
      <c r="A3" s="300" t="str">
        <f>'PA-Détails'!A1707</f>
        <v>Programme</v>
      </c>
      <c r="B3" s="675" t="s">
        <v>1511</v>
      </c>
      <c r="C3" s="677" t="s">
        <v>1515</v>
      </c>
    </row>
    <row r="4" spans="1:3" x14ac:dyDescent="0.2">
      <c r="A4" s="303" t="s">
        <v>1516</v>
      </c>
      <c r="B4" s="676"/>
      <c r="C4" s="678"/>
    </row>
    <row r="5" spans="1:3" x14ac:dyDescent="0.2">
      <c r="A5" s="11" t="str">
        <f>'PA-Détails'!A1709</f>
        <v>1. Enseignement préscolaire : Développer une préscolarisation de qualité, particulièrement en milieu rural</v>
      </c>
      <c r="B5" s="356">
        <f>B6+B13</f>
        <v>9268.5</v>
      </c>
      <c r="C5" s="547">
        <f>SUMIF('PA-Détails'!$A$1709:$A$2514,"=" &amp;$A5,'PA-Détails'!AA$1709:AA$2514)</f>
        <v>0</v>
      </c>
    </row>
    <row r="6" spans="1:3" x14ac:dyDescent="0.2">
      <c r="A6" s="14" t="str">
        <f>'PA-Détails'!A1737</f>
        <v>1.5 Formation des animateurs : Des enseignants qualifiés</v>
      </c>
      <c r="B6" s="217">
        <f>SUMIF('PA-Détails'!$A$1709:$A$2514,"=" &amp;$A6,'PA-Détails'!Z$1709:Z$2514)</f>
        <v>8098.5</v>
      </c>
      <c r="C6" s="340">
        <f>SUMIF('PA-Détails'!$A$1709:$A$2514,"=" &amp;$A6,'PA-Détails'!AA$1709:AA$2514)</f>
        <v>0</v>
      </c>
    </row>
    <row r="7" spans="1:3" x14ac:dyDescent="0.2">
      <c r="A7" s="17" t="str">
        <f>'PA-Détails'!A1738</f>
        <v>1.5.1. Formation initiale des enseignants et encadreurs</v>
      </c>
      <c r="B7" s="157">
        <f>SUMIF('PA-Détails'!$A$1709:$A$2514,"=" &amp;$A7,'PA-Détails'!Z$1709:Z$2514)</f>
        <v>3009.75</v>
      </c>
      <c r="C7" s="341">
        <f>SUMIF('PA-Détails'!$A$1709:$A$2514,"=" &amp;$A7,'PA-Détails'!AA$1709:AA$2514)</f>
        <v>0</v>
      </c>
    </row>
    <row r="8" spans="1:3" x14ac:dyDescent="0.2">
      <c r="A8" s="20" t="str">
        <f>'PA-Détails'!A1739</f>
        <v>1.5.1.1 Élaboration et validation d'un module de formation</v>
      </c>
      <c r="B8" s="168">
        <f>SUMIF('PA-Détails'!$A$1709:$A$2514,"=" &amp;$A8,'PA-Détails'!Z$1709:Z$2514)</f>
        <v>39.75</v>
      </c>
      <c r="C8" s="342">
        <f>SUMIF('PA-Détails'!$A$1709:$A$2514,"=" &amp;$A8,'PA-Détails'!AA$1709:AA$2514)</f>
        <v>0</v>
      </c>
    </row>
    <row r="9" spans="1:3" x14ac:dyDescent="0.2">
      <c r="A9" s="20" t="str">
        <f>'PA-Détails'!A1740</f>
        <v>1.5.1.2 Assurer la formation pour les nouveaux recrutements</v>
      </c>
      <c r="B9" s="168">
        <f>SUMIF('PA-Détails'!$A$1709:$A$2514,"=" &amp;$A9,'PA-Détails'!Z$1709:Z$2514)</f>
        <v>2970</v>
      </c>
      <c r="C9" s="342">
        <f>SUMIF('PA-Détails'!$A$1709:$A$2514,"=" &amp;$A9,'PA-Détails'!AA$1709:AA$2514)</f>
        <v>0</v>
      </c>
    </row>
    <row r="10" spans="1:3" x14ac:dyDescent="0.2">
      <c r="A10" s="17" t="str">
        <f>'PA-Détails'!A1741</f>
        <v>1.5.2 Formation continue des enseignants et encadreurs</v>
      </c>
      <c r="B10" s="157">
        <f>SUMIF('PA-Détails'!$A$1709:$A$2514,"=" &amp;$A10,'PA-Détails'!Z$1709:Z$2514)</f>
        <v>5088.75</v>
      </c>
      <c r="C10" s="341">
        <f>SUMIF('PA-Détails'!$A$1709:$A$2514,"=" &amp;$A10,'PA-Détails'!AA$1709:AA$2514)</f>
        <v>0</v>
      </c>
    </row>
    <row r="11" spans="1:3" x14ac:dyDescent="0.2">
      <c r="A11" s="20" t="str">
        <f>'PA-Détails'!A1742</f>
        <v>1.5.2.1 Révision et validation des modules existants</v>
      </c>
      <c r="B11" s="168">
        <f>SUMIF('PA-Détails'!$A$1709:$A$2514,"=" &amp;$A11,'PA-Détails'!Z$1709:Z$2514)</f>
        <v>39.75</v>
      </c>
      <c r="C11" s="342">
        <f>SUMIF('PA-Détails'!$A$1709:$A$2514,"=" &amp;$A11,'PA-Détails'!AA$1709:AA$2514)</f>
        <v>0</v>
      </c>
    </row>
    <row r="12" spans="1:3" x14ac:dyDescent="0.2">
      <c r="A12" s="20" t="str">
        <f>'PA-Détails'!A1743</f>
        <v>1.5.2.2 Assurer la formation continue pour les encadreurs et enseignants</v>
      </c>
      <c r="B12" s="168">
        <f>SUMIF('PA-Détails'!$A$1709:$A$2514,"=" &amp;$A12,'PA-Détails'!Z$1709:Z$2514)</f>
        <v>5049</v>
      </c>
      <c r="C12" s="342">
        <f>SUMIF('PA-Détails'!$A$1709:$A$2514,"=" &amp;$A12,'PA-Détails'!AA$1709:AA$2514)</f>
        <v>0</v>
      </c>
    </row>
    <row r="13" spans="1:3" x14ac:dyDescent="0.2">
      <c r="A13" s="14" t="str">
        <f>'PA-Détails'!A1744</f>
        <v>1.6 Supervision des structures et des enseignants : Assurer l'encadrement pédagogique et administratif des structures</v>
      </c>
      <c r="B13" s="217">
        <f>SUMIF('PA-Détails'!$A$1709:$A$2514,"=" &amp;$A13,'PA-Détails'!Z$1709:Z$2514)</f>
        <v>1170</v>
      </c>
      <c r="C13" s="340">
        <f>SUMIF('PA-Détails'!$A$1709:$A$2514,"=" &amp;$A13,'PA-Détails'!AA$1709:AA$2514)</f>
        <v>0</v>
      </c>
    </row>
    <row r="14" spans="1:3" x14ac:dyDescent="0.2">
      <c r="A14" s="17" t="str">
        <f>'PA-Détails'!A1745</f>
        <v>1.6.1 Moyens de déplacement des inspecteurs</v>
      </c>
      <c r="B14" s="157">
        <f>SUMIF('PA-Détails'!$A$1709:$A$2514,"=" &amp;$A14,'PA-Détails'!Z$1709:Z$2514)</f>
        <v>450</v>
      </c>
      <c r="C14" s="341">
        <f>SUMIF('PA-Détails'!$A$1709:$A$2514,"=" &amp;$A14,'PA-Détails'!AA$1709:AA$2514)</f>
        <v>0</v>
      </c>
    </row>
    <row r="15" spans="1:3" x14ac:dyDescent="0.2">
      <c r="A15" s="20" t="str">
        <f>'PA-Détails'!A1746</f>
        <v>1.6.1.1 Équipement des Inspecteurs en Moto</v>
      </c>
      <c r="B15" s="168">
        <f>SUMIF('PA-Détails'!$A$1709:$A$2514,"=" &amp;$A15,'PA-Détails'!Z$1709:Z$2514)</f>
        <v>450</v>
      </c>
      <c r="C15" s="342">
        <f>SUMIF('PA-Détails'!$A$1709:$A$2514,"=" &amp;$A15,'PA-Détails'!AA$1709:AA$2514)</f>
        <v>0</v>
      </c>
    </row>
    <row r="16" spans="1:3" x14ac:dyDescent="0.2">
      <c r="A16" s="17" t="str">
        <f>'PA-Détails'!A1747</f>
        <v>1.6.2 Primes d'itinérance</v>
      </c>
      <c r="B16" s="157">
        <f>SUMIF('PA-Détails'!$A$1709:$A$2514,"=" &amp;$A16,'PA-Détails'!Z$1709:Z$2514)</f>
        <v>720</v>
      </c>
      <c r="C16" s="341">
        <f>SUMIF('PA-Détails'!$A$1709:$A$2514,"=" &amp;$A16,'PA-Détails'!AA$1709:AA$2514)</f>
        <v>0</v>
      </c>
    </row>
    <row r="17" spans="1:3" x14ac:dyDescent="0.2">
      <c r="A17" s="542" t="str">
        <f>'PA-Détails'!A1748</f>
        <v>1.6.2.1 Dotation en prime d'itinérance</v>
      </c>
      <c r="B17" s="543">
        <f>SUMIF('PA-Détails'!$A$1709:$A$2514,"=" &amp;$A17,'PA-Détails'!Z$1709:Z$2514)</f>
        <v>720</v>
      </c>
      <c r="C17" s="548">
        <f>SUMIF('PA-Détails'!$A$1709:$A$2514,"=" &amp;$A17,'PA-Détails'!AA$1709:AA$2514)</f>
        <v>0</v>
      </c>
    </row>
    <row r="18" spans="1:3" x14ac:dyDescent="0.2">
      <c r="A18" s="360" t="str">
        <f>'PA-Détails'!A1749</f>
        <v>2. Enseignement primaire : Un enseignement primaire de qualité pour apporter à tous les savoirs et compétences de base</v>
      </c>
      <c r="B18" s="356">
        <f>B19+B22+B37</f>
        <v>62393.101999999999</v>
      </c>
      <c r="C18" s="547">
        <f>SUMIF('PA-Détails'!$A$1709:$A$2514,"=" &amp;$A18,'PA-Détails'!AA$1709:AA$2514)</f>
        <v>0</v>
      </c>
    </row>
    <row r="19" spans="1:3" x14ac:dyDescent="0.2">
      <c r="A19" s="14" t="str">
        <f>'PA-Détails'!A1812</f>
        <v>2.7 Apprentissage de la lecture-écriture : améliorer les apprentissages de la lecture-écriture</v>
      </c>
      <c r="B19" s="217">
        <f>B20</f>
        <v>270</v>
      </c>
      <c r="C19" s="340">
        <f>SUMIF('PA-Détails'!$A$1709:$A$2514,"=" &amp;$A19,'PA-Détails'!AA$1709:AA$2514)</f>
        <v>0</v>
      </c>
    </row>
    <row r="20" spans="1:3" x14ac:dyDescent="0.2">
      <c r="A20" s="17" t="str">
        <f>'PA-Détails'!A1813</f>
        <v xml:space="preserve">2.7.1 Former les enseignants </v>
      </c>
      <c r="B20" s="157">
        <f>SUMIF('PA-Détails'!$A$1709:$A$2514,"=" &amp;$A20,'PA-Détails'!Z$1709:Z$2514)</f>
        <v>270</v>
      </c>
      <c r="C20" s="341">
        <f>SUMIF('PA-Détails'!$A$1709:$A$2514,"=" &amp;$A20,'PA-Détails'!AA$1709:AA$2514)</f>
        <v>0</v>
      </c>
    </row>
    <row r="21" spans="1:3" x14ac:dyDescent="0.2">
      <c r="A21" s="20" t="str">
        <f>'PA-Détails'!A1814</f>
        <v>2.7.1.1 Formation des formateurs</v>
      </c>
      <c r="B21" s="168">
        <f>SUMIF('PA-Détails'!$A$1709:$A$2514,"=" &amp;$A21,'PA-Détails'!Z$1709:Z$2514)</f>
        <v>270</v>
      </c>
      <c r="C21" s="342">
        <f>SUMIF('PA-Détails'!$A$1709:$A$2514,"=" &amp;$A21,'PA-Détails'!AA$1709:AA$2514)</f>
        <v>0</v>
      </c>
    </row>
    <row r="22" spans="1:3" x14ac:dyDescent="0.2">
      <c r="A22" s="14" t="str">
        <f>'PA-Détails'!A1846</f>
        <v>2.9 Formation continue des enseignants : renforcer la formation continue</v>
      </c>
      <c r="B22" s="217">
        <f>B23+B30+B32+B35</f>
        <v>7243.8519999999999</v>
      </c>
      <c r="C22" s="340">
        <f>SUMIF('PA-Détails'!$A$1709:$A$2514,"=" &amp;$A22,'PA-Détails'!AA$1709:AA$2514)</f>
        <v>0</v>
      </c>
    </row>
    <row r="23" spans="1:3" x14ac:dyDescent="0.2">
      <c r="A23" s="17" t="str">
        <f>'PA-Détails'!A1847</f>
        <v>2.9.1 Renforcer la formation continue des enseignants</v>
      </c>
      <c r="B23" s="157">
        <f>SUMIF('PA-Détails'!$A$1709:$A$2514,"=" &amp;$A23,'PA-Détails'!Z$1709:Z$2514)</f>
        <v>2533</v>
      </c>
      <c r="C23" s="341">
        <f>SUMIF('PA-Détails'!$A$1709:$A$2514,"=" &amp;$A23,'PA-Détails'!AA$1709:AA$2514)</f>
        <v>0</v>
      </c>
    </row>
    <row r="24" spans="1:3" x14ac:dyDescent="0.2">
      <c r="A24" s="20" t="str">
        <f>'PA-Détails'!A1848</f>
        <v>2.9.1.1 Développement et actualisation des modules de formation</v>
      </c>
      <c r="B24" s="168">
        <f>SUMIF('PA-Détails'!$A$1709:$A$2514,"=" &amp;$A24,'PA-Détails'!Z$1709:Z$2514)</f>
        <v>32</v>
      </c>
      <c r="C24" s="342">
        <f>SUMIF('PA-Détails'!$A$1709:$A$2514,"=" &amp;$A24,'PA-Détails'!AA$1709:AA$2514)</f>
        <v>0</v>
      </c>
    </row>
    <row r="25" spans="1:3" x14ac:dyDescent="0.2">
      <c r="A25" s="20" t="str">
        <f>'PA-Détails'!A1849</f>
        <v>2.9.1.2 Numérisation et opérationnalisation des modules de formation</v>
      </c>
      <c r="B25" s="168">
        <f>SUMIF('PA-Détails'!$A$1709:$A$2514,"=" &amp;$A25,'PA-Détails'!Z$1709:Z$2514)</f>
        <v>420</v>
      </c>
      <c r="C25" s="342">
        <f>SUMIF('PA-Détails'!$A$1709:$A$2514,"=" &amp;$A25,'PA-Détails'!AA$1709:AA$2514)</f>
        <v>0</v>
      </c>
    </row>
    <row r="26" spans="1:3" x14ac:dyDescent="0.2">
      <c r="A26" s="20" t="str">
        <f>'PA-Détails'!A1850</f>
        <v>2.9.1.3 Évaluation et capitalisation du pilote de la composante "Formation continue" du PROSEB</v>
      </c>
      <c r="B26" s="168">
        <f>SUMIF('PA-Détails'!$A$1709:$A$2514,"=" &amp;$A26,'PA-Détails'!Z$1709:Z$2514)</f>
        <v>16</v>
      </c>
      <c r="C26" s="342">
        <f>SUMIF('PA-Détails'!$A$1709:$A$2514,"=" &amp;$A26,'PA-Détails'!AA$1709:AA$2514)</f>
        <v>0</v>
      </c>
    </row>
    <row r="27" spans="1:3" x14ac:dyDescent="0.2">
      <c r="A27" s="20" t="str">
        <f>'PA-Détails'!A1851</f>
        <v>2.9.1.4 Mise en place des CRESD dans les différentes provinces</v>
      </c>
      <c r="B27" s="168">
        <f>SUMIF('PA-Détails'!$A$1709:$A$2514,"=" &amp;$A27,'PA-Détails'!Z$1709:Z$2514)</f>
        <v>115</v>
      </c>
      <c r="C27" s="342">
        <f>SUMIF('PA-Détails'!$A$1709:$A$2514,"=" &amp;$A27,'PA-Détails'!AA$1709:AA$2514)</f>
        <v>0</v>
      </c>
    </row>
    <row r="28" spans="1:3" x14ac:dyDescent="0.2">
      <c r="A28" s="20" t="str">
        <f>'PA-Détails'!A1852</f>
        <v>2.9.1.5 Formation des inspecteurs et des conseillers d'enseignement</v>
      </c>
      <c r="B28" s="168">
        <f>SUMIF('PA-Détails'!$A$1709:$A$2514,"=" &amp;$A28,'PA-Détails'!Z$1709:Z$2514)</f>
        <v>825</v>
      </c>
      <c r="C28" s="342">
        <f>SUMIF('PA-Détails'!$A$1709:$A$2514,"=" &amp;$A28,'PA-Détails'!AA$1709:AA$2514)</f>
        <v>0</v>
      </c>
    </row>
    <row r="29" spans="1:3" x14ac:dyDescent="0.2">
      <c r="A29" s="20" t="str">
        <f>'PA-Détails'!A1853</f>
        <v>2.9.1.6 Formation des enseignants</v>
      </c>
      <c r="B29" s="168">
        <f>SUMIF('PA-Détails'!$A$1709:$A$2514,"=" &amp;$A29,'PA-Détails'!Z$1709:Z$2514)</f>
        <v>1125</v>
      </c>
      <c r="C29" s="342">
        <f>SUMIF('PA-Détails'!$A$1709:$A$2514,"=" &amp;$A29,'PA-Détails'!AA$1709:AA$2514)</f>
        <v>0</v>
      </c>
    </row>
    <row r="30" spans="1:3" x14ac:dyDescent="0.2">
      <c r="A30" s="17" t="str">
        <f>'PA-Détails'!A1854</f>
        <v>2.9.2 Formation des directeurs d'écoles</v>
      </c>
      <c r="B30" s="157">
        <f>SUMIF('PA-Détails'!$A$1709:$A$2514,"=" &amp;$A30,'PA-Détails'!Z$1709:Z$2514)</f>
        <v>4687.8519999999999</v>
      </c>
      <c r="C30" s="341">
        <f>SUMIF('PA-Détails'!$A$1709:$A$2514,"=" &amp;$A30,'PA-Détails'!AA$1709:AA$2514)</f>
        <v>0</v>
      </c>
    </row>
    <row r="31" spans="1:3" x14ac:dyDescent="0.2">
      <c r="A31" s="20" t="str">
        <f>'PA-Détails'!A1855</f>
        <v>2.9.2.1 Formation aux modules et au leadership</v>
      </c>
      <c r="B31" s="168">
        <f>SUMIF('PA-Détails'!$A$1709:$A$2514,"=" &amp;$A31,'PA-Détails'!Z$1709:Z$2514)</f>
        <v>4687.8519999999999</v>
      </c>
      <c r="C31" s="342">
        <f>SUMIF('PA-Détails'!$A$1709:$A$2514,"=" &amp;$A31,'PA-Détails'!AA$1709:AA$2514)</f>
        <v>0</v>
      </c>
    </row>
    <row r="32" spans="1:3" x14ac:dyDescent="0.2">
      <c r="A32" s="17" t="str">
        <f>'PA-Détails'!A1856</f>
        <v>2.9.3 Constitution de réseaux de proximité</v>
      </c>
      <c r="B32" s="157">
        <f>SUMIF('PA-Détails'!$A$1709:$A$2514,"=" &amp;$A32,'PA-Détails'!Z$1709:Z$2514)</f>
        <v>16</v>
      </c>
      <c r="C32" s="341">
        <f>SUMIF('PA-Détails'!$A$1709:$A$2514,"=" &amp;$A32,'PA-Détails'!AA$1709:AA$2514)</f>
        <v>0</v>
      </c>
    </row>
    <row r="33" spans="1:3" x14ac:dyDescent="0.2">
      <c r="A33" s="20" t="str">
        <f>'PA-Détails'!A1857</f>
        <v>2.9.3.1 Établissement d'une cartographie des REP existants</v>
      </c>
      <c r="B33" s="168">
        <f>SUMIF('PA-Détails'!$A$1709:$A$2514,"=" &amp;$A33,'PA-Détails'!Z$1709:Z$2514)</f>
        <v>16</v>
      </c>
      <c r="C33" s="342">
        <f>SUMIF('PA-Détails'!$A$1709:$A$2514,"=" &amp;$A33,'PA-Détails'!AA$1709:AA$2514)</f>
        <v>0</v>
      </c>
    </row>
    <row r="34" spans="1:3" x14ac:dyDescent="0.2">
      <c r="A34" s="20" t="str">
        <f>'PA-Détails'!A1858</f>
        <v>2.9.3.2 Extension des REP sur tout le territoire</v>
      </c>
      <c r="B34" s="168">
        <f>SUMIF('PA-Détails'!$A$1709:$A$2514,"=" &amp;$A34,'PA-Détails'!Z$1709:Z$2514)</f>
        <v>0</v>
      </c>
      <c r="C34" s="342">
        <f>SUMIF('PA-Détails'!$A$1709:$A$2514,"=" &amp;$A34,'PA-Détails'!AA$1709:AA$2514)</f>
        <v>0</v>
      </c>
    </row>
    <row r="35" spans="1:3" x14ac:dyDescent="0.2">
      <c r="A35" s="17" t="str">
        <f>'PA-Détails'!A1859</f>
        <v>2.9.4 Systématisation du mécanisme d'évaluation de l'impact des formations</v>
      </c>
      <c r="B35" s="157">
        <f>SUMIF('PA-Détails'!$A$1709:$A$2514,"=" &amp;$A35,'PA-Détails'!Z$1709:Z$2514)</f>
        <v>7</v>
      </c>
      <c r="C35" s="341">
        <f>SUMIF('PA-Détails'!$A$1709:$A$2514,"=" &amp;$A35,'PA-Détails'!AA$1709:AA$2514)</f>
        <v>0</v>
      </c>
    </row>
    <row r="36" spans="1:3" x14ac:dyDescent="0.2">
      <c r="A36" s="20" t="str">
        <f>'PA-Détails'!A1860</f>
        <v xml:space="preserve">2.9.4.1 Élaboration d'outils de suivi et d'évaluation </v>
      </c>
      <c r="B36" s="168">
        <f>SUMIF('PA-Détails'!$A$1709:$A$2514,"=" &amp;$A36,'PA-Détails'!Z$1709:Z$2514)</f>
        <v>7</v>
      </c>
      <c r="C36" s="342">
        <f>SUMIF('PA-Détails'!$A$1709:$A$2514,"=" &amp;$A36,'PA-Détails'!AA$1709:AA$2514)</f>
        <v>0</v>
      </c>
    </row>
    <row r="37" spans="1:3" x14ac:dyDescent="0.2">
      <c r="A37" s="14" t="str">
        <f>'PA-Détails'!A1861</f>
        <v>2.10 Formation initiale des enseignants du primaire : Professionnaliser les humanités pédagogiques</v>
      </c>
      <c r="B37" s="217">
        <f>B38+B41+B44+B47</f>
        <v>54879.25</v>
      </c>
      <c r="C37" s="340">
        <f>SUMIF('PA-Détails'!$A$1709:$A$2514,"=" &amp;$A37,'PA-Détails'!AA$1709:AA$2514)</f>
        <v>0</v>
      </c>
    </row>
    <row r="38" spans="1:3" x14ac:dyDescent="0.2">
      <c r="A38" s="17" t="str">
        <f>'PA-Détails'!A1862</f>
        <v>2.10.1 Élaboration d'un curriculum</v>
      </c>
      <c r="B38" s="157">
        <f>SUMIF('PA-Détails'!$A$1709:$A$2514,"=" &amp;$A38,'PA-Détails'!Z$1709:Z$2514)</f>
        <v>74</v>
      </c>
      <c r="C38" s="341">
        <f>SUMIF('PA-Détails'!$A$1709:$A$2514,"=" &amp;$A38,'PA-Détails'!AA$1709:AA$2514)</f>
        <v>0</v>
      </c>
    </row>
    <row r="39" spans="1:3" x14ac:dyDescent="0.2">
      <c r="A39" s="20" t="str">
        <f>'PA-Détails'!A1863</f>
        <v>2.10.1.1 Actualisation du référentiel de compétences des enseignants réalisé en 2013</v>
      </c>
      <c r="B39" s="168">
        <f>SUMIF('PA-Détails'!$A$1709:$A$2514,"=" &amp;$A39,'PA-Détails'!Z$1709:Z$2514)</f>
        <v>9.5</v>
      </c>
      <c r="C39" s="342">
        <f>SUMIF('PA-Détails'!$A$1709:$A$2514,"=" &amp;$A39,'PA-Détails'!AA$1709:AA$2514)</f>
        <v>0</v>
      </c>
    </row>
    <row r="40" spans="1:3" x14ac:dyDescent="0.2">
      <c r="A40" s="20" t="str">
        <f>'PA-Détails'!A1864</f>
        <v>2.10.1.2 Révision du curriculum de formation des enseignants</v>
      </c>
      <c r="B40" s="168">
        <f>SUMIF('PA-Détails'!$A$1709:$A$2514,"=" &amp;$A40,'PA-Détails'!Z$1709:Z$2514)</f>
        <v>64.5</v>
      </c>
      <c r="C40" s="342">
        <f>SUMIF('PA-Détails'!$A$1709:$A$2514,"=" &amp;$A40,'PA-Détails'!AA$1709:AA$2514)</f>
        <v>0</v>
      </c>
    </row>
    <row r="41" spans="1:3" x14ac:dyDescent="0.2">
      <c r="A41" s="17" t="str">
        <f>'PA-Détails'!A1865</f>
        <v>2.10.2 Définition du profil d'entrée, de sortie et durée de formation des futurs enseignants et du profil de leurs formateurs</v>
      </c>
      <c r="B41" s="157">
        <f>SUMIF('PA-Détails'!$A$1709:$A$2514,"=" &amp;$A41,'PA-Détails'!Z$1709:Z$2514)</f>
        <v>73.25</v>
      </c>
      <c r="C41" s="341">
        <f>SUMIF('PA-Détails'!$A$1709:$A$2514,"=" &amp;$A41,'PA-Détails'!AA$1709:AA$2514)</f>
        <v>0</v>
      </c>
    </row>
    <row r="42" spans="1:3" x14ac:dyDescent="0.2">
      <c r="A42" s="20" t="str">
        <f>'PA-Détails'!A1866</f>
        <v>2.10.2.1 Étude sur les profils d'entrée, de sortie et de durée de formation des futurs enseignants</v>
      </c>
      <c r="B42" s="168">
        <f>SUMIF('PA-Détails'!$A$1709:$A$2514,"=" &amp;$A42,'PA-Détails'!Z$1709:Z$2514)</f>
        <v>50.5</v>
      </c>
      <c r="C42" s="342">
        <f>SUMIF('PA-Détails'!$A$1709:$A$2514,"=" &amp;$A42,'PA-Détails'!AA$1709:AA$2514)</f>
        <v>0</v>
      </c>
    </row>
    <row r="43" spans="1:3" x14ac:dyDescent="0.2">
      <c r="A43" s="20" t="str">
        <f>'PA-Détails'!A1867</f>
        <v>2.10.2.2 Définition du profil des formateurs des formateurs</v>
      </c>
      <c r="B43" s="168">
        <f>SUMIF('PA-Détails'!$A$1709:$A$2514,"=" &amp;$A43,'PA-Détails'!Z$1709:Z$2514)</f>
        <v>22.75</v>
      </c>
      <c r="C43" s="342">
        <f>SUMIF('PA-Détails'!$A$1709:$A$2514,"=" &amp;$A43,'PA-Détails'!AA$1709:AA$2514)</f>
        <v>0</v>
      </c>
    </row>
    <row r="44" spans="1:3" x14ac:dyDescent="0.2">
      <c r="A44" s="17" t="str">
        <f>'PA-Détails'!A1868</f>
        <v>2.10.3 Élaboration et mise en place d'un programme de restructuration/spécialisation des établissements</v>
      </c>
      <c r="B44" s="157">
        <f>SUMIF('PA-Détails'!$A$1709:$A$2514,"=" &amp;$A44,'PA-Détails'!Z$1709:Z$2514)</f>
        <v>54132</v>
      </c>
      <c r="C44" s="341">
        <f>SUMIF('PA-Détails'!$A$1709:$A$2514,"=" &amp;$A44,'PA-Détails'!AA$1709:AA$2514)</f>
        <v>0</v>
      </c>
    </row>
    <row r="45" spans="1:3" x14ac:dyDescent="0.2">
      <c r="A45" s="20" t="str">
        <f>'PA-Détails'!A1869</f>
        <v>2.10.3.1 Étude sur la carte scolaire des écoles normales et de l'enseignement des humanités pédagogiques</v>
      </c>
      <c r="B45" s="168">
        <f>SUMIF('PA-Détails'!$A$1709:$A$2514,"=" &amp;$A45,'PA-Détails'!Z$1709:Z$2514)</f>
        <v>132</v>
      </c>
      <c r="C45" s="342">
        <f>SUMIF('PA-Détails'!$A$1709:$A$2514,"=" &amp;$A45,'PA-Détails'!AA$1709:AA$2514)</f>
        <v>0</v>
      </c>
    </row>
    <row r="46" spans="1:3" x14ac:dyDescent="0.2">
      <c r="A46" s="20" t="str">
        <f>'PA-Détails'!A1870</f>
        <v>2.10.3.2 Mise en place du programme de restructuration/spécialisation des établissements</v>
      </c>
      <c r="B46" s="168">
        <f>SUMIF('PA-Détails'!$A$1709:$A$2514,"=" &amp;$A46,'PA-Détails'!Z$1709:Z$2514)</f>
        <v>54000</v>
      </c>
      <c r="C46" s="342">
        <f>SUMIF('PA-Détails'!$A$1709:$A$2514,"=" &amp;$A46,'PA-Détails'!AA$1709:AA$2514)</f>
        <v>0</v>
      </c>
    </row>
    <row r="47" spans="1:3" x14ac:dyDescent="0.2">
      <c r="A47" s="17" t="str">
        <f>'PA-Détails'!A1871</f>
        <v>2.10.4 Bourses d'études pour les élèves enseignants méritants</v>
      </c>
      <c r="B47" s="157">
        <f>SUMIF('PA-Détails'!$A$1709:$A$2514,"=" &amp;$A47,'PA-Détails'!Z$1709:Z$2514)</f>
        <v>600</v>
      </c>
      <c r="C47" s="341">
        <f>SUMIF('PA-Détails'!$A$1709:$A$2514,"=" &amp;$A47,'PA-Détails'!AA$1709:AA$2514)</f>
        <v>0</v>
      </c>
    </row>
    <row r="48" spans="1:3" x14ac:dyDescent="0.2">
      <c r="A48" s="20" t="str">
        <f>'PA-Détails'!A1872</f>
        <v>2.10.2.1 Allocation de la bourse d'études pour les enseignants en formation</v>
      </c>
      <c r="B48" s="168">
        <f>SUMIF('PA-Détails'!$A$1709:$A$2514,"=" &amp;$A48,'PA-Détails'!Z$1709:Z$2514)</f>
        <v>600</v>
      </c>
      <c r="C48" s="342">
        <f>SUMIF('PA-Détails'!$A$1709:$A$2514,"=" &amp;$A48,'PA-Détails'!AA$1709:AA$2514)</f>
        <v>0</v>
      </c>
    </row>
    <row r="49" spans="1:3" x14ac:dyDescent="0.2">
      <c r="A49" s="360" t="str">
        <f>'PA-Détails'!A1883</f>
        <v>3. Éducation non formelle : Permettre aux personnes non scolarisées d'acquérir les savoirs de base</v>
      </c>
      <c r="B49" s="356">
        <f>B50+B53+B57+B64+B70</f>
        <v>3160</v>
      </c>
      <c r="C49" s="547">
        <f>C50+C53+C57+C64+C70</f>
        <v>450.68</v>
      </c>
    </row>
    <row r="50" spans="1:3" x14ac:dyDescent="0.2">
      <c r="A50" s="14" t="str">
        <f>'PA-Détails'!A1910</f>
        <v>3.3. Programmes de l'AENF : Harmoniser les programmes et les adapter aux besoins des bénéficiaires</v>
      </c>
      <c r="B50" s="217">
        <f>B51</f>
        <v>213</v>
      </c>
      <c r="C50" s="340">
        <f>SUMIF('PA-Détails'!$A$1709:$A$2514,"=" &amp;$A50,'PA-Détails'!AA$1709:AA$2514)</f>
        <v>0</v>
      </c>
    </row>
    <row r="51" spans="1:3" x14ac:dyDescent="0.2">
      <c r="A51" s="17" t="str">
        <f>'PA-Détails'!A1913</f>
        <v xml:space="preserve">3.3.2 Formation de animateurs (MAS.AH.SN, société civile) à l'utilisation et la gestion des programmes </v>
      </c>
      <c r="B51" s="157">
        <f>SUMIF('PA-Détails'!$A$1709:$A$2514,"=" &amp;$A51,'PA-Détails'!Z$1709:Z$2514)</f>
        <v>213</v>
      </c>
      <c r="C51" s="341">
        <f>SUMIF('PA-Détails'!$A$1709:$A$2514,"=" &amp;$A51,'PA-Détails'!AA$1709:AA$2514)</f>
        <v>0</v>
      </c>
    </row>
    <row r="52" spans="1:3" x14ac:dyDescent="0.2">
      <c r="A52" s="20" t="str">
        <f>'PA-Détails'!A1914</f>
        <v>3.3.2.1 Formation du personnel, de la société civile à l'utilisation des programmes</v>
      </c>
      <c r="B52" s="168">
        <f>SUMIF('PA-Détails'!$A$1709:$A$2514,"=" &amp;$A52,'PA-Détails'!Z$1709:Z$2514)</f>
        <v>213</v>
      </c>
      <c r="C52" s="342">
        <f>SUMIF('PA-Détails'!$A$1709:$A$2514,"=" &amp;$A52,'PA-Détails'!AA$1709:AA$2514)</f>
        <v>0</v>
      </c>
    </row>
    <row r="53" spans="1:3" x14ac:dyDescent="0.2">
      <c r="A53" s="14" t="str">
        <f>'PA-Détails'!A1941</f>
        <v xml:space="preserve">3.6. Évaluation et certification : mettre en place un système de suivi, d’évaluation et de certification des acquis des apprenants </v>
      </c>
      <c r="B53" s="217">
        <f>B54</f>
        <v>554.4</v>
      </c>
      <c r="C53" s="340">
        <f>SUMIF('PA-Détails'!$A$1709:$A$2514,"=" &amp;$A53,'PA-Détails'!AA$1709:AA$2514)</f>
        <v>0</v>
      </c>
    </row>
    <row r="54" spans="1:3" x14ac:dyDescent="0.2">
      <c r="A54" s="17" t="str">
        <f>'PA-Détails'!A1946</f>
        <v>3.6.3 Formation des inspecteurs aux outils de suivi et d'évaluation aux documents de certification</v>
      </c>
      <c r="B54" s="157">
        <f>SUMIF('PA-Détails'!$A$1709:$A$2514,"=" &amp;$A54,'PA-Détails'!Z$1709:Z$2514)</f>
        <v>554.4</v>
      </c>
      <c r="C54" s="341">
        <f>SUMIF('PA-Détails'!$A$1709:$A$2514,"=" &amp;$A54,'PA-Détails'!AA$1709:AA$2514)</f>
        <v>0</v>
      </c>
    </row>
    <row r="55" spans="1:3" x14ac:dyDescent="0.2">
      <c r="A55" s="20" t="str">
        <f>'PA-Détails'!A1947</f>
        <v>3.6.3.1 Formation des inspecteurs des Affaires sociales (alphabétisation, rattrapage scolaire et apprentissage professionnel)</v>
      </c>
      <c r="B55" s="168">
        <f>SUMIF('PA-Détails'!$A$1709:$A$2514,"=" &amp;$A55,'PA-Détails'!Z$1709:Z$2514)</f>
        <v>528</v>
      </c>
      <c r="C55" s="342">
        <f>SUMIF('PA-Détails'!$A$1709:$A$2514,"=" &amp;$A55,'PA-Détails'!AA$1709:AA$2514)</f>
        <v>0</v>
      </c>
    </row>
    <row r="56" spans="1:3" x14ac:dyDescent="0.2">
      <c r="A56" s="20" t="str">
        <f>'PA-Détails'!A1948</f>
        <v>3.6.3.2 Formation des inspecteurs de l'EPSINC (rattrapage scolaire)</v>
      </c>
      <c r="B56" s="168">
        <f>SUMIF('PA-Détails'!$A$1709:$A$2514,"=" &amp;$A56,'PA-Détails'!Z$1709:Z$2514)</f>
        <v>26.4</v>
      </c>
      <c r="C56" s="342">
        <f>SUMIF('PA-Détails'!$A$1709:$A$2514,"=" &amp;$A56,'PA-Détails'!AA$1709:AA$2514)</f>
        <v>0</v>
      </c>
    </row>
    <row r="57" spans="1:3" x14ac:dyDescent="0.2">
      <c r="A57" s="14" t="str">
        <f>'PA-Détails'!A1949</f>
        <v>3.7 Formation et rémunération des animateurs : former les enseignants et assurer leur rémunération</v>
      </c>
      <c r="B57" s="217">
        <f>B58+B62</f>
        <v>2208</v>
      </c>
      <c r="C57" s="340">
        <f>SUMIF('PA-Détails'!$A$1709:$A$2514,"=" &amp;$A57,'PA-Détails'!AA$1709:AA$2514)</f>
        <v>0</v>
      </c>
    </row>
    <row r="58" spans="1:3" x14ac:dyDescent="0.2">
      <c r="A58" s="17" t="str">
        <f>'PA-Détails'!A1950</f>
        <v>3.7.1 Actualisation des modules de formation</v>
      </c>
      <c r="B58" s="157">
        <f>SUMIF('PA-Détails'!$A$1709:$A$2514,"=" &amp;$A58,'PA-Détails'!Z$1709:Z$2514)</f>
        <v>30</v>
      </c>
      <c r="C58" s="341">
        <f>SUMIF('PA-Détails'!$A$1709:$A$2514,"=" &amp;$A58,'PA-Détails'!AA$1709:AA$2514)</f>
        <v>0</v>
      </c>
    </row>
    <row r="59" spans="1:3" x14ac:dyDescent="0.2">
      <c r="A59" s="20" t="str">
        <f>'PA-Détails'!A1951</f>
        <v xml:space="preserve">3.7.1.1 Actualisation des modules de formation de rattrapage scolaire </v>
      </c>
      <c r="B59" s="168">
        <f>SUMIF('PA-Détails'!$A$1709:$A$2514,"=" &amp;$A59,'PA-Détails'!Z$1709:Z$2514)</f>
        <v>10</v>
      </c>
      <c r="C59" s="342">
        <f>SUMIF('PA-Détails'!$A$1709:$A$2514,"=" &amp;$A59,'PA-Détails'!AA$1709:AA$2514)</f>
        <v>0</v>
      </c>
    </row>
    <row r="60" spans="1:3" x14ac:dyDescent="0.2">
      <c r="A60" s="20" t="str">
        <f>'PA-Détails'!A1952</f>
        <v>3.7.1.2 Actualisation des modules de formation d'alphabétisation</v>
      </c>
      <c r="B60" s="168">
        <f>SUMIF('PA-Détails'!$A$1709:$A$2514,"=" &amp;$A60,'PA-Détails'!Z$1709:Z$2514)</f>
        <v>10</v>
      </c>
      <c r="C60" s="342">
        <f>SUMIF('PA-Détails'!$A$1709:$A$2514,"=" &amp;$A60,'PA-Détails'!AA$1709:AA$2514)</f>
        <v>0</v>
      </c>
    </row>
    <row r="61" spans="1:3" x14ac:dyDescent="0.2">
      <c r="A61" s="20" t="str">
        <f>'PA-Détails'!A1953</f>
        <v>3.7.1.3 Actualisation des modules de formation d'apprentissage professionnel</v>
      </c>
      <c r="B61" s="168">
        <f>SUMIF('PA-Détails'!$A$1709:$A$2514,"=" &amp;$A61,'PA-Détails'!Z$1709:Z$2514)</f>
        <v>10</v>
      </c>
      <c r="C61" s="342">
        <f>SUMIF('PA-Détails'!$A$1709:$A$2514,"=" &amp;$A61,'PA-Détails'!AA$1709:AA$2514)</f>
        <v>0</v>
      </c>
    </row>
    <row r="62" spans="1:3" x14ac:dyDescent="0.2">
      <c r="A62" s="17" t="str">
        <f>'PA-Détails'!A1954</f>
        <v>3.7.2 Formation des éducateurs sociaux</v>
      </c>
      <c r="B62" s="157">
        <f>SUMIF('PA-Détails'!$A$1709:$A$2514,"=" &amp;$A62,'PA-Détails'!Z$1709:Z$2514)</f>
        <v>2178</v>
      </c>
      <c r="C62" s="341">
        <f>SUMIF('PA-Détails'!$A$1709:$A$2514,"=" &amp;$A62,'PA-Détails'!AA$1709:AA$2514)</f>
        <v>0</v>
      </c>
    </row>
    <row r="63" spans="1:3" x14ac:dyDescent="0.2">
      <c r="A63" s="20" t="str">
        <f>'PA-Détails'!A1955</f>
        <v xml:space="preserve">3.7.2.1 Formation des formateurs des éducateurs sociaux </v>
      </c>
      <c r="B63" s="168">
        <f>SUMIF('PA-Détails'!$A$1709:$A$2514,"=" &amp;$A63,'PA-Détails'!Z$1709:Z$2514)</f>
        <v>2178</v>
      </c>
      <c r="C63" s="342">
        <f>SUMIF('PA-Détails'!$A$1709:$A$2514,"=" &amp;$A63,'PA-Détails'!AA$1709:AA$2514)</f>
        <v>0</v>
      </c>
    </row>
    <row r="64" spans="1:3" x14ac:dyDescent="0.2">
      <c r="A64" s="14" t="str">
        <f>'PA-Détails'!A1961</f>
        <v>3.9. DGENF et structures déconcentrées : opérationnaliser les structures de supervision et de pilotage de l'AENF</v>
      </c>
      <c r="B64" s="217">
        <f>SUMIF('PA-Détails'!$A$1709:$A$2514,"=" &amp;$A64,'PA-Détails'!Z$1709:Z$2514)</f>
        <v>0</v>
      </c>
      <c r="C64" s="340">
        <f>C65+C67</f>
        <v>450.68</v>
      </c>
    </row>
    <row r="65" spans="1:3" x14ac:dyDescent="0.2">
      <c r="A65" s="17" t="str">
        <f>'PA-Détails'!A1962</f>
        <v>3.9.1 Structure et organigramme de la DGENF et des divisions provinciales</v>
      </c>
      <c r="B65" s="157">
        <f>SUMIF('PA-Détails'!$A$1709:$A$2514,"=" &amp;$A65,'PA-Détails'!Z$1709:Z$2514)</f>
        <v>0</v>
      </c>
      <c r="C65" s="341">
        <f>SUMIF('PA-Détails'!$A$1709:$A$2514,"=" &amp;$A65,'PA-Détails'!AA$1709:AA$2514)</f>
        <v>11.5</v>
      </c>
    </row>
    <row r="66" spans="1:3" x14ac:dyDescent="0.2">
      <c r="A66" s="20" t="str">
        <f>'PA-Détails'!A1963</f>
        <v>3.9.1.1 Étude sur la réorganisation de la DGENF</v>
      </c>
      <c r="B66" s="168">
        <f>SUMIF('PA-Détails'!$A$1709:$A$2514,"=" &amp;$A66,'PA-Détails'!Z$1709:Z$2514)</f>
        <v>0</v>
      </c>
      <c r="C66" s="342">
        <f>SUMIF('PA-Détails'!$A$1709:$A$2514,"=" &amp;$A66,'PA-Détails'!AA$1709:AA$2514)</f>
        <v>11.5</v>
      </c>
    </row>
    <row r="67" spans="1:3" x14ac:dyDescent="0.2">
      <c r="A67" s="17" t="str">
        <f>'PA-Détails'!A1964</f>
        <v>3.9.2 Moyens de la DGENF et des structures déconcentrées</v>
      </c>
      <c r="B67" s="157">
        <f>SUMIF('PA-Détails'!$A$1709:$A$2514,"=" &amp;$A67,'PA-Détails'!Z$1709:Z$2514)</f>
        <v>0</v>
      </c>
      <c r="C67" s="341">
        <f>SUMIF('PA-Détails'!$A$1709:$A$2514,"=" &amp;$A67,'PA-Détails'!AA$1709:AA$2514)</f>
        <v>439.18</v>
      </c>
    </row>
    <row r="68" spans="1:3" x14ac:dyDescent="0.2">
      <c r="A68" s="20" t="str">
        <f>'PA-Détails'!A1965</f>
        <v>3.9.2.1 Renforcement des capacités du personnel</v>
      </c>
      <c r="B68" s="168">
        <f>SUMIF('PA-Détails'!$A$1709:$A$2514,"=" &amp;$A68,'PA-Détails'!Z$1709:Z$2514)</f>
        <v>0</v>
      </c>
      <c r="C68" s="342">
        <f>SUMIF('PA-Détails'!$A$1709:$A$2514,"=" &amp;$A68,'PA-Détails'!AA$1709:AA$2514)</f>
        <v>153.18</v>
      </c>
    </row>
    <row r="69" spans="1:3" x14ac:dyDescent="0.2">
      <c r="A69" s="20" t="str">
        <f>'PA-Détails'!A1966</f>
        <v>3.9.2.2 Renforcement des moyen matériels</v>
      </c>
      <c r="B69" s="168">
        <f>SUMIF('PA-Détails'!$A$1709:$A$2514,"=" &amp;$A69,'PA-Détails'!Z$1709:Z$2514)</f>
        <v>0</v>
      </c>
      <c r="C69" s="342">
        <f>SUMIF('PA-Détails'!$A$1709:$A$2514,"=" &amp;$A69,'PA-Détails'!AA$1709:AA$2514)</f>
        <v>286</v>
      </c>
    </row>
    <row r="70" spans="1:3" x14ac:dyDescent="0.2">
      <c r="A70" s="14" t="str">
        <f>'PA-Détails'!A1970</f>
        <v>3.10 Supervision et inspection : assurer l'encadrement pédagogique des centres</v>
      </c>
      <c r="B70" s="217">
        <f>SUMIF('PA-Détails'!$A$1709:$A$2514,"=" &amp;$A70,'PA-Détails'!Z$1709:Z$2514)</f>
        <v>184.6</v>
      </c>
      <c r="C70" s="340">
        <f>SUMIF('PA-Détails'!$A$1709:$A$2514,"=" &amp;$A70,'PA-Détails'!AA$1709:AA$2514)</f>
        <v>0</v>
      </c>
    </row>
    <row r="71" spans="1:3" x14ac:dyDescent="0.2">
      <c r="A71" s="17" t="str">
        <f>'PA-Détails'!A1971</f>
        <v>3.10.1 Encadrement de proximité par les inspecteurs du primaire</v>
      </c>
      <c r="B71" s="157">
        <f>SUMIF('PA-Détails'!$A$1709:$A$2514,"=" &amp;$A71,'PA-Détails'!Z$1709:Z$2514)</f>
        <v>184.6</v>
      </c>
      <c r="C71" s="341">
        <f>SUMIF('PA-Détails'!$A$1709:$A$2514,"=" &amp;$A71,'PA-Détails'!AA$1709:AA$2514)</f>
        <v>0</v>
      </c>
    </row>
    <row r="72" spans="1:3" x14ac:dyDescent="0.2">
      <c r="A72" s="20" t="str">
        <f>'PA-Détails'!A1972</f>
        <v>3.10.1.1 Formation spécifique destinée aux inspecteurs</v>
      </c>
      <c r="B72" s="168">
        <f>SUMIF('PA-Détails'!$A$1709:$A$2514,"=" &amp;$A72,'PA-Détails'!Z$1709:Z$2514)</f>
        <v>28.6</v>
      </c>
      <c r="C72" s="342">
        <f>SUMIF('PA-Détails'!$A$1709:$A$2514,"=" &amp;$A72,'PA-Détails'!AA$1709:AA$2514)</f>
        <v>0</v>
      </c>
    </row>
    <row r="73" spans="1:3" x14ac:dyDescent="0.2">
      <c r="A73" s="20" t="str">
        <f>'PA-Détails'!A1973</f>
        <v>3.10.1.2 Assurer l'encadrement pédagogique et administratif des centres</v>
      </c>
      <c r="B73" s="168">
        <f>SUMIF('PA-Détails'!$A$1709:$A$2514,"=" &amp;$A73,'PA-Détails'!Z$1709:Z$2514)</f>
        <v>156</v>
      </c>
      <c r="C73" s="342">
        <f>SUMIF('PA-Détails'!$A$1709:$A$2514,"=" &amp;$A73,'PA-Détails'!AA$1709:AA$2514)</f>
        <v>0</v>
      </c>
    </row>
    <row r="74" spans="1:3" x14ac:dyDescent="0.2">
      <c r="A74" s="11" t="str">
        <f>'PA-Détails'!A1980</f>
        <v>4. Enseignement du premier cycle secondaire : développer l'accès au premier cycle et préparer l'éducation de base de 8 ans</v>
      </c>
      <c r="B74" s="339">
        <f>SUMIF('PA-Détails'!$A$1709:$A$2514,"=" &amp;$A74,'PA-Détails'!Z$1709:Z$2514)</f>
        <v>0</v>
      </c>
      <c r="C74" s="549">
        <f>SUMIF('PA-Détails'!$A$1709:$A$2514,"=" &amp;$A74,'PA-Détails'!AA$1709:AA$2514)</f>
        <v>0</v>
      </c>
    </row>
    <row r="75" spans="1:3" x14ac:dyDescent="0.2">
      <c r="A75" s="14" t="str">
        <f>'PA-Détails'!A2022</f>
        <v>4.6 Formation des enseignants : former les enseignants</v>
      </c>
      <c r="B75" s="217">
        <f>SUMIF('PA-Détails'!$A$1709:$A$2514,"=" &amp;$A75,'PA-Détails'!Z$1709:Z$2514)</f>
        <v>9872.5</v>
      </c>
      <c r="C75" s="340">
        <f>SUMIF('PA-Détails'!$A$1709:$A$2514,"=" &amp;$A75,'PA-Détails'!AA$1709:AA$2514)</f>
        <v>0</v>
      </c>
    </row>
    <row r="76" spans="1:3" x14ac:dyDescent="0.2">
      <c r="A76" s="17" t="str">
        <f>'PA-Détails'!A2023</f>
        <v>4.6.1 Formation continue des enseignants</v>
      </c>
      <c r="B76" s="157">
        <f>SUMIF('PA-Détails'!$A$1709:$A$2514,"=" &amp;$A76,'PA-Détails'!Z$1709:Z$2514)</f>
        <v>9872.5</v>
      </c>
      <c r="C76" s="341">
        <f>SUMIF('PA-Détails'!$A$1709:$A$2514,"=" &amp;$A76,'PA-Détails'!AA$1709:AA$2514)</f>
        <v>0</v>
      </c>
    </row>
    <row r="77" spans="1:3" x14ac:dyDescent="0.2">
      <c r="A77" s="20" t="str">
        <f>'PA-Détails'!A2024</f>
        <v>4.6.1.1 Développer et actualiser les modules de formation</v>
      </c>
      <c r="B77" s="168">
        <f>SUMIF('PA-Détails'!$A$1709:$A$2514,"=" &amp;$A77,'PA-Détails'!Z$1709:Z$2514)</f>
        <v>8.5</v>
      </c>
      <c r="C77" s="342">
        <f>SUMIF('PA-Détails'!$A$1709:$A$2514,"=" &amp;$A77,'PA-Détails'!AA$1709:AA$2514)</f>
        <v>0</v>
      </c>
    </row>
    <row r="78" spans="1:3" x14ac:dyDescent="0.2">
      <c r="A78" s="20" t="str">
        <f>'PA-Détails'!A2025</f>
        <v>4.6.1.2 Mettre en place le plan de formation</v>
      </c>
      <c r="B78" s="168">
        <f>SUMIF('PA-Détails'!$A$1709:$A$2514,"=" &amp;$A78,'PA-Détails'!Z$1709:Z$2514)</f>
        <v>9864</v>
      </c>
      <c r="C78" s="342">
        <f>SUMIF('PA-Détails'!$A$1709:$A$2514,"=" &amp;$A78,'PA-Détails'!AA$1709:AA$2514)</f>
        <v>0</v>
      </c>
    </row>
    <row r="79" spans="1:3" x14ac:dyDescent="0.2">
      <c r="A79" s="14" t="str">
        <f>'PA-Détails'!A2026</f>
        <v>4.7 Supervision des structures et des enseignants : assurer l'encadrement pédagogique et administratif des écoles</v>
      </c>
      <c r="B79" s="217">
        <f>SUMIF('PA-Détails'!$A$1709:$A$2514,"=" &amp;$A79,'PA-Détails'!Z$1709:Z$2514)</f>
        <v>15341</v>
      </c>
      <c r="C79" s="340">
        <f>SUMIF('PA-Détails'!$A$1709:$A$2514,"=" &amp;$A79,'PA-Détails'!AA$1709:AA$2514)</f>
        <v>0</v>
      </c>
    </row>
    <row r="80" spans="1:3" x14ac:dyDescent="0.2">
      <c r="A80" s="17" t="str">
        <f>'PA-Détails'!A2027</f>
        <v>4.7.1 Moyens de déplacement des inspecteurs</v>
      </c>
      <c r="B80" s="157">
        <f>SUMIF('PA-Détails'!$A$1709:$A$2514,"=" &amp;$A80,'PA-Détails'!Z$1709:Z$2514)</f>
        <v>5760</v>
      </c>
      <c r="C80" s="341">
        <f>SUMIF('PA-Détails'!$A$1709:$A$2514,"=" &amp;$A80,'PA-Détails'!AA$1709:AA$2514)</f>
        <v>0</v>
      </c>
    </row>
    <row r="81" spans="1:3" x14ac:dyDescent="0.2">
      <c r="A81" s="20" t="str">
        <f>'PA-Détails'!A2028</f>
        <v>4.7.1.1 Renforcement des moyen des déplacements</v>
      </c>
      <c r="B81" s="168">
        <f>SUMIF('PA-Détails'!$A$1709:$A$2514,"=" &amp;$A81,'PA-Détails'!Z$1709:Z$2514)</f>
        <v>5760</v>
      </c>
      <c r="C81" s="342">
        <f>SUMIF('PA-Détails'!$A$1709:$A$2514,"=" &amp;$A81,'PA-Détails'!AA$1709:AA$2514)</f>
        <v>0</v>
      </c>
    </row>
    <row r="82" spans="1:3" x14ac:dyDescent="0.2">
      <c r="A82" s="17" t="str">
        <f>'PA-Détails'!A2029</f>
        <v>4.7.2 Primes d'itinérance</v>
      </c>
      <c r="B82" s="157">
        <f>SUMIF('PA-Détails'!$A$1709:$A$2514,"=" &amp;$A82,'PA-Détails'!Z$1709:Z$2514)</f>
        <v>6300</v>
      </c>
      <c r="C82" s="341">
        <f>SUMIF('PA-Détails'!$A$1709:$A$2514,"=" &amp;$A82,'PA-Détails'!AA$1709:AA$2514)</f>
        <v>0</v>
      </c>
    </row>
    <row r="83" spans="1:3" x14ac:dyDescent="0.2">
      <c r="A83" s="20" t="str">
        <f>'PA-Détails'!A2030</f>
        <v>4.7.2.1 Assurer l'encadrement pédagogique et administratifs des écoles</v>
      </c>
      <c r="B83" s="168">
        <f>SUMIF('PA-Détails'!$A$1709:$A$2514,"=" &amp;$A83,'PA-Détails'!Z$1709:Z$2514)</f>
        <v>6300</v>
      </c>
      <c r="C83" s="342">
        <f>SUMIF('PA-Détails'!$A$1709:$A$2514,"=" &amp;$A83,'PA-Détails'!AA$1709:AA$2514)</f>
        <v>0</v>
      </c>
    </row>
    <row r="84" spans="1:3" x14ac:dyDescent="0.2">
      <c r="A84" s="17" t="str">
        <f>'PA-Détails'!A2031</f>
        <v>4.7.3 Moyens informatiques</v>
      </c>
      <c r="B84" s="157">
        <f>SUMIF('PA-Détails'!$A$1709:$A$2514,"=" &amp;$A84,'PA-Détails'!Z$1709:Z$2514)</f>
        <v>3281</v>
      </c>
      <c r="C84" s="341">
        <f>SUMIF('PA-Détails'!$A$1709:$A$2514,"=" &amp;$A84,'PA-Détails'!AA$1709:AA$2514)</f>
        <v>0</v>
      </c>
    </row>
    <row r="85" spans="1:3" x14ac:dyDescent="0.2">
      <c r="A85" s="20" t="str">
        <f>'PA-Détails'!A2032</f>
        <v>4.7.3.1 Équipement informatique et de communication</v>
      </c>
      <c r="B85" s="168">
        <f>SUMIF('PA-Détails'!$A$1709:$A$2514,"=" &amp;$A85,'PA-Détails'!Z$1709:Z$2514)</f>
        <v>3281</v>
      </c>
      <c r="C85" s="342">
        <f>SUMIF('PA-Détails'!$A$1709:$A$2514,"=" &amp;$A85,'PA-Détails'!AA$1709:AA$2514)</f>
        <v>0</v>
      </c>
    </row>
    <row r="86" spans="1:3" x14ac:dyDescent="0.2">
      <c r="A86" s="11" t="str">
        <f>'PA-Détails'!A2033</f>
        <v>5. Enseignement du second cycle secondaire : maitriser et diversifier l'accès et préparer les élèves aux études supérieures</v>
      </c>
      <c r="B86" s="339">
        <f>B87+B91+B106</f>
        <v>52069</v>
      </c>
      <c r="C86" s="549">
        <f>SUMIF('PA-Détails'!$A$1709:$A$2514,"=" &amp;$A86,'PA-Détails'!AA$1709:AA$2514)</f>
        <v>0</v>
      </c>
    </row>
    <row r="87" spans="1:3" x14ac:dyDescent="0.2">
      <c r="A87" s="14" t="str">
        <f>'PA-Détails'!A2072</f>
        <v>5.7 Formation continue des enseignants : former les enseignants</v>
      </c>
      <c r="B87" s="217">
        <f>SUMIF('PA-Détails'!$A$1709:$A$2514,"=" &amp;$A87,'PA-Détails'!Z$1709:Z$2514)</f>
        <v>25025.5</v>
      </c>
      <c r="C87" s="340">
        <f>SUMIF('PA-Détails'!$A$1709:$A$2514,"=" &amp;$A87,'PA-Détails'!AA$1709:AA$2514)</f>
        <v>0</v>
      </c>
    </row>
    <row r="88" spans="1:3" x14ac:dyDescent="0.2">
      <c r="A88" s="17" t="str">
        <f>'PA-Détails'!A2073</f>
        <v>5.7.1 Développer et assurer la formation continue des enseignants</v>
      </c>
      <c r="B88" s="157">
        <f>SUMIF('PA-Détails'!$A$1709:$A$2514,"=" &amp;$A88,'PA-Détails'!Z$1709:Z$2514)</f>
        <v>25025.5</v>
      </c>
      <c r="C88" s="341">
        <f>SUMIF('PA-Détails'!$A$1709:$A$2514,"=" &amp;$A88,'PA-Détails'!AA$1709:AA$2514)</f>
        <v>0</v>
      </c>
    </row>
    <row r="89" spans="1:3" x14ac:dyDescent="0.2">
      <c r="A89" s="20" t="str">
        <f>'PA-Détails'!A2074</f>
        <v>5.7.1.1 Développer et actualiser les modules de formation</v>
      </c>
      <c r="B89" s="168">
        <f>SUMIF('PA-Détails'!$A$1709:$A$2514,"=" &amp;$A89,'PA-Détails'!Z$1709:Z$2514)</f>
        <v>58</v>
      </c>
      <c r="C89" s="342">
        <f>SUMIF('PA-Détails'!$A$1709:$A$2514,"=" &amp;$A89,'PA-Détails'!AA$1709:AA$2514)</f>
        <v>0</v>
      </c>
    </row>
    <row r="90" spans="1:3" x14ac:dyDescent="0.2">
      <c r="A90" s="20" t="str">
        <f>'PA-Détails'!A2075</f>
        <v>5.7.1.2 Mettre en place le plan de formation</v>
      </c>
      <c r="B90" s="168">
        <f>SUMIF('PA-Détails'!$A$1709:$A$2514,"=" &amp;$A90,'PA-Détails'!Z$1709:Z$2514)</f>
        <v>24967.5</v>
      </c>
      <c r="C90" s="342">
        <f>SUMIF('PA-Détails'!$A$1709:$A$2514,"=" &amp;$A90,'PA-Détails'!AA$1709:AA$2514)</f>
        <v>0</v>
      </c>
    </row>
    <row r="91" spans="1:3" x14ac:dyDescent="0.2">
      <c r="A91" s="14" t="str">
        <f>'PA-Détails'!A2076</f>
        <v>5.8 Formation initiale des enseignants du secondaire : Professionnaliser les filières de formation</v>
      </c>
      <c r="B91" s="217">
        <f>SUMIF('PA-Détails'!$A$1709:$A$2514,"=" &amp;$A91,'PA-Détails'!Z$1709:Z$2514)</f>
        <v>13233.5</v>
      </c>
      <c r="C91" s="340">
        <f>SUMIF('PA-Détails'!$A$1709:$A$2514,"=" &amp;$A91,'PA-Détails'!AA$1709:AA$2514)</f>
        <v>0</v>
      </c>
    </row>
    <row r="92" spans="1:3" x14ac:dyDescent="0.2">
      <c r="A92" s="17" t="str">
        <f>'PA-Détails'!A2077</f>
        <v>5.8.1 Spécialisation des institutions</v>
      </c>
      <c r="B92" s="157">
        <f>SUMIF('PA-Détails'!$A$1709:$A$2514,"=" &amp;$A92,'PA-Détails'!Z$1709:Z$2514)</f>
        <v>42</v>
      </c>
      <c r="C92" s="341">
        <f>SUMIF('PA-Détails'!$A$1709:$A$2514,"=" &amp;$A92,'PA-Détails'!AA$1709:AA$2514)</f>
        <v>0</v>
      </c>
    </row>
    <row r="93" spans="1:3" x14ac:dyDescent="0.2">
      <c r="A93" s="20" t="str">
        <f>'PA-Détails'!A2078</f>
        <v>5.8.1.1 Étude sur la spécialisation des institutions</v>
      </c>
      <c r="B93" s="168">
        <f>SUMIF('PA-Détails'!$A$1709:$A$2514,"=" &amp;$A93,'PA-Détails'!Z$1709:Z$2514)</f>
        <v>42</v>
      </c>
      <c r="C93" s="342">
        <f>SUMIF('PA-Détails'!$A$1709:$A$2514,"=" &amp;$A93,'PA-Détails'!AA$1709:AA$2514)</f>
        <v>0</v>
      </c>
    </row>
    <row r="94" spans="1:3" x14ac:dyDescent="0.2">
      <c r="A94" s="17" t="str">
        <f>'PA-Détails'!A2079</f>
        <v>5.8.2 Réforme des ISP/ISPT/UPN</v>
      </c>
      <c r="B94" s="157">
        <f>SUMIF('PA-Détails'!$A$1709:$A$2514,"=" &amp;$A94,'PA-Détails'!Z$1709:Z$2514)</f>
        <v>42</v>
      </c>
      <c r="C94" s="341">
        <f>SUMIF('PA-Détails'!$A$1709:$A$2514,"=" &amp;$A94,'PA-Détails'!AA$1709:AA$2514)</f>
        <v>0</v>
      </c>
    </row>
    <row r="95" spans="1:3" x14ac:dyDescent="0.2">
      <c r="A95" s="20" t="str">
        <f>'PA-Détails'!A2080</f>
        <v>5.8.2.1 Étude sur la réforme structurelle des ISP/ISPT/UPN</v>
      </c>
      <c r="B95" s="168">
        <f>SUMIF('PA-Détails'!$A$1709:$A$2514,"=" &amp;$A95,'PA-Détails'!Z$1709:Z$2514)</f>
        <v>42</v>
      </c>
      <c r="C95" s="342">
        <f>SUMIF('PA-Détails'!$A$1709:$A$2514,"=" &amp;$A95,'PA-Détails'!AA$1709:AA$2514)</f>
        <v>0</v>
      </c>
    </row>
    <row r="96" spans="1:3" x14ac:dyDescent="0.2">
      <c r="A96" s="17" t="str">
        <f>'PA-Détails'!A2081</f>
        <v>5.8.3 Révision des curricula de formation</v>
      </c>
      <c r="B96" s="157">
        <f>SUMIF('PA-Détails'!$A$1709:$A$2514,"=" &amp;$A96,'PA-Détails'!Z$1709:Z$2514)</f>
        <v>13085.5</v>
      </c>
      <c r="C96" s="341">
        <f>SUMIF('PA-Détails'!$A$1709:$A$2514,"=" &amp;$A96,'PA-Détails'!AA$1709:AA$2514)</f>
        <v>0</v>
      </c>
    </row>
    <row r="97" spans="1:3" x14ac:dyDescent="0.2">
      <c r="A97" s="20" t="str">
        <f>'PA-Détails'!A2082</f>
        <v>5.8.3.1 Actualisation du référentiel de compétences des enseignants réalisé en 2013</v>
      </c>
      <c r="B97" s="168">
        <f>SUMIF('PA-Détails'!$A$1709:$A$2514,"=" &amp;$A97,'PA-Détails'!Z$1709:Z$2514)</f>
        <v>9.5</v>
      </c>
      <c r="C97" s="342">
        <f>SUMIF('PA-Détails'!$A$1709:$A$2514,"=" &amp;$A97,'PA-Détails'!AA$1709:AA$2514)</f>
        <v>0</v>
      </c>
    </row>
    <row r="98" spans="1:3" x14ac:dyDescent="0.2">
      <c r="A98" s="20" t="str">
        <f>'PA-Détails'!A2083</f>
        <v>5.8.3.2 Révision du curriculum de formation des enseignants</v>
      </c>
      <c r="B98" s="168">
        <f>SUMIF('PA-Détails'!$A$1709:$A$2514,"=" &amp;$A98,'PA-Détails'!Z$1709:Z$2514)</f>
        <v>76</v>
      </c>
      <c r="C98" s="342">
        <f>SUMIF('PA-Détails'!$A$1709:$A$2514,"=" &amp;$A98,'PA-Détails'!AA$1709:AA$2514)</f>
        <v>0</v>
      </c>
    </row>
    <row r="99" spans="1:3" x14ac:dyDescent="0.2">
      <c r="A99" s="20" t="str">
        <f>'PA-Détails'!A2084</f>
        <v>5.8.3.3 Équipement en matériel de laboratoire, ateliers et matériels didactiques des ISP/ISPT/UPN</v>
      </c>
      <c r="B99" s="168">
        <f>SUMIF('PA-Détails'!$A$1709:$A$2514,"=" &amp;$A99,'PA-Détails'!Z$1709:Z$2514)</f>
        <v>13000</v>
      </c>
      <c r="C99" s="342">
        <f>SUMIF('PA-Détails'!$A$1709:$A$2514,"=" &amp;$A99,'PA-Détails'!AA$1709:AA$2514)</f>
        <v>0</v>
      </c>
    </row>
    <row r="100" spans="1:3" x14ac:dyDescent="0.2">
      <c r="A100" s="17" t="str">
        <f>'PA-Détails'!A2085</f>
        <v>5.8.4 Organisation de périodes de stage</v>
      </c>
      <c r="B100" s="157">
        <f>SUMIF('PA-Détails'!$A$1709:$A$2514,"=" &amp;$A100,'PA-Détails'!Z$1709:Z$2514)</f>
        <v>4.5</v>
      </c>
      <c r="C100" s="341">
        <f>SUMIF('PA-Détails'!$A$1709:$A$2514,"=" &amp;$A100,'PA-Détails'!AA$1709:AA$2514)</f>
        <v>0</v>
      </c>
    </row>
    <row r="101" spans="1:3" x14ac:dyDescent="0.2">
      <c r="A101" s="20" t="str">
        <f>'PA-Détails'!A2086</f>
        <v>5.8.4.1 Validation du guide de stage élaboré en 2015</v>
      </c>
      <c r="B101" s="168">
        <f>SUMIF('PA-Détails'!$A$1709:$A$2514,"=" &amp;$A101,'PA-Détails'!Z$1709:Z$2514)</f>
        <v>0</v>
      </c>
      <c r="C101" s="342">
        <f>SUMIF('PA-Détails'!$A$1709:$A$2514,"=" &amp;$A101,'PA-Détails'!AA$1709:AA$2514)</f>
        <v>0</v>
      </c>
    </row>
    <row r="102" spans="1:3" x14ac:dyDescent="0.2">
      <c r="A102" s="20" t="str">
        <f>'PA-Détails'!A2087</f>
        <v>5.8.4.2 Élaboration d'un cadre de suivi des stages des enseignants en formation</v>
      </c>
      <c r="B102" s="168">
        <f>SUMIF('PA-Détails'!$A$1709:$A$2514,"=" &amp;$A102,'PA-Détails'!Z$1709:Z$2514)</f>
        <v>4.5</v>
      </c>
      <c r="C102" s="342">
        <f>SUMIF('PA-Détails'!$A$1709:$A$2514,"=" &amp;$A102,'PA-Détails'!AA$1709:AA$2514)</f>
        <v>0</v>
      </c>
    </row>
    <row r="103" spans="1:3" x14ac:dyDescent="0.2">
      <c r="A103" s="17" t="str">
        <f>'PA-Détails'!A2088</f>
        <v>5.8.5 Coordination entre le MEPSINC, MESU, METP et MAS</v>
      </c>
      <c r="B103" s="157">
        <f>SUMIF('PA-Détails'!$A$1709:$A$2514,"=" &amp;$A103,'PA-Détails'!Z$1709:Z$2514)</f>
        <v>59.5</v>
      </c>
      <c r="C103" s="341">
        <f>SUMIF('PA-Détails'!$A$1709:$A$2514,"=" &amp;$A103,'PA-Détails'!AA$1709:AA$2514)</f>
        <v>0</v>
      </c>
    </row>
    <row r="104" spans="1:3" x14ac:dyDescent="0.2">
      <c r="A104" s="20" t="str">
        <f>'PA-Détails'!A2089</f>
        <v xml:space="preserve">5.8.5.1 Définition d'un cadre de coordination des 4 ministères </v>
      </c>
      <c r="B104" s="168">
        <f>SUMIF('PA-Détails'!$A$1709:$A$2514,"=" &amp;$A104,'PA-Détails'!Z$1709:Z$2514)</f>
        <v>9.5</v>
      </c>
      <c r="C104" s="342">
        <f>SUMIF('PA-Détails'!$A$1709:$A$2514,"=" &amp;$A104,'PA-Détails'!AA$1709:AA$2514)</f>
        <v>0</v>
      </c>
    </row>
    <row r="105" spans="1:3" x14ac:dyDescent="0.2">
      <c r="A105" s="20" t="str">
        <f>'PA-Détails'!A2090</f>
        <v>5.8.5.2 Mise en place et fonctionnement du cadre de coordination</v>
      </c>
      <c r="B105" s="168">
        <f>SUMIF('PA-Détails'!$A$1709:$A$2514,"=" &amp;$A105,'PA-Détails'!Z$1709:Z$2514)</f>
        <v>50</v>
      </c>
      <c r="C105" s="342">
        <f>SUMIF('PA-Détails'!$A$1709:$A$2514,"=" &amp;$A105,'PA-Détails'!AA$1709:AA$2514)</f>
        <v>0</v>
      </c>
    </row>
    <row r="106" spans="1:3" x14ac:dyDescent="0.2">
      <c r="A106" s="14" t="str">
        <f>'PA-Détails'!A2091</f>
        <v>5.9 Supervision des structures et des enseignants : assurer l'encadrement pédagogique et administratif des écoles</v>
      </c>
      <c r="B106" s="217">
        <f>SUMIF('PA-Détails'!$A$1709:$A$2514,"=" &amp;$A106,'PA-Détails'!Z$1709:Z$2514)</f>
        <v>13810</v>
      </c>
      <c r="C106" s="340">
        <f>SUMIF('PA-Détails'!$A$1709:$A$2514,"=" &amp;$A106,'PA-Détails'!AA$1709:AA$2514)</f>
        <v>0</v>
      </c>
    </row>
    <row r="107" spans="1:3" x14ac:dyDescent="0.2">
      <c r="A107" s="17" t="str">
        <f>'PA-Détails'!A2092</f>
        <v>5.9.1 Moyens de déplacement des inspecteurs</v>
      </c>
      <c r="B107" s="157">
        <f>SUMIF('PA-Détails'!$A$1709:$A$2514,"=" &amp;$A107,'PA-Détails'!Z$1709:Z$2514)</f>
        <v>5760</v>
      </c>
      <c r="C107" s="341">
        <f>SUMIF('PA-Détails'!$A$1709:$A$2514,"=" &amp;$A107,'PA-Détails'!AA$1709:AA$2514)</f>
        <v>0</v>
      </c>
    </row>
    <row r="108" spans="1:3" x14ac:dyDescent="0.2">
      <c r="A108" s="20" t="str">
        <f>'PA-Détails'!A2093</f>
        <v>5.9.1.1 Renforcement des moyen des déplacements</v>
      </c>
      <c r="B108" s="168">
        <f>SUMIF('PA-Détails'!$A$1709:$A$2514,"=" &amp;$A108,'PA-Détails'!Z$1709:Z$2514)</f>
        <v>5760</v>
      </c>
      <c r="C108" s="342">
        <f>SUMIF('PA-Détails'!$A$1709:$A$2514,"=" &amp;$A108,'PA-Détails'!AA$1709:AA$2514)</f>
        <v>0</v>
      </c>
    </row>
    <row r="109" spans="1:3" x14ac:dyDescent="0.2">
      <c r="A109" s="17" t="str">
        <f>'PA-Détails'!A2094</f>
        <v>5.9.2 Primes d'itinérance</v>
      </c>
      <c r="B109" s="157">
        <f>SUMIF('PA-Détails'!$A$1709:$A$2514,"=" &amp;$A109,'PA-Détails'!Z$1709:Z$2514)</f>
        <v>6300</v>
      </c>
      <c r="C109" s="341">
        <f>SUMIF('PA-Détails'!$A$1709:$A$2514,"=" &amp;$A109,'PA-Détails'!AA$1709:AA$2514)</f>
        <v>0</v>
      </c>
    </row>
    <row r="110" spans="1:3" x14ac:dyDescent="0.2">
      <c r="A110" s="20" t="str">
        <f>'PA-Détails'!A2095</f>
        <v>5.9.2.1 Assurer l'encadrement pédagogique et administratifs des écoles</v>
      </c>
      <c r="B110" s="168">
        <f>SUMIF('PA-Détails'!$A$1709:$A$2514,"=" &amp;$A110,'PA-Détails'!Z$1709:Z$2514)</f>
        <v>6300</v>
      </c>
      <c r="C110" s="342">
        <f>SUMIF('PA-Détails'!$A$1709:$A$2514,"=" &amp;$A110,'PA-Détails'!AA$1709:AA$2514)</f>
        <v>0</v>
      </c>
    </row>
    <row r="111" spans="1:3" x14ac:dyDescent="0.2">
      <c r="A111" s="17" t="str">
        <f>'PA-Détails'!A2096</f>
        <v>5.9.3 Moyens informatiques</v>
      </c>
      <c r="B111" s="157">
        <f>SUMIF('PA-Détails'!$A$1709:$A$2514,"=" &amp;$A111,'PA-Détails'!Z$1709:Z$2514)</f>
        <v>1750</v>
      </c>
      <c r="C111" s="341">
        <f>SUMIF('PA-Détails'!$A$1709:$A$2514,"=" &amp;$A111,'PA-Détails'!AA$1709:AA$2514)</f>
        <v>0</v>
      </c>
    </row>
    <row r="112" spans="1:3" x14ac:dyDescent="0.2">
      <c r="A112" s="20" t="str">
        <f>'PA-Détails'!A2097</f>
        <v>5.9.3.1 Équipement des inspecteurs en ordinateurs portables</v>
      </c>
      <c r="B112" s="168">
        <f>SUMIF('PA-Détails'!$A$1709:$A$2514,"=" &amp;$A112,'PA-Détails'!Z$1709:Z$2514)</f>
        <v>1750</v>
      </c>
      <c r="C112" s="342">
        <f>SUMIF('PA-Détails'!$A$1709:$A$2514,"=" &amp;$A112,'PA-Détails'!AA$1709:AA$2514)</f>
        <v>0</v>
      </c>
    </row>
    <row r="113" spans="1:3" x14ac:dyDescent="0.2">
      <c r="A113" s="11" t="str">
        <f>'PA-Détails'!A2103</f>
        <v>6. Enseignement technique et formation professionnelle : apporter les qualifications nécessaires à l'économie nationale</v>
      </c>
      <c r="B113" s="339">
        <f>B114+B121</f>
        <v>38054.25</v>
      </c>
      <c r="C113" s="549">
        <f>C114+C121</f>
        <v>0</v>
      </c>
    </row>
    <row r="114" spans="1:3" x14ac:dyDescent="0.2">
      <c r="A114" s="14" t="str">
        <f>'PA-Détails'!A2156</f>
        <v>6.6 Formation et rémunération des enseignants : Former les enseignants et assurer leur rémunération</v>
      </c>
      <c r="B114" s="217">
        <f>B115+B118</f>
        <v>36253.85</v>
      </c>
      <c r="C114" s="340">
        <f>SUMIF('PA-Détails'!$A$1709:$A$2514,"=" &amp;$A114,'PA-Détails'!AA$1709:AA$2514)</f>
        <v>0</v>
      </c>
    </row>
    <row r="115" spans="1:3" x14ac:dyDescent="0.2">
      <c r="A115" s="17" t="str">
        <f>'PA-Détails'!A2157</f>
        <v>6.6.1 Création d'un centre national d'ingénierie de la formation</v>
      </c>
      <c r="B115" s="157">
        <f>SUMIF('PA-Détails'!$A$1709:$A$2514,"=" &amp;$A115,'PA-Détails'!Z$1709:Z$2514)</f>
        <v>2867.5</v>
      </c>
      <c r="C115" s="341">
        <f>SUMIF('PA-Détails'!$A$1709:$A$2514,"=" &amp;$A115,'PA-Détails'!AA$1709:AA$2514)</f>
        <v>0</v>
      </c>
    </row>
    <row r="116" spans="1:3" x14ac:dyDescent="0.2">
      <c r="A116" s="20" t="str">
        <f>'PA-Détails'!A2158</f>
        <v xml:space="preserve">6.6.1.1 Étude de faisabilité du national d'ingénierie de la formation </v>
      </c>
      <c r="B116" s="168">
        <f>SUMIF('PA-Détails'!$A$1709:$A$2514,"=" &amp;$A116,'PA-Détails'!Z$1709:Z$2514)</f>
        <v>77.5</v>
      </c>
      <c r="C116" s="342">
        <f>SUMIF('PA-Détails'!$A$1709:$A$2514,"=" &amp;$A116,'PA-Détails'!AA$1709:AA$2514)</f>
        <v>0</v>
      </c>
    </row>
    <row r="117" spans="1:3" x14ac:dyDescent="0.2">
      <c r="A117" s="20" t="str">
        <f>'PA-Détails'!A2159</f>
        <v>6.6.1.2 Construction et équipement du CNIF</v>
      </c>
      <c r="B117" s="168">
        <f>SUMIF('PA-Détails'!$A$1709:$A$2514,"=" &amp;$A117,'PA-Détails'!Z$1709:Z$2514)</f>
        <v>2790</v>
      </c>
      <c r="C117" s="342">
        <f>SUMIF('PA-Détails'!$A$1709:$A$2514,"=" &amp;$A117,'PA-Détails'!AA$1709:AA$2514)</f>
        <v>0</v>
      </c>
    </row>
    <row r="118" spans="1:3" x14ac:dyDescent="0.2">
      <c r="A118" s="17" t="str">
        <f>'PA-Détails'!A2160</f>
        <v>6.6.2 Formation des enseignants</v>
      </c>
      <c r="B118" s="157">
        <f>SUMIF('PA-Détails'!$A$1709:$A$2514,"=" &amp;$A118,'PA-Détails'!Z$1709:Z$2514)</f>
        <v>33386.35</v>
      </c>
      <c r="C118" s="341">
        <f>SUMIF('PA-Détails'!$A$1709:$A$2514,"=" &amp;$A118,'PA-Détails'!AA$1709:AA$2514)</f>
        <v>0</v>
      </c>
    </row>
    <row r="119" spans="1:3" x14ac:dyDescent="0.2">
      <c r="A119" s="20" t="str">
        <f>'PA-Détails'!A2161</f>
        <v>6.6.2.1 Développer et actualiser les modules de formation</v>
      </c>
      <c r="B119" s="168">
        <f>SUMIF('PA-Détails'!$A$1709:$A$2514,"=" &amp;$A119,'PA-Détails'!Z$1709:Z$2514)</f>
        <v>8.5</v>
      </c>
      <c r="C119" s="342">
        <f>SUMIF('PA-Détails'!$A$1709:$A$2514,"=" &amp;$A119,'PA-Détails'!AA$1709:AA$2514)</f>
        <v>0</v>
      </c>
    </row>
    <row r="120" spans="1:3" x14ac:dyDescent="0.2">
      <c r="A120" s="20" t="str">
        <f>'PA-Détails'!A2162</f>
        <v>6.6.2.2 Mettre en place le plan de formation</v>
      </c>
      <c r="B120" s="168">
        <f>SUMIF('PA-Détails'!$A$1709:$A$2514,"=" &amp;$A120,'PA-Détails'!Z$1709:Z$2514)</f>
        <v>33377.85</v>
      </c>
      <c r="C120" s="342">
        <f>SUMIF('PA-Détails'!$A$1709:$A$2514,"=" &amp;$A120,'PA-Détails'!AA$1709:AA$2514)</f>
        <v>0</v>
      </c>
    </row>
    <row r="121" spans="1:3" x14ac:dyDescent="0.2">
      <c r="A121" s="14" t="str">
        <f>'PA-Détails'!A2165</f>
        <v>6.7 Supervision des structures et des enseignants : assurer l'encadrement pédagogique et administratif des écoles</v>
      </c>
      <c r="B121" s="217">
        <f>B122+B124+B126</f>
        <v>1800.4</v>
      </c>
      <c r="C121" s="340">
        <f>C122+C124+C126</f>
        <v>0</v>
      </c>
    </row>
    <row r="122" spans="1:3" x14ac:dyDescent="0.2">
      <c r="A122" s="17" t="str">
        <f>'PA-Détails'!A2166</f>
        <v>6.7.1 Moyens de déplacement des inspecteurs</v>
      </c>
      <c r="B122" s="157">
        <f>SUMIF('PA-Détails'!$A$1709:$A$2514,"=" &amp;$A122,'PA-Détails'!Z$1709:Z$2514)</f>
        <v>747</v>
      </c>
      <c r="C122" s="341">
        <f>SUMIF('PA-Détails'!$A$1709:$A$2514,"=" &amp;$A122,'PA-Détails'!AA$1709:AA$2514)</f>
        <v>0</v>
      </c>
    </row>
    <row r="123" spans="1:3" x14ac:dyDescent="0.2">
      <c r="A123" s="20" t="str">
        <f>'PA-Détails'!A2167</f>
        <v>6.7.1.1 Renforcement des moyen des déplacements</v>
      </c>
      <c r="B123" s="168">
        <f>SUMIF('PA-Détails'!$A$1709:$A$2514,"=" &amp;$A123,'PA-Détails'!Z$1709:Z$2514)</f>
        <v>747</v>
      </c>
      <c r="C123" s="342">
        <f>SUMIF('PA-Détails'!$A$1709:$A$2514,"=" &amp;$A123,'PA-Détails'!AA$1709:AA$2514)</f>
        <v>0</v>
      </c>
    </row>
    <row r="124" spans="1:3" x14ac:dyDescent="0.2">
      <c r="A124" s="17" t="str">
        <f>'PA-Détails'!A2168</f>
        <v>6.7.2 Primes d'itinérance</v>
      </c>
      <c r="B124" s="157">
        <f>SUMIF('PA-Détails'!$A$1709:$A$2514,"=" &amp;$A124,'PA-Détails'!Z$1709:Z$2514)</f>
        <v>824.4</v>
      </c>
      <c r="C124" s="341">
        <f>SUMIF('PA-Détails'!$A$1709:$A$2514,"=" &amp;$A124,'PA-Détails'!AA$1709:AA$2514)</f>
        <v>0</v>
      </c>
    </row>
    <row r="125" spans="1:3" x14ac:dyDescent="0.2">
      <c r="A125" s="20" t="str">
        <f>'PA-Détails'!A2169</f>
        <v>6.7.2.1 Assurer l'encadrement pédagogique et administratif des centres d'ingénierie, d'application et de ressources</v>
      </c>
      <c r="B125" s="168">
        <f>SUMIF('PA-Détails'!$A$1709:$A$2514,"=" &amp;$A125,'PA-Détails'!Z$1709:Z$2514)</f>
        <v>824.4</v>
      </c>
      <c r="C125" s="342">
        <f>SUMIF('PA-Détails'!$A$1709:$A$2514,"=" &amp;$A125,'PA-Détails'!AA$1709:AA$2514)</f>
        <v>0</v>
      </c>
    </row>
    <row r="126" spans="1:3" x14ac:dyDescent="0.2">
      <c r="A126" s="17" t="str">
        <f>'PA-Détails'!A2170</f>
        <v>6.7.3 Moyens informatiques</v>
      </c>
      <c r="B126" s="157">
        <f>SUMIF('PA-Détails'!$A$1709:$A$2514,"=" &amp;$A126,'PA-Détails'!Z$1709:Z$2514)</f>
        <v>229</v>
      </c>
      <c r="C126" s="341">
        <f>SUMIF('PA-Détails'!$A$1709:$A$2514,"=" &amp;$A126,'PA-Détails'!AA$1709:AA$2514)</f>
        <v>0</v>
      </c>
    </row>
    <row r="127" spans="1:3" x14ac:dyDescent="0.2">
      <c r="A127" s="20" t="str">
        <f>'PA-Détails'!A2171</f>
        <v>6.7.3.1 Équipement des inspecteurs en ordinateurs portables</v>
      </c>
      <c r="B127" s="168">
        <f>SUMIF('PA-Détails'!$A$1709:$A$2514,"=" &amp;$A127,'PA-Détails'!Z$1709:Z$2514)</f>
        <v>229</v>
      </c>
      <c r="C127" s="342">
        <f>SUMIF('PA-Détails'!$A$1709:$A$2514,"=" &amp;$A127,'PA-Détails'!AA$1709:AA$2514)</f>
        <v>0</v>
      </c>
    </row>
    <row r="128" spans="1:3" x14ac:dyDescent="0.2">
      <c r="A128" s="17" t="str">
        <f>'PA-Détails'!A2172</f>
        <v>6.7.4 Mise en place d'un observatoire national ETFP tripartite (Gouvernement, employeurs et syndicats) pour l'employabilité des sortants</v>
      </c>
      <c r="B128" s="168">
        <f>SUMIF('PA-Détails'!$A$1709:$A$2514,"=" &amp;$A128,'PA-Détails'!Z$1709:Z$2514)</f>
        <v>37.5</v>
      </c>
      <c r="C128" s="342">
        <f>SUMIF('PA-Détails'!$A$1709:$A$2514,"=" &amp;$A128,'PA-Détails'!AA$1709:AA$2514)</f>
        <v>0</v>
      </c>
    </row>
    <row r="129" spans="1:3" x14ac:dyDescent="0.2">
      <c r="A129" s="20" t="str">
        <f>'PA-Détails'!A2173</f>
        <v>6.7.4.1 Élaboration des accords de partenariat entre les trois entités concernés</v>
      </c>
      <c r="B129" s="168">
        <f>SUMIF('PA-Détails'!$A$1709:$A$2514,"=" &amp;$A129,'PA-Détails'!Z$1709:Z$2514)</f>
        <v>6</v>
      </c>
      <c r="C129" s="342">
        <f>SUMIF('PA-Détails'!$A$1709:$A$2514,"=" &amp;$A129,'PA-Détails'!AA$1709:AA$2514)</f>
        <v>0</v>
      </c>
    </row>
    <row r="130" spans="1:3" x14ac:dyDescent="0.2">
      <c r="A130" s="20" t="str">
        <f>'PA-Détails'!A2174</f>
        <v>6.7.4.2 Étude d'employabilité des sortants</v>
      </c>
      <c r="B130" s="168">
        <f>SUMIF('PA-Détails'!$A$1709:$A$2514,"=" &amp;$A130,'PA-Détails'!Z$1709:Z$2514)</f>
        <v>31.5</v>
      </c>
      <c r="C130" s="342">
        <f>SUMIF('PA-Détails'!$A$1709:$A$2514,"=" &amp;$A130,'PA-Détails'!AA$1709:AA$2514)</f>
        <v>0</v>
      </c>
    </row>
    <row r="131" spans="1:3" x14ac:dyDescent="0.2">
      <c r="A131" s="11" t="str">
        <f>'PA-Détails'!A2175</f>
        <v>7. Enseignement supérieur : Former les cadres qualifiés et ouverts aux technologies qui porteront le développement économique</v>
      </c>
      <c r="B131" s="339">
        <f>B132+B138+B153+B164</f>
        <v>2321.5</v>
      </c>
      <c r="C131" s="549">
        <f>C132+C138+C153+C164</f>
        <v>15380.949999999999</v>
      </c>
    </row>
    <row r="132" spans="1:3" x14ac:dyDescent="0.2">
      <c r="A132" s="14" t="str">
        <f>'PA-Détails'!A2205</f>
        <v xml:space="preserve">7.6 Inscription du Système Congolais d’Enseignement Supérieur dans la mouvance mondiale : Promouvoir la participation des EES de la RDC aux partenariats régionaux et internationaux d'enseignement supérieur et de recherche </v>
      </c>
      <c r="B132" s="217">
        <f>B133+B135</f>
        <v>2321.5</v>
      </c>
      <c r="C132" s="340">
        <f>C133+C135</f>
        <v>0</v>
      </c>
    </row>
    <row r="133" spans="1:3" x14ac:dyDescent="0.2">
      <c r="A133" s="17" t="str">
        <f>'PA-Détails'!A2211</f>
        <v>7.6.2 Renforcement des capacités institutionnelle de la Commission permanente des études (CPE)</v>
      </c>
      <c r="B133" s="157">
        <f>SUMIF('PA-Détails'!$A$1709:$A$2514,"=" &amp;$A133,'PA-Détails'!Z$1709:Z$2514)</f>
        <v>970</v>
      </c>
      <c r="C133" s="341">
        <f>SUMIF('PA-Détails'!$A$1709:$A$2514,"=" &amp;$A133,'PA-Détails'!AA$1709:AA$2514)</f>
        <v>0</v>
      </c>
    </row>
    <row r="134" spans="1:3" x14ac:dyDescent="0.2">
      <c r="A134" s="20" t="str">
        <f>'PA-Détails'!A2212</f>
        <v>7.6.2.1 Mise à niveau et fonctionnement de la CPE</v>
      </c>
      <c r="B134" s="168">
        <f>SUMIF('PA-Détails'!$A$1709:$A$2514,"=" &amp;$A134,'PA-Détails'!Z$1709:Z$2514)</f>
        <v>970</v>
      </c>
      <c r="C134" s="342">
        <f>SUMIF('PA-Détails'!$A$1709:$A$2514,"=" &amp;$A134,'PA-Détails'!AA$1709:AA$2514)</f>
        <v>0</v>
      </c>
    </row>
    <row r="135" spans="1:3" x14ac:dyDescent="0.2">
      <c r="A135" s="17" t="str">
        <f>'PA-Détails'!A2239</f>
        <v>7.9.3 Renforcement des capacités des PUC</v>
      </c>
      <c r="B135" s="157">
        <f>SUMIF('PA-Détails'!$A$1709:$A$2514,"=" &amp;$A135,'PA-Détails'!Z$1709:Z$2514)</f>
        <v>1351.5</v>
      </c>
      <c r="C135" s="341">
        <f>SUMIF('PA-Détails'!$A$1709:$A$2514,"=" &amp;$A135,'PA-Détails'!AA$1709:AA$2514)</f>
        <v>0</v>
      </c>
    </row>
    <row r="136" spans="1:3" x14ac:dyDescent="0.2">
      <c r="A136" s="20" t="str">
        <f>'PA-Détails'!A2240</f>
        <v>7.9.3.1 Définition du programme de mise à niveau</v>
      </c>
      <c r="B136" s="168">
        <f>SUMIF('PA-Détails'!$A$1709:$A$2514,"=" &amp;$A136,'PA-Détails'!Z$1709:Z$2514)</f>
        <v>51.5</v>
      </c>
      <c r="C136" s="342">
        <f>SUMIF('PA-Détails'!$A$1709:$A$2514,"=" &amp;$A136,'PA-Détails'!AA$1709:AA$2514)</f>
        <v>0</v>
      </c>
    </row>
    <row r="137" spans="1:3" x14ac:dyDescent="0.2">
      <c r="A137" s="20" t="str">
        <f>'PA-Détails'!A2241</f>
        <v>7.9.3.2 Réhabilitation et équipement du PUC</v>
      </c>
      <c r="B137" s="168">
        <f>SUMIF('PA-Détails'!$A$1709:$A$2514,"=" &amp;$A137,'PA-Détails'!Z$1709:Z$2514)</f>
        <v>1300</v>
      </c>
      <c r="C137" s="342">
        <f>SUMIF('PA-Détails'!$A$1709:$A$2514,"=" &amp;$A137,'PA-Détails'!AA$1709:AA$2514)</f>
        <v>0</v>
      </c>
    </row>
    <row r="138" spans="1:3" x14ac:dyDescent="0.2">
      <c r="A138" s="14" t="str">
        <f>'PA-Détails'!A2253</f>
        <v>7.11 Restructuration et réorganisation du Système</v>
      </c>
      <c r="B138" s="217">
        <f>SUMIF('PA-Détails'!$A$1709:$A$2514,"=" &amp;$A138,'PA-Détails'!Z$1709:Z$2514)</f>
        <v>0</v>
      </c>
      <c r="C138" s="340">
        <f>C139+C141+C143+C145+C148</f>
        <v>6544.9</v>
      </c>
    </row>
    <row r="139" spans="1:3" x14ac:dyDescent="0.2">
      <c r="A139" s="17" t="str">
        <f>'PA-Détails'!A2254</f>
        <v xml:space="preserve">7.11.1 Élaboration du cadre normatif susceptible d'arrimer les systèmes d'ESU aux standards internationaux </v>
      </c>
      <c r="B139" s="157">
        <f>SUMIF('PA-Détails'!$A$1709:$A$2514,"=" &amp;$A139,'PA-Détails'!Z$1709:Z$2514)</f>
        <v>0</v>
      </c>
      <c r="C139" s="341">
        <f>SUMIF('PA-Détails'!$A$1709:$A$2514,"=" &amp;$A139,'PA-Détails'!AA$1709:AA$2514)</f>
        <v>47.85</v>
      </c>
    </row>
    <row r="140" spans="1:3" x14ac:dyDescent="0.2">
      <c r="A140" s="20" t="str">
        <f>'PA-Détails'!A2255</f>
        <v>7.11.1.1 Étude d'élaboration du cadre normatif avec une cellule d'experts</v>
      </c>
      <c r="B140" s="168">
        <f>SUMIF('PA-Détails'!$A$1709:$A$2514,"=" &amp;$A140,'PA-Détails'!Z$1709:Z$2514)</f>
        <v>0</v>
      </c>
      <c r="C140" s="342">
        <f>SUMIF('PA-Détails'!$A$1709:$A$2514,"=" &amp;$A140,'PA-Détails'!AA$1709:AA$2514)</f>
        <v>47.85</v>
      </c>
    </row>
    <row r="141" spans="1:3" x14ac:dyDescent="0.2">
      <c r="A141" s="17" t="str">
        <f>'PA-Détails'!A2256</f>
        <v xml:space="preserve">7.11.2 Organisation des états généraux de l'ESU </v>
      </c>
      <c r="B141" s="157">
        <f>SUMIF('PA-Détails'!$A$1709:$A$2514,"=" &amp;$A141,'PA-Détails'!Z$1709:Z$2514)</f>
        <v>0</v>
      </c>
      <c r="C141" s="341">
        <f>SUMIF('PA-Détails'!$A$1709:$A$2514,"=" &amp;$A141,'PA-Détails'!AA$1709:AA$2514)</f>
        <v>234.5</v>
      </c>
    </row>
    <row r="142" spans="1:3" x14ac:dyDescent="0.2">
      <c r="A142" s="20" t="str">
        <f>'PA-Détails'!A2257</f>
        <v>7.11.2.1 Organisation et tenue des états généraux de l'enseignement supérieur</v>
      </c>
      <c r="B142" s="168">
        <f>SUMIF('PA-Détails'!$A$1709:$A$2514,"=" &amp;$A142,'PA-Détails'!Z$1709:Z$2514)</f>
        <v>0</v>
      </c>
      <c r="C142" s="342">
        <f>SUMIF('PA-Détails'!$A$1709:$A$2514,"=" &amp;$A142,'PA-Détails'!AA$1709:AA$2514)</f>
        <v>234.5</v>
      </c>
    </row>
    <row r="143" spans="1:3" x14ac:dyDescent="0.2">
      <c r="A143" s="17" t="str">
        <f>'PA-Détails'!A2258</f>
        <v>7.11.3 Redimensionnement et réorganisation des EES publics</v>
      </c>
      <c r="B143" s="157">
        <f>SUMIF('PA-Détails'!$A$1709:$A$2514,"=" &amp;$A143,'PA-Détails'!Z$1709:Z$2514)</f>
        <v>0</v>
      </c>
      <c r="C143" s="341">
        <f>SUMIF('PA-Détails'!$A$1709:$A$2514,"=" &amp;$A143,'PA-Détails'!AA$1709:AA$2514)</f>
        <v>106.5</v>
      </c>
    </row>
    <row r="144" spans="1:3" x14ac:dyDescent="0.2">
      <c r="A144" s="123" t="str">
        <f>'PA-Détails'!A2259</f>
        <v xml:space="preserve">7.11.4.1 Étude sur le dimensionnement et l'organisation des EES publics </v>
      </c>
      <c r="B144" s="157">
        <f>SUMIF('PA-Détails'!$A$1709:$A$2514,"=" &amp;$A144,'PA-Détails'!Z$1709:Z$2514)</f>
        <v>0</v>
      </c>
      <c r="C144" s="342">
        <f>SUMIF('PA-Détails'!$A$1709:$A$2514,"=" &amp;$A144,'PA-Détails'!AA$1709:AA$2514)</f>
        <v>106.5</v>
      </c>
    </row>
    <row r="145" spans="1:3" x14ac:dyDescent="0.2">
      <c r="A145" s="17" t="str">
        <f>'PA-Détails'!A2260</f>
        <v>7.11.4 Renforcement des audits internes et externes de la gestion des EES</v>
      </c>
      <c r="B145" s="157">
        <f>SUMIF('PA-Détails'!$A$1709:$A$2514,"=" &amp;$A145,'PA-Détails'!Z$1709:Z$2514)</f>
        <v>0</v>
      </c>
      <c r="C145" s="341">
        <f>SUMIF('PA-Détails'!$A$1709:$A$2514,"=" &amp;$A145,'PA-Détails'!AA$1709:AA$2514)</f>
        <v>34.35</v>
      </c>
    </row>
    <row r="146" spans="1:3" x14ac:dyDescent="0.2">
      <c r="A146" s="123" t="str">
        <f>'PA-Détails'!A2261</f>
        <v>7.11.4.1 Définir les modèles d'audits interne et externe</v>
      </c>
      <c r="B146" s="157">
        <f>SUMIF('PA-Détails'!$A$1709:$A$2514,"=" &amp;$A146,'PA-Détails'!Z$1709:Z$2514)</f>
        <v>0</v>
      </c>
      <c r="C146" s="342">
        <f>SUMIF('PA-Détails'!$A$1709:$A$2514,"=" &amp;$A146,'PA-Détails'!AA$1709:AA$2514)</f>
        <v>13.35</v>
      </c>
    </row>
    <row r="147" spans="1:3" x14ac:dyDescent="0.2">
      <c r="A147" s="123" t="str">
        <f>'PA-Détails'!A2262</f>
        <v>7.11.4.2 Formation aux méthodes d'audit interne</v>
      </c>
      <c r="B147" s="157">
        <f>SUMIF('PA-Détails'!$A$1709:$A$2514,"=" &amp;$A147,'PA-Détails'!Z$1709:Z$2514)</f>
        <v>0</v>
      </c>
      <c r="C147" s="342">
        <f>SUMIF('PA-Détails'!$A$1709:$A$2514,"=" &amp;$A147,'PA-Détails'!AA$1709:AA$2514)</f>
        <v>21</v>
      </c>
    </row>
    <row r="148" spans="1:3" x14ac:dyDescent="0.2">
      <c r="A148" s="17" t="str">
        <f>'PA-Détails'!A2263</f>
        <v xml:space="preserve">7.11.5 Poursuite des Audits Organisationnels et enquête de viabilité ainsi que des contrôles de scolarité </v>
      </c>
      <c r="B148" s="157">
        <f>SUMIF('PA-Détails'!$A$1709:$A$2514,"=" &amp;$A148,'PA-Détails'!Z$1709:Z$2514)</f>
        <v>0</v>
      </c>
      <c r="C148" s="341">
        <f>SUMIF('PA-Détails'!$A$1709:$A$2514,"=" &amp;$A148,'PA-Détails'!AA$1709:AA$2514)</f>
        <v>6121.7</v>
      </c>
    </row>
    <row r="149" spans="1:3" x14ac:dyDescent="0.2">
      <c r="A149" s="20" t="str">
        <f>'PA-Détails'!A2264</f>
        <v>7.11.5.1 Audit organisationnel et enquête de viabilité pour les différents ESS</v>
      </c>
      <c r="B149" s="168">
        <f>SUMIF('PA-Détails'!$A$1709:$A$2514,"=" &amp;$A149,'PA-Détails'!Z$1709:Z$2514)</f>
        <v>0</v>
      </c>
      <c r="C149" s="342">
        <f>SUMIF('PA-Détails'!$A$1709:$A$2514,"=" &amp;$A149,'PA-Détails'!AA$1709:AA$2514)</f>
        <v>701</v>
      </c>
    </row>
    <row r="150" spans="1:3" x14ac:dyDescent="0.2">
      <c r="A150" s="20" t="str">
        <f>'PA-Détails'!A2265</f>
        <v>7.11.5.2 Contrôles de scolarité dans tous les EES publics et privés agréés</v>
      </c>
      <c r="B150" s="168">
        <f>SUMIF('PA-Détails'!$A$1709:$A$2514,"=" &amp;$A150,'PA-Détails'!Z$1709:Z$2514)</f>
        <v>0</v>
      </c>
      <c r="C150" s="342">
        <f>SUMIF('PA-Détails'!$A$1709:$A$2514,"=" &amp;$A150,'PA-Détails'!AA$1709:AA$2514)</f>
        <v>3762.5</v>
      </c>
    </row>
    <row r="151" spans="1:3" x14ac:dyDescent="0.2">
      <c r="A151" s="170" t="str">
        <f>'PA-Détails'!A2266</f>
        <v>7.11.5.3 Organisations des campagnes de sensibilisation dans les 26 provinces pour impliquer toutes les parties prenantes dans l'effort d'assainissement du sous secteur</v>
      </c>
      <c r="B151" s="168">
        <f>SUMIF('PA-Détails'!$A$1709:$A$2514,"=" &amp;$A151,'PA-Détails'!Z$1709:Z$2514)</f>
        <v>0</v>
      </c>
      <c r="C151" s="342">
        <f>SUMIF('PA-Détails'!$A$1709:$A$2514,"=" &amp;$A151,'PA-Détails'!AA$1709:AA$2514)</f>
        <v>1496.7</v>
      </c>
    </row>
    <row r="152" spans="1:3" x14ac:dyDescent="0.2">
      <c r="A152" s="170" t="str">
        <f>'PA-Détails'!A2267</f>
        <v>7.11.5.4 Conclusion d'accord de collaboration avec les associations de la société civile et du monde économique</v>
      </c>
      <c r="B152" s="168">
        <f>SUMIF('PA-Détails'!$A$1709:$A$2514,"=" &amp;$A152,'PA-Détails'!Z$1709:Z$2514)</f>
        <v>0</v>
      </c>
      <c r="C152" s="342">
        <f>SUMIF('PA-Détails'!$A$1709:$A$2514,"=" &amp;$A152,'PA-Détails'!AA$1709:AA$2514)</f>
        <v>161.5</v>
      </c>
    </row>
    <row r="153" spans="1:3" x14ac:dyDescent="0.2">
      <c r="A153" s="14" t="str">
        <f>'PA-Détails'!A2268</f>
        <v>7.12 Renforcement du Système d’information pour la Planification Stratégique et la Gestion axée sur les résultats : Promouvoir la planification stratégique et la gestion axée sur les résultats</v>
      </c>
      <c r="B153" s="217">
        <f>SUMIF('PA-Détails'!$A$1709:$A$2514,"=" &amp;$A153,'PA-Détails'!Z$1709:Z$2514)</f>
        <v>0</v>
      </c>
      <c r="C153" s="340">
        <f>C154+C158+C162</f>
        <v>8578.7999999999993</v>
      </c>
    </row>
    <row r="154" spans="1:3" x14ac:dyDescent="0.2">
      <c r="A154" s="17" t="str">
        <f>'PA-Détails'!A2269</f>
        <v xml:space="preserve">7.12.1 Consolidation du système d’information et de gestion de l’enseignement supérieur </v>
      </c>
      <c r="B154" s="157">
        <f>SUMIF('PA-Détails'!$A$1709:$A$2514,"=" &amp;$A154,'PA-Détails'!Z$1709:Z$2514)</f>
        <v>0</v>
      </c>
      <c r="C154" s="341">
        <f>SUMIF('PA-Détails'!$A$1709:$A$2514,"=" &amp;$A154,'PA-Détails'!AA$1709:AA$2514)</f>
        <v>2928.2</v>
      </c>
    </row>
    <row r="155" spans="1:3" x14ac:dyDescent="0.2">
      <c r="A155" s="20" t="str">
        <f>'PA-Détails'!A2270</f>
        <v>7.12.1.1 Définition de la cellule de planification et sa mise en place dans tous les EES</v>
      </c>
      <c r="B155" s="168">
        <f>SUMIF('PA-Détails'!$A$1709:$A$2514,"=" &amp;$A155,'PA-Détails'!Z$1709:Z$2514)</f>
        <v>0</v>
      </c>
      <c r="C155" s="342">
        <f>SUMIF('PA-Détails'!$A$1709:$A$2514,"=" &amp;$A155,'PA-Détails'!AA$1709:AA$2514)</f>
        <v>2286</v>
      </c>
    </row>
    <row r="156" spans="1:3" x14ac:dyDescent="0.2">
      <c r="A156" s="20" t="str">
        <f>'PA-Détails'!A2271</f>
        <v xml:space="preserve">7.12.1.2 Mise à jour de la carte universitaire </v>
      </c>
      <c r="B156" s="168">
        <f>SUMIF('PA-Détails'!$A$1709:$A$2514,"=" &amp;$A156,'PA-Détails'!Z$1709:Z$2514)</f>
        <v>0</v>
      </c>
      <c r="C156" s="342">
        <f>SUMIF('PA-Détails'!$A$1709:$A$2514,"=" &amp;$A156,'PA-Détails'!AA$1709:AA$2514)</f>
        <v>154.30000000000001</v>
      </c>
    </row>
    <row r="157" spans="1:3" x14ac:dyDescent="0.2">
      <c r="A157" s="173" t="str">
        <f>'PA-Détails'!A2272</f>
        <v>7.12.1.3 Renforcement des capacité en matière de planification</v>
      </c>
      <c r="B157" s="168">
        <f>SUMIF('PA-Détails'!$A$1709:$A$2514,"=" &amp;$A157,'PA-Détails'!Z$1709:Z$2514)</f>
        <v>0</v>
      </c>
      <c r="C157" s="342">
        <f>SUMIF('PA-Détails'!$A$1709:$A$2514,"=" &amp;$A157,'PA-Détails'!AA$1709:AA$2514)</f>
        <v>487.9</v>
      </c>
    </row>
    <row r="158" spans="1:3" x14ac:dyDescent="0.2">
      <c r="A158" s="17" t="str">
        <f>'PA-Détails'!A2273</f>
        <v>7.12.2 Amélioration des infrastructures et équipements des structures de planification</v>
      </c>
      <c r="B158" s="157">
        <f>SUMIF('PA-Détails'!$A$1709:$A$2514,"=" &amp;$A158,'PA-Détails'!Z$1709:Z$2514)</f>
        <v>0</v>
      </c>
      <c r="C158" s="341">
        <f>SUMIF('PA-Détails'!$A$1709:$A$2514,"=" &amp;$A158,'PA-Détails'!AA$1709:AA$2514)</f>
        <v>2444.6</v>
      </c>
    </row>
    <row r="159" spans="1:3" x14ac:dyDescent="0.2">
      <c r="A159" s="173" t="str">
        <f>'PA-Détails'!A2274</f>
        <v>7.12.2.1 Réhabilitation et équipement des 26 cellules des planifications aux niveaux des conférences des chefs d'EES</v>
      </c>
      <c r="B159" s="168">
        <f>SUMIF('PA-Détails'!$A$1709:$A$2514,"=" &amp;$A159,'PA-Détails'!Z$1709:Z$2514)</f>
        <v>0</v>
      </c>
      <c r="C159" s="342">
        <f>SUMIF('PA-Détails'!$A$1709:$A$2514,"=" &amp;$A159,'PA-Détails'!AA$1709:AA$2514)</f>
        <v>340.6</v>
      </c>
    </row>
    <row r="160" spans="1:3" x14ac:dyDescent="0.2">
      <c r="A160" s="20" t="str">
        <f>'PA-Détails'!A2275</f>
        <v>7.12.2.2 Appui technique aux EES pour l'élaboration de leur plan stratégique</v>
      </c>
      <c r="B160" s="168">
        <f>SUMIF('PA-Détails'!$A$1709:$A$2514,"=" &amp;$A160,'PA-Détails'!Z$1709:Z$2514)</f>
        <v>0</v>
      </c>
      <c r="C160" s="342">
        <f>SUMIF('PA-Détails'!$A$1709:$A$2514,"=" &amp;$A160,'PA-Détails'!AA$1709:AA$2514)</f>
        <v>24</v>
      </c>
    </row>
    <row r="161" spans="1:3" x14ac:dyDescent="0.2">
      <c r="A161" s="20" t="str">
        <f>'PA-Détails'!A2276</f>
        <v xml:space="preserve">7.12.2.3 Utilisation par les EES de logiciels de gestion informatisée des ressources </v>
      </c>
      <c r="B161" s="168">
        <f>SUMIF('PA-Détails'!$A$1709:$A$2514,"=" &amp;$A161,'PA-Détails'!Z$1709:Z$2514)</f>
        <v>0</v>
      </c>
      <c r="C161" s="342">
        <f>SUMIF('PA-Détails'!$A$1709:$A$2514,"=" &amp;$A161,'PA-Détails'!AA$1709:AA$2514)</f>
        <v>2080</v>
      </c>
    </row>
    <row r="162" spans="1:3" x14ac:dyDescent="0.2">
      <c r="A162" s="17" t="str">
        <f>'PA-Détails'!A2277</f>
        <v>7.12.3 Promotion d’une culture statistique, de planification stratégique et de la gestion axée sur les résultats</v>
      </c>
      <c r="B162" s="157">
        <f>SUMIF('PA-Détails'!$A$1709:$A$2514,"=" &amp;$A162,'PA-Détails'!Z$1709:Z$2514)</f>
        <v>0</v>
      </c>
      <c r="C162" s="341">
        <f>SUMIF('PA-Détails'!$A$1709:$A$2514,"=" &amp;$A162,'PA-Détails'!AA$1709:AA$2514)</f>
        <v>3206</v>
      </c>
    </row>
    <row r="163" spans="1:3" x14ac:dyDescent="0.2">
      <c r="A163" s="20" t="str">
        <f>'PA-Détails'!A2278</f>
        <v>7.12.3.1 Production annuelle du plan stratégique des ESS</v>
      </c>
      <c r="B163" s="168">
        <f>SUMIF('PA-Détails'!$A$1709:$A$2514,"=" &amp;$A163,'PA-Détails'!Z$1709:Z$2514)</f>
        <v>0</v>
      </c>
      <c r="C163" s="342">
        <f>SUMIF('PA-Détails'!$A$1709:$A$2514,"=" &amp;$A163,'PA-Détails'!AA$1709:AA$2514)</f>
        <v>3206</v>
      </c>
    </row>
    <row r="164" spans="1:3" x14ac:dyDescent="0.2">
      <c r="A164" s="14" t="str">
        <f>'PA-Détails'!A2279</f>
        <v>7.13. Renforcement des outils de bonne Gouvernance : Promouvoir la bonne gouvernance dans les EES</v>
      </c>
      <c r="B164" s="217">
        <f>SUMIF('PA-Détails'!$A$1709:$A$2514,"=" &amp;$A164,'PA-Détails'!Z$1709:Z$2514)</f>
        <v>0</v>
      </c>
      <c r="C164" s="340">
        <f>C165+C167+C170+C172</f>
        <v>257.25</v>
      </c>
    </row>
    <row r="165" spans="1:3" x14ac:dyDescent="0.2">
      <c r="A165" s="17" t="str">
        <f>'PA-Détails'!A2280</f>
        <v>7.13.1 Simplification du cadre juridique et administratif</v>
      </c>
      <c r="B165" s="157">
        <f>SUMIF('PA-Détails'!$A$1709:$A$2514,"=" &amp;$A165,'PA-Détails'!Z$1709:Z$2514)</f>
        <v>0</v>
      </c>
      <c r="C165" s="341">
        <f>SUMIF('PA-Détails'!$A$1709:$A$2514,"=" &amp;$A165,'PA-Détails'!AA$1709:AA$2514)</f>
        <v>30</v>
      </c>
    </row>
    <row r="166" spans="1:3" x14ac:dyDescent="0.2">
      <c r="A166" s="20" t="str">
        <f>'PA-Détails'!A2281</f>
        <v>7.13.1.1 Élaboration des textes réglementaires (mise en œuvre de la Loi-Cadre)</v>
      </c>
      <c r="B166" s="168">
        <f>SUMIF('PA-Détails'!$A$1709:$A$2514,"=" &amp;$A166,'PA-Détails'!Z$1709:Z$2514)</f>
        <v>0</v>
      </c>
      <c r="C166" s="342">
        <f>SUMIF('PA-Détails'!$A$1709:$A$2514,"=" &amp;$A166,'PA-Détails'!AA$1709:AA$2514)</f>
        <v>30</v>
      </c>
    </row>
    <row r="167" spans="1:3" x14ac:dyDescent="0.2">
      <c r="A167" s="17" t="str">
        <f>'PA-Détails'!A2282</f>
        <v>7.13.2 Mise en place des instruments de gestion académique, financière et administrative dans les EES</v>
      </c>
      <c r="B167" s="157">
        <f>SUMIF('PA-Détails'!$A$1709:$A$2514,"=" &amp;$A167,'PA-Détails'!Z$1709:Z$2514)</f>
        <v>0</v>
      </c>
      <c r="C167" s="341">
        <f>SUMIF('PA-Détails'!$A$1709:$A$2514,"=" &amp;$A167,'PA-Détails'!AA$1709:AA$2514)</f>
        <v>140.75</v>
      </c>
    </row>
    <row r="168" spans="1:3" x14ac:dyDescent="0.2">
      <c r="A168" s="20" t="str">
        <f>'PA-Détails'!A2283</f>
        <v>7.13.2.1 Conception des outils de bonne gouvernance</v>
      </c>
      <c r="B168" s="168">
        <f>SUMIF('PA-Détails'!$A$1709:$A$2514,"=" &amp;$A168,'PA-Détails'!Z$1709:Z$2514)</f>
        <v>0</v>
      </c>
      <c r="C168" s="342">
        <f>SUMIF('PA-Détails'!$A$1709:$A$2514,"=" &amp;$A168,'PA-Détails'!AA$1709:AA$2514)</f>
        <v>38.75</v>
      </c>
    </row>
    <row r="169" spans="1:3" x14ac:dyDescent="0.2">
      <c r="A169" s="20" t="str">
        <f>'PA-Détails'!A2284</f>
        <v>7.13.2.2 Renforcement des capacités des gestionnaires des EES sur l'utilisation des outils de bonne gouvernance</v>
      </c>
      <c r="B169" s="168">
        <f>SUMIF('PA-Détails'!$A$1709:$A$2514,"=" &amp;$A169,'PA-Détails'!Z$1709:Z$2514)</f>
        <v>0</v>
      </c>
      <c r="C169" s="342">
        <f>SUMIF('PA-Détails'!$A$1709:$A$2514,"=" &amp;$A169,'PA-Détails'!AA$1709:AA$2514)</f>
        <v>102</v>
      </c>
    </row>
    <row r="170" spans="1:3" x14ac:dyDescent="0.2">
      <c r="A170" s="17" t="str">
        <f>'PA-Détails'!A2285</f>
        <v>7.13.3 Mise en place des mécanismes d’évaluation externe</v>
      </c>
      <c r="B170" s="157">
        <f>SUMIF('PA-Détails'!$A$1709:$A$2514,"=" &amp;$A170,'PA-Détails'!Z$1709:Z$2514)</f>
        <v>0</v>
      </c>
      <c r="C170" s="341">
        <f>SUMIF('PA-Détails'!$A$1709:$A$2514,"=" &amp;$A170,'PA-Détails'!AA$1709:AA$2514)</f>
        <v>22.5</v>
      </c>
    </row>
    <row r="171" spans="1:3" x14ac:dyDescent="0.2">
      <c r="A171" s="20" t="str">
        <f>'PA-Détails'!A2286</f>
        <v>7.13.3.1 Mise en place d'un cadre permanent de concertation</v>
      </c>
      <c r="B171" s="168">
        <f>SUMIF('PA-Détails'!$A$1709:$A$2514,"=" &amp;$A171,'PA-Détails'!Z$1709:Z$2514)</f>
        <v>0</v>
      </c>
      <c r="C171" s="342">
        <f>SUMIF('PA-Détails'!$A$1709:$A$2514,"=" &amp;$A171,'PA-Détails'!AA$1709:AA$2514)</f>
        <v>22.5</v>
      </c>
    </row>
    <row r="172" spans="1:3" x14ac:dyDescent="0.2">
      <c r="A172" s="17" t="str">
        <f>'PA-Détails'!A2287</f>
        <v>7.13.4 Mise en place des contrats de performances avec les EES</v>
      </c>
      <c r="B172" s="157">
        <f>SUMIF('PA-Détails'!$A$1709:$A$2514,"=" &amp;$A172,'PA-Détails'!Z$1709:Z$2514)</f>
        <v>0</v>
      </c>
      <c r="C172" s="341">
        <f>SUMIF('PA-Détails'!$A$1709:$A$2514,"=" &amp;$A172,'PA-Détails'!AA$1709:AA$2514)</f>
        <v>64</v>
      </c>
    </row>
    <row r="173" spans="1:3" x14ac:dyDescent="0.2">
      <c r="A173" s="20" t="str">
        <f>'PA-Détails'!A2288</f>
        <v xml:space="preserve">7.13.4.1 Élaboration et validation des contrats des performances </v>
      </c>
      <c r="B173" s="168">
        <f>SUMIF('PA-Détails'!$A$1709:$A$2514,"=" &amp;$A173,'PA-Détails'!Z$1709:Z$2514)</f>
        <v>0</v>
      </c>
      <c r="C173" s="342">
        <f>SUMIF('PA-Détails'!$A$1709:$A$2514,"=" &amp;$A173,'PA-Détails'!AA$1709:AA$2514)</f>
        <v>64</v>
      </c>
    </row>
    <row r="174" spans="1:3" x14ac:dyDescent="0.2">
      <c r="A174" s="11" t="str">
        <f>'PA-Détails'!A2289</f>
        <v>8. Gestion, pilotage et évaluation du système éducatif : Renforcer les capacités de gestion des ministères en charge de l'éducation et assurer le pilotage et le suivi-évaluation du système</v>
      </c>
      <c r="B174" s="339">
        <f>B175+B180+B186+B190+B194+B197+B203+B220+B226+B230</f>
        <v>129.5</v>
      </c>
      <c r="C174" s="549">
        <f>C175+C180+C186+C190+C194+C197+C203+C220+C226+C230</f>
        <v>26779.9</v>
      </c>
    </row>
    <row r="175" spans="1:3" x14ac:dyDescent="0.2">
      <c r="A175" s="14" t="str">
        <f>'PA-Détails'!A2316</f>
        <v>8.4 Gestion des ressources financières : Améliorer la gestion des ressources financières</v>
      </c>
      <c r="B175" s="217">
        <f>SUMIF('PA-Détails'!$A$1709:$A$2514,"=" &amp;$A175,'PA-Détails'!Z$1709:Z$2514)</f>
        <v>0</v>
      </c>
      <c r="C175" s="340">
        <f>SUMIF('PA-Détails'!$A$1709:$A$2514,"=" &amp;$A175,'PA-Détails'!AA$1709:AA$2514)</f>
        <v>610.79999999999995</v>
      </c>
    </row>
    <row r="176" spans="1:3" x14ac:dyDescent="0.2">
      <c r="A176" s="17" t="str">
        <f>'PA-Détails'!A2317</f>
        <v>8.4.1 Formation des cadres de la gestion financière et comptable</v>
      </c>
      <c r="B176" s="157">
        <f>SUMIF('PA-Détails'!$A$1709:$A$2514,"=" &amp;$A176,'PA-Détails'!Z$1709:Z$2514)</f>
        <v>0</v>
      </c>
      <c r="C176" s="341">
        <f>SUMIF('PA-Détails'!$A$1709:$A$2514,"=" &amp;$A176,'PA-Détails'!AA$1709:AA$2514)</f>
        <v>610.79999999999995</v>
      </c>
    </row>
    <row r="177" spans="1:3" x14ac:dyDescent="0.2">
      <c r="A177" s="20" t="str">
        <f>'PA-Détails'!A2318</f>
        <v>8.4.1.1 Formation des cadres des services centraux</v>
      </c>
      <c r="B177" s="168">
        <f>SUMIF('PA-Détails'!$A$1709:$A$2514,"=" &amp;$A177,'PA-Détails'!Z$1709:Z$2514)</f>
        <v>0</v>
      </c>
      <c r="C177" s="342">
        <f>SUMIF('PA-Détails'!$A$1709:$A$2514,"=" &amp;$A177,'PA-Détails'!AA$1709:AA$2514)</f>
        <v>52.8</v>
      </c>
    </row>
    <row r="178" spans="1:3" x14ac:dyDescent="0.2">
      <c r="A178" s="20" t="str">
        <f>'PA-Détails'!A2319</f>
        <v>8.4.1.2 Formation des cadres des services déconcentrés</v>
      </c>
      <c r="B178" s="168">
        <f>SUMIF('PA-Détails'!$A$1709:$A$2514,"=" &amp;$A178,'PA-Détails'!Z$1709:Z$2514)</f>
        <v>0</v>
      </c>
      <c r="C178" s="342">
        <f>SUMIF('PA-Détails'!$A$1709:$A$2514,"=" &amp;$A178,'PA-Détails'!AA$1709:AA$2514)</f>
        <v>334.8</v>
      </c>
    </row>
    <row r="179" spans="1:3" x14ac:dyDescent="0.2">
      <c r="A179" s="20" t="str">
        <f>'PA-Détails'!A2320</f>
        <v>8.4.1.3 Suivi et évaluation des cadres des services déconcentrés</v>
      </c>
      <c r="B179" s="168">
        <f>SUMIF('PA-Détails'!$A$1709:$A$2514,"=" &amp;$A179,'PA-Détails'!Z$1709:Z$2514)</f>
        <v>0</v>
      </c>
      <c r="C179" s="342">
        <f>SUMIF('PA-Détails'!$A$1709:$A$2514,"=" &amp;$A179,'PA-Détails'!AA$1709:AA$2514)</f>
        <v>223.2</v>
      </c>
    </row>
    <row r="180" spans="1:3" x14ac:dyDescent="0.2">
      <c r="A180" s="14" t="str">
        <f>'PA-Détails'!A2321</f>
        <v>8.5 Gestion des infrastructures scolaires : Améliorer les capacités de pilotage et de gestion des infrastructures scolaires</v>
      </c>
      <c r="B180" s="217">
        <f>SUMIF('PA-Détails'!$A$1709:$A$2514,"=" &amp;$A180,'PA-Détails'!Z$1709:Z$2514)</f>
        <v>0</v>
      </c>
      <c r="C180" s="340">
        <f>SUMIF('PA-Détails'!$A$1709:$A$2514,"=" &amp;$A180,'PA-Détails'!AA$1709:AA$2514)</f>
        <v>307.39999999999998</v>
      </c>
    </row>
    <row r="181" spans="1:3" x14ac:dyDescent="0.2">
      <c r="A181" s="17" t="str">
        <f>'PA-Détails'!A2322</f>
        <v>8.5.1 Élaboration d'un plan renforcement de DIS au niveau central et déconcentré</v>
      </c>
      <c r="B181" s="157">
        <f>SUMIF('PA-Détails'!$A$1709:$A$2514,"=" &amp;$A181,'PA-Détails'!Z$1709:Z$2514)</f>
        <v>0</v>
      </c>
      <c r="C181" s="341">
        <f>SUMIF('PA-Détails'!$A$1709:$A$2514,"=" &amp;$A181,'PA-Détails'!AA$1709:AA$2514)</f>
        <v>28</v>
      </c>
    </row>
    <row r="182" spans="1:3" x14ac:dyDescent="0.2">
      <c r="A182" s="20" t="str">
        <f>'PA-Détails'!A2323</f>
        <v>8.5.1.1 Plan de renforcement des capacités</v>
      </c>
      <c r="B182" s="168">
        <f>SUMIF('PA-Détails'!$A$1709:$A$2514,"=" &amp;$A182,'PA-Détails'!Z$1709:Z$2514)</f>
        <v>0</v>
      </c>
      <c r="C182" s="342">
        <f>SUMIF('PA-Détails'!$A$1709:$A$2514,"=" &amp;$A182,'PA-Détails'!AA$1709:AA$2514)</f>
        <v>28</v>
      </c>
    </row>
    <row r="183" spans="1:3" x14ac:dyDescent="0.2">
      <c r="A183" s="17" t="str">
        <f>'PA-Détails'!A2324</f>
        <v>8.5.2 Mise en place du plan de renforcement des capacités de la DIS</v>
      </c>
      <c r="B183" s="157">
        <f>SUMIF('PA-Détails'!$A$1709:$A$2514,"=" &amp;$A183,'PA-Détails'!Z$1709:Z$2514)</f>
        <v>0</v>
      </c>
      <c r="C183" s="341">
        <f>SUMIF('PA-Détails'!$A$1709:$A$2514,"=" &amp;$A183,'PA-Détails'!AA$1709:AA$2514)</f>
        <v>279.39999999999998</v>
      </c>
    </row>
    <row r="184" spans="1:3" x14ac:dyDescent="0.2">
      <c r="A184" s="20" t="str">
        <f>'PA-Détails'!A2325</f>
        <v>8.5.2.1 Recrutement d'ingénieurs</v>
      </c>
      <c r="B184" s="168">
        <f>SUMIF('PA-Détails'!$A$1709:$A$2514,"=" &amp;$A184,'PA-Détails'!Z$1709:Z$2514)</f>
        <v>0</v>
      </c>
      <c r="C184" s="342">
        <f>SUMIF('PA-Détails'!$A$1709:$A$2514,"=" &amp;$A184,'PA-Détails'!AA$1709:AA$2514)</f>
        <v>120</v>
      </c>
    </row>
    <row r="185" spans="1:3" x14ac:dyDescent="0.2">
      <c r="A185" s="20" t="str">
        <f>'PA-Détails'!A2326</f>
        <v>8.5.2.2 Actions de formation</v>
      </c>
      <c r="B185" s="168">
        <f>SUMIF('PA-Détails'!$A$1709:$A$2514,"=" &amp;$A185,'PA-Détails'!Z$1709:Z$2514)</f>
        <v>0</v>
      </c>
      <c r="C185" s="342">
        <f>SUMIF('PA-Détails'!$A$1709:$A$2514,"=" &amp;$A185,'PA-Détails'!AA$1709:AA$2514)</f>
        <v>159.4</v>
      </c>
    </row>
    <row r="186" spans="1:3" x14ac:dyDescent="0.2">
      <c r="A186" s="14" t="str">
        <f>'PA-Détails'!A2327</f>
        <v>8.6 Redevabilité et gouvernance financière : Assurer la redevabilité des structures et Maitriser les flux ascendants</v>
      </c>
      <c r="B186" s="217">
        <f>SUMIF('PA-Détails'!$A$1709:$A$2514,"=" &amp;$A186,'PA-Détails'!Z$1709:Z$2514)</f>
        <v>0</v>
      </c>
      <c r="C186" s="340">
        <f>C187</f>
        <v>218.75</v>
      </c>
    </row>
    <row r="187" spans="1:3" x14ac:dyDescent="0.2">
      <c r="A187" s="17" t="str">
        <f>'PA-Détails'!A2328</f>
        <v>8.6.1 Renforcement des audits internes et externes</v>
      </c>
      <c r="B187" s="157">
        <f>SUMIF('PA-Détails'!$A$1709:$A$2514,"=" &amp;$A187,'PA-Détails'!Z$1709:Z$2514)</f>
        <v>0</v>
      </c>
      <c r="C187" s="341">
        <f>SUMIF('PA-Détails'!$A$1709:$A$2514,"=" &amp;$A187,'PA-Détails'!AA$1709:AA$2514)</f>
        <v>218.75</v>
      </c>
    </row>
    <row r="188" spans="1:3" x14ac:dyDescent="0.2">
      <c r="A188" s="20" t="str">
        <f>'PA-Détails'!A2329</f>
        <v xml:space="preserve">8.6.1.1 Production d'outils d'audits internes et externes </v>
      </c>
      <c r="B188" s="168">
        <f>SUMIF('PA-Détails'!$A$1709:$A$2514,"=" &amp;$A188,'PA-Détails'!Z$1709:Z$2514)</f>
        <v>0</v>
      </c>
      <c r="C188" s="342">
        <f>SUMIF('PA-Détails'!$A$1709:$A$2514,"=" &amp;$A188,'PA-Détails'!AA$1709:AA$2514)</f>
        <v>16.25</v>
      </c>
    </row>
    <row r="189" spans="1:3" x14ac:dyDescent="0.2">
      <c r="A189" s="20" t="str">
        <f>'PA-Détails'!A2330</f>
        <v xml:space="preserve">8.6.1.2 Opérations d'audits internes et externes </v>
      </c>
      <c r="B189" s="168">
        <f>SUMIF('PA-Détails'!$A$1709:$A$2514,"=" &amp;$A189,'PA-Détails'!Z$1709:Z$2514)</f>
        <v>0</v>
      </c>
      <c r="C189" s="342">
        <f>SUMIF('PA-Détails'!$A$1709:$A$2514,"=" &amp;$A189,'PA-Détails'!AA$1709:AA$2514)</f>
        <v>202.5</v>
      </c>
    </row>
    <row r="190" spans="1:3" x14ac:dyDescent="0.2">
      <c r="A190" s="14" t="str">
        <f>'PA-Détails'!A2345</f>
        <v>8.8 Gestion des manuels scolaires : amélioration des capacité de production et de gestion des manuels</v>
      </c>
      <c r="B190" s="217">
        <f>SUMIF('PA-Détails'!$A$1709:$A$2514,"=" &amp;$A190,'PA-Détails'!Z$1709:Z$2514)</f>
        <v>0</v>
      </c>
      <c r="C190" s="340">
        <f>C191</f>
        <v>105.2</v>
      </c>
    </row>
    <row r="191" spans="1:3" x14ac:dyDescent="0.2">
      <c r="A191" s="17" t="str">
        <f>'PA-Détails'!A2348</f>
        <v>8.8.2 Amélioration des capacités de production et de gestion des manuels</v>
      </c>
      <c r="B191" s="157">
        <f>SUMIF('PA-Détails'!$A$1709:$A$2514,"=" &amp;$A191,'PA-Détails'!Z$1709:Z$2514)</f>
        <v>0</v>
      </c>
      <c r="C191" s="341">
        <f>SUMIF('PA-Détails'!$A$1709:$A$2514,"=" &amp;$A191,'PA-Détails'!AA$1709:AA$2514)</f>
        <v>105.2</v>
      </c>
    </row>
    <row r="192" spans="1:3" x14ac:dyDescent="0.2">
      <c r="A192" s="20" t="str">
        <f>'PA-Détails'!A2349</f>
        <v>8.8.2.1 Élaboration d'un guide à destination des concepteurs des manuels tenant compte des questions transversales (genre, éducation à la vie, paix et citoyenneté, environnement et santé)</v>
      </c>
      <c r="B192" s="168">
        <f>SUMIF('PA-Détails'!$A$1709:$A$2514,"=" &amp;$A192,'PA-Détails'!Z$1709:Z$2514)</f>
        <v>0</v>
      </c>
      <c r="C192" s="342">
        <f>SUMIF('PA-Détails'!$A$1709:$A$2514,"=" &amp;$A192,'PA-Détails'!AA$1709:AA$2514)</f>
        <v>71.2</v>
      </c>
    </row>
    <row r="193" spans="1:3" x14ac:dyDescent="0.2">
      <c r="A193" s="20" t="str">
        <f>'PA-Détails'!A2350</f>
        <v>8.8.2.2 Renforcement des capacités à l'élaboration et à la gestion des manuels scolaires</v>
      </c>
      <c r="B193" s="168">
        <f>SUMIF('PA-Détails'!$A$1709:$A$2514,"=" &amp;$A193,'PA-Détails'!Z$1709:Z$2514)</f>
        <v>0</v>
      </c>
      <c r="C193" s="342">
        <f>SUMIF('PA-Détails'!$A$1709:$A$2514,"=" &amp;$A193,'PA-Détails'!AA$1709:AA$2514)</f>
        <v>34</v>
      </c>
    </row>
    <row r="194" spans="1:3" x14ac:dyDescent="0.2">
      <c r="A194" s="14" t="str">
        <f>'PA-Détails'!A2351</f>
        <v xml:space="preserve">8.9 Gestion décentralisée : Améliorer le cadre institutionnel pour une meilleure gestion décentralisée du secteur de l’éducation </v>
      </c>
      <c r="B194" s="217">
        <f>SUMIF('PA-Détails'!$A$1709:$A$2514,"=" &amp;$A194,'PA-Détails'!Z$1709:Z$2514)</f>
        <v>0</v>
      </c>
      <c r="C194" s="340">
        <f>C195</f>
        <v>162</v>
      </c>
    </row>
    <row r="195" spans="1:3" x14ac:dyDescent="0.2">
      <c r="A195" s="17" t="str">
        <f>'PA-Détails'!A2356</f>
        <v>8.9.3 Renforcement des COPA et COGES</v>
      </c>
      <c r="B195" s="157">
        <f>SUMIF('PA-Détails'!$A$1709:$A$2514,"=" &amp;$A195,'PA-Détails'!Z$1709:Z$2514)</f>
        <v>0</v>
      </c>
      <c r="C195" s="341">
        <f>SUMIF('PA-Détails'!$A$1709:$A$2514,"=" &amp;$A195,'PA-Détails'!AA$1709:AA$2514)</f>
        <v>162</v>
      </c>
    </row>
    <row r="196" spans="1:3" x14ac:dyDescent="0.2">
      <c r="A196" s="20" t="str">
        <f>'PA-Détails'!A2357</f>
        <v xml:space="preserve">8.9.3.1 Formation et échange d'expérience entre différents COGES et COPA </v>
      </c>
      <c r="B196" s="168">
        <f>SUMIF('PA-Détails'!$A$1709:$A$2514,"=" &amp;$A196,'PA-Détails'!Z$1709:Z$2514)</f>
        <v>0</v>
      </c>
      <c r="C196" s="342">
        <f>SUMIF('PA-Détails'!$A$1709:$A$2514,"=" &amp;$A196,'PA-Détails'!AA$1709:AA$2514)</f>
        <v>162</v>
      </c>
    </row>
    <row r="197" spans="1:3" x14ac:dyDescent="0.2">
      <c r="A197" s="14" t="str">
        <f>'PA-Détails'!A2367</f>
        <v>8.11 Assurance qualité et Pilotage de la qualité : développer une culture et des mécanismes de suivi et évaluation et de pilotage de la qualité des apprentissages</v>
      </c>
      <c r="B197" s="217">
        <f>B198+B201</f>
        <v>129.5</v>
      </c>
      <c r="C197" s="340">
        <f>SUMIF('PA-Détails'!$A$1709:$A$2514,"=" &amp;$A197,'PA-Détails'!AA$1709:AA$2514)</f>
        <v>0</v>
      </c>
    </row>
    <row r="198" spans="1:3" x14ac:dyDescent="0.2">
      <c r="A198" s="17" t="str">
        <f>'PA-Détails'!A2368</f>
        <v>8.11.1 Formation des inspecteurs de l'ESU</v>
      </c>
      <c r="B198" s="157">
        <f>SUMIF('PA-Détails'!$A$1709:$A$2514,"=" &amp;$A198,'PA-Détails'!Z$1709:Z$2514)</f>
        <v>118.5</v>
      </c>
      <c r="C198" s="341">
        <f>SUMIF('PA-Détails'!$A$1709:$A$2514,"=" &amp;$A198,'PA-Détails'!AA$1709:AA$2514)</f>
        <v>0</v>
      </c>
    </row>
    <row r="199" spans="1:3" x14ac:dyDescent="0.2">
      <c r="A199" s="20" t="str">
        <f>'PA-Détails'!A2369</f>
        <v>8.11.1.1 Élaboration d'un module de formation</v>
      </c>
      <c r="B199" s="168">
        <f>SUMIF('PA-Détails'!$A$1709:$A$2514,"=" &amp;$A199,'PA-Détails'!Z$1709:Z$2514)</f>
        <v>8.5</v>
      </c>
      <c r="C199" s="342">
        <f>SUMIF('PA-Détails'!$A$1709:$A$2514,"=" &amp;$A199,'PA-Détails'!AA$1709:AA$2514)</f>
        <v>0</v>
      </c>
    </row>
    <row r="200" spans="1:3" x14ac:dyDescent="0.2">
      <c r="A200" s="20" t="str">
        <f>'PA-Détails'!A2370</f>
        <v>8.11.1.2 Formation des inspecteurs de l'ESU</v>
      </c>
      <c r="B200" s="168">
        <f>SUMIF('PA-Détails'!$A$1709:$A$2514,"=" &amp;$A200,'PA-Détails'!Z$1709:Z$2514)</f>
        <v>110</v>
      </c>
      <c r="C200" s="342">
        <f>SUMIF('PA-Détails'!$A$1709:$A$2514,"=" &amp;$A200,'PA-Détails'!AA$1709:AA$2514)</f>
        <v>0</v>
      </c>
    </row>
    <row r="201" spans="1:3" x14ac:dyDescent="0.2">
      <c r="A201" s="17" t="str">
        <f>'PA-Détails'!A2382</f>
        <v>8.11.5 Formation des inspecteurs et directeurs</v>
      </c>
      <c r="B201" s="157">
        <f>SUMIF('PA-Détails'!$A$1709:$A$2514,"=" &amp;$A201,'PA-Détails'!Z$1709:Z$2514)</f>
        <v>11</v>
      </c>
      <c r="C201" s="341">
        <f>SUMIF('PA-Détails'!$A$1709:$A$2514,"=" &amp;$A201,'PA-Détails'!AA$1709:AA$2514)</f>
        <v>0</v>
      </c>
    </row>
    <row r="202" spans="1:3" x14ac:dyDescent="0.2">
      <c r="A202" s="20" t="str">
        <f>'PA-Détails'!A2383</f>
        <v>8.11.5.1 Élaboration d'un module de formation aux guides de diagnostic</v>
      </c>
      <c r="B202" s="168">
        <f>SUMIF('PA-Détails'!$A$1709:$A$2514,"=" &amp;$A202,'PA-Détails'!Z$1709:Z$2514)</f>
        <v>11</v>
      </c>
      <c r="C202" s="342">
        <f>SUMIF('PA-Détails'!$A$1709:$A$2514,"=" &amp;$A202,'PA-Détails'!AA$1709:AA$2514)</f>
        <v>0</v>
      </c>
    </row>
    <row r="203" spans="1:3" x14ac:dyDescent="0.2">
      <c r="A203" s="14" t="str">
        <f>'PA-Détails'!A2434</f>
        <v xml:space="preserve">8.16 Système d'information central et provincial : Renforcer le système d’information et de gestion de l’éducation (SIGE) et développer les outils et les initiatives d’exploitation locale des données </v>
      </c>
      <c r="B203" s="217">
        <f>B204+B208+B211+B214+B217</f>
        <v>0</v>
      </c>
      <c r="C203" s="340">
        <f>C204+C208+C211+C214+C217</f>
        <v>3943.75</v>
      </c>
    </row>
    <row r="204" spans="1:3" x14ac:dyDescent="0.2">
      <c r="A204" s="122" t="str">
        <f>'PA-Détails'!A2435</f>
        <v>8.16.1 Équipement informatique et collecte statistique</v>
      </c>
      <c r="B204" s="157">
        <f>SUMIF('PA-Détails'!$A$1709:$A$2514,"=" &amp;$A204,'PA-Détails'!Z$1709:Z$2514)</f>
        <v>0</v>
      </c>
      <c r="C204" s="341">
        <f>SUMIF('PA-Détails'!$A$1709:$A$2514,"=" &amp;$A204,'PA-Détails'!AA$1709:AA$2514)</f>
        <v>1609.75</v>
      </c>
    </row>
    <row r="205" spans="1:3" x14ac:dyDescent="0.2">
      <c r="A205" s="123" t="str">
        <f>'PA-Détails'!A2436</f>
        <v>8.16.1.1 Mise en place progressive du dispositif numérique de collecte de données et de saisie des données</v>
      </c>
      <c r="B205" s="168">
        <f>SUMIF('PA-Détails'!$A$1709:$A$2514,"=" &amp;$A205,'PA-Détails'!Z$1709:Z$2514)</f>
        <v>0</v>
      </c>
      <c r="C205" s="342">
        <f>SUMIF('PA-Détails'!$A$1709:$A$2514,"=" &amp;$A205,'PA-Détails'!AA$1709:AA$2514)</f>
        <v>1123</v>
      </c>
    </row>
    <row r="206" spans="1:3" x14ac:dyDescent="0.2">
      <c r="A206" s="123" t="str">
        <f>'PA-Détails'!A2437</f>
        <v xml:space="preserve">8.16.1.2 Formation des cadres au logiciel de collecte et de saisie des données </v>
      </c>
      <c r="B206" s="168">
        <f>SUMIF('PA-Détails'!$A$1709:$A$2514,"=" &amp;$A206,'PA-Détails'!Z$1709:Z$2514)</f>
        <v>0</v>
      </c>
      <c r="C206" s="342">
        <f>SUMIF('PA-Détails'!$A$1709:$A$2514,"=" &amp;$A206,'PA-Détails'!AA$1709:AA$2514)</f>
        <v>186.75</v>
      </c>
    </row>
    <row r="207" spans="1:3" x14ac:dyDescent="0.2">
      <c r="A207" s="123" t="str">
        <f>'PA-Détails'!A2438</f>
        <v>8.16.1.3 Campagne de collecte de données</v>
      </c>
      <c r="B207" s="168">
        <f>SUMIF('PA-Détails'!$A$1709:$A$2514,"=" &amp;$A207,'PA-Détails'!Z$1709:Z$2514)</f>
        <v>0</v>
      </c>
      <c r="C207" s="342">
        <f>SUMIF('PA-Détails'!$A$1709:$A$2514,"=" &amp;$A207,'PA-Détails'!AA$1709:AA$2514)</f>
        <v>300</v>
      </c>
    </row>
    <row r="208" spans="1:3" x14ac:dyDescent="0.2">
      <c r="A208" s="122" t="str">
        <f>'PA-Détails'!A2439</f>
        <v>8.16.2 Traitement, analyse, publication et diffusion des données</v>
      </c>
      <c r="B208" s="168">
        <f>SUMIF('PA-Détails'!$A$1709:$A$2514,"=" &amp;$A208,'PA-Détails'!Z$1709:Z$2514)</f>
        <v>0</v>
      </c>
      <c r="C208" s="342">
        <f>SUMIF('PA-Détails'!$A$1709:$A$2514,"=" &amp;$A208,'PA-Détails'!AA$1709:AA$2514)</f>
        <v>1695</v>
      </c>
    </row>
    <row r="209" spans="1:3" x14ac:dyDescent="0.2">
      <c r="A209" s="123" t="str">
        <f>'PA-Détails'!A2440</f>
        <v>8.16.2.1 Traitement et analyse des données</v>
      </c>
      <c r="B209" s="168">
        <f>SUMIF('PA-Détails'!$A$1709:$A$2514,"=" &amp;$A209,'PA-Détails'!Z$1709:Z$2514)</f>
        <v>0</v>
      </c>
      <c r="C209" s="342">
        <f>SUMIF('PA-Détails'!$A$1709:$A$2514,"=" &amp;$A209,'PA-Détails'!AA$1709:AA$2514)</f>
        <v>720</v>
      </c>
    </row>
    <row r="210" spans="1:3" x14ac:dyDescent="0.2">
      <c r="A210" s="123" t="str">
        <f>'PA-Détails'!A2441</f>
        <v>8.16.2.2 Publication des annuaires nationaux et provinciaux et des cartes scolaires</v>
      </c>
      <c r="B210" s="168">
        <f>SUMIF('PA-Détails'!$A$1709:$A$2514,"=" &amp;$A210,'PA-Détails'!Z$1709:Z$2514)</f>
        <v>0</v>
      </c>
      <c r="C210" s="342">
        <f>SUMIF('PA-Détails'!$A$1709:$A$2514,"=" &amp;$A210,'PA-Détails'!AA$1709:AA$2514)</f>
        <v>975</v>
      </c>
    </row>
    <row r="211" spans="1:3" x14ac:dyDescent="0.2">
      <c r="A211" s="122" t="str">
        <f>'PA-Détails'!A2442</f>
        <v>8.16.3 Consolidation et publication de la carte scolaire/universitaire</v>
      </c>
      <c r="B211" s="168">
        <f>SUMIF('PA-Détails'!$A$1709:$A$2514,"=" &amp;$A211,'PA-Détails'!Z$1709:Z$2514)</f>
        <v>0</v>
      </c>
      <c r="C211" s="342">
        <f>SUMIF('PA-Détails'!$A$1709:$A$2514,"=" &amp;$A211,'PA-Détails'!AA$1709:AA$2514)</f>
        <v>418</v>
      </c>
    </row>
    <row r="212" spans="1:3" x14ac:dyDescent="0.2">
      <c r="A212" s="123" t="str">
        <f>'PA-Détails'!A2443</f>
        <v>8.16.3.1 Élaboration des cartes scolaires/universitaires</v>
      </c>
      <c r="B212" s="168">
        <f>SUMIF('PA-Détails'!$A$1709:$A$2514,"=" &amp;$A212,'PA-Détails'!Z$1709:Z$2514)</f>
        <v>0</v>
      </c>
      <c r="C212" s="342">
        <f>SUMIF('PA-Détails'!$A$1709:$A$2514,"=" &amp;$A212,'PA-Détails'!AA$1709:AA$2514)</f>
        <v>178</v>
      </c>
    </row>
    <row r="213" spans="1:3" x14ac:dyDescent="0.2">
      <c r="A213" s="123" t="str">
        <f>'PA-Détails'!A2444</f>
        <v>8.16.3.2 Publication de la carte scolaire/universitaire (papier et numérique)</v>
      </c>
      <c r="B213" s="168">
        <f>SUMIF('PA-Détails'!$A$1709:$A$2514,"=" &amp;$A213,'PA-Détails'!Z$1709:Z$2514)</f>
        <v>0</v>
      </c>
      <c r="C213" s="342">
        <f>SUMIF('PA-Détails'!$A$1709:$A$2514,"=" &amp;$A213,'PA-Détails'!AA$1709:AA$2514)</f>
        <v>240</v>
      </c>
    </row>
    <row r="214" spans="1:3" x14ac:dyDescent="0.2">
      <c r="A214" s="122" t="str">
        <f>'PA-Détails'!A2445</f>
        <v>8.16.4 Définition des tableaux de bord provinciaux</v>
      </c>
      <c r="B214" s="157">
        <f>SUMIF('PA-Détails'!$A$1709:$A$2514,"=" &amp;$A214,'PA-Détails'!Z$1709:Z$2514)</f>
        <v>0</v>
      </c>
      <c r="C214" s="341">
        <f>SUMIF('PA-Détails'!$A$1709:$A$2514,"=" &amp;$A214,'PA-Détails'!AA$1709:AA$2514)</f>
        <v>50</v>
      </c>
    </row>
    <row r="215" spans="1:3" x14ac:dyDescent="0.2">
      <c r="A215" s="123" t="str">
        <f>'PA-Détails'!A2446</f>
        <v>8.16.4.1 Définition des méthodes d'élaboration des tableaux des tableaux de bord provinciaux</v>
      </c>
      <c r="B215" s="157">
        <f>SUMIF('PA-Détails'!$A$1709:$A$2514,"=" &amp;$A215,'PA-Détails'!Z$1709:Z$2514)</f>
        <v>0</v>
      </c>
      <c r="C215" s="341">
        <f>SUMIF('PA-Détails'!$A$1709:$A$2514,"=" &amp;$A215,'PA-Détails'!AA$1709:AA$2514)</f>
        <v>27.75</v>
      </c>
    </row>
    <row r="216" spans="1:3" x14ac:dyDescent="0.2">
      <c r="A216" s="123" t="str">
        <f>'PA-Détails'!A2447</f>
        <v>8.16.4.2 Élaboration des premiers tableaux de bord provinciaux</v>
      </c>
      <c r="B216" s="168">
        <f>SUMIF('PA-Détails'!$A$1709:$A$2514,"=" &amp;$A216,'PA-Détails'!Z$1709:Z$2514)</f>
        <v>0</v>
      </c>
      <c r="C216" s="342">
        <f>SUMIF('PA-Détails'!$A$1709:$A$2514,"=" &amp;$A216,'PA-Détails'!AA$1709:AA$2514)</f>
        <v>22.25</v>
      </c>
    </row>
    <row r="217" spans="1:3" x14ac:dyDescent="0.2">
      <c r="A217" s="122" t="str">
        <f>'PA-Détails'!A2448</f>
        <v>8.16.5 Généralisation des tableaux de bord provinciaux</v>
      </c>
      <c r="B217" s="157">
        <f>SUMIF('PA-Détails'!$A$1709:$A$2514,"=" &amp;$A217,'PA-Détails'!Z$1709:Z$2514)</f>
        <v>0</v>
      </c>
      <c r="C217" s="341">
        <f>SUMIF('PA-Détails'!$A$1709:$A$2514,"=" &amp;$A217,'PA-Détails'!AA$1709:AA$2514)</f>
        <v>171</v>
      </c>
    </row>
    <row r="218" spans="1:3" x14ac:dyDescent="0.2">
      <c r="A218" s="123" t="str">
        <f>'PA-Détails'!A2449</f>
        <v>8.16.5.1 Formation aux outils et méthodes</v>
      </c>
      <c r="B218" s="168">
        <f>SUMIF('PA-Détails'!$A$1709:$A$2514,"=" &amp;$A218,'PA-Détails'!Z$1709:Z$2514)</f>
        <v>0</v>
      </c>
      <c r="C218" s="342">
        <f>SUMIF('PA-Détails'!$A$1709:$A$2514,"=" &amp;$A218,'PA-Détails'!AA$1709:AA$2514)</f>
        <v>27</v>
      </c>
    </row>
    <row r="219" spans="1:3" x14ac:dyDescent="0.2">
      <c r="A219" s="123" t="str">
        <f>'PA-Détails'!A2450</f>
        <v>8.16.5.2 Publication et diffusion des tableaux de bords provinciaux</v>
      </c>
      <c r="B219" s="168">
        <f>SUMIF('PA-Détails'!$A$1709:$A$2514,"=" &amp;$A219,'PA-Détails'!Z$1709:Z$2514)</f>
        <v>0</v>
      </c>
      <c r="C219" s="342">
        <f>SUMIF('PA-Détails'!$A$1709:$A$2514,"=" &amp;$A219,'PA-Détails'!AA$1709:AA$2514)</f>
        <v>144</v>
      </c>
    </row>
    <row r="220" spans="1:3" x14ac:dyDescent="0.2">
      <c r="A220" s="14" t="s">
        <v>1514</v>
      </c>
      <c r="B220" s="217">
        <f>B221+B223</f>
        <v>0</v>
      </c>
      <c r="C220" s="340">
        <f>C221+C223</f>
        <v>151.5</v>
      </c>
    </row>
    <row r="221" spans="1:3" x14ac:dyDescent="0.2">
      <c r="A221" s="17" t="str">
        <f>'PA-Détails'!A2459</f>
        <v>8.17.4 Renforcer le rôle de coordination aux niveaux central et décentralisés</v>
      </c>
      <c r="B221" s="157">
        <f>SUMIF('PA-Détails'!$A$1709:$A$2514,"=" &amp;$A221,'PA-Détails'!Z$1709:Z$2514)</f>
        <v>0</v>
      </c>
      <c r="C221" s="341">
        <f>SUMIF('PA-Détails'!$A$1709:$A$2514,"=" &amp;$A221,'PA-Détails'!AA$1709:AA$2514)</f>
        <v>11.5</v>
      </c>
    </row>
    <row r="222" spans="1:3" x14ac:dyDescent="0.2">
      <c r="A222" s="20" t="str">
        <f>'PA-Détails'!A2460</f>
        <v>8.17.4.1 Organisation du montage institutionnel et installation des structures provinciales</v>
      </c>
      <c r="B222" s="168">
        <f>SUMIF('PA-Détails'!$A$1709:$A$2514,"=" &amp;$A222,'PA-Détails'!Z$1709:Z$2514)</f>
        <v>0</v>
      </c>
      <c r="C222" s="342">
        <f>SUMIF('PA-Détails'!$A$1709:$A$2514,"=" &amp;$A222,'PA-Détails'!AA$1709:AA$2514)</f>
        <v>11.5</v>
      </c>
    </row>
    <row r="223" spans="1:3" x14ac:dyDescent="0.2">
      <c r="A223" s="17" t="str">
        <f>'PA-Détails'!A2470</f>
        <v>8.17.8 Renforcer le contrôle qualité des constructions</v>
      </c>
      <c r="B223" s="157">
        <f>SUMIF('PA-Détails'!$A$1709:$A$2514,"=" &amp;$A223,'PA-Détails'!Z$1709:Z$2514)</f>
        <v>0</v>
      </c>
      <c r="C223" s="341">
        <f>SUMIF('PA-Détails'!$A$1709:$A$2514,"=" &amp;$A223,'PA-Détails'!AA$1709:AA$2514)</f>
        <v>140</v>
      </c>
    </row>
    <row r="224" spans="1:3" x14ac:dyDescent="0.2">
      <c r="A224" s="20" t="str">
        <f>'PA-Détails'!A2471</f>
        <v xml:space="preserve">8.17.8.1 Respect des normes de constructions </v>
      </c>
      <c r="B224" s="168">
        <f>SUMIF('PA-Détails'!$A$1709:$A$2514,"=" &amp;$A224,'PA-Détails'!Z$1709:Z$2514)</f>
        <v>0</v>
      </c>
      <c r="C224" s="342">
        <f>SUMIF('PA-Détails'!$A$1709:$A$2514,"=" &amp;$A224,'PA-Détails'!AA$1709:AA$2514)</f>
        <v>125</v>
      </c>
    </row>
    <row r="225" spans="1:4" x14ac:dyDescent="0.2">
      <c r="A225" s="20" t="str">
        <f>'PA-Détails'!A2472</f>
        <v>8.17.8.2 Élaboration d'un guide des normes de construction des établissements ETFP</v>
      </c>
      <c r="B225" s="168">
        <f>SUMIF('PA-Détails'!$A$1709:$A$2514,"=" &amp;$A225,'PA-Détails'!Z$1709:Z$2514)</f>
        <v>0</v>
      </c>
      <c r="C225" s="342">
        <f>SUMIF('PA-Détails'!$A$1709:$A$2514,"=" &amp;$A225,'PA-Détails'!AA$1709:AA$2514)</f>
        <v>15</v>
      </c>
    </row>
    <row r="226" spans="1:4" x14ac:dyDescent="0.2">
      <c r="A226" s="14" t="str">
        <f>'PA-Détails'!A2486</f>
        <v>8.18 Éducation à la nouvelle citoyenneté et à la paix et Prévention des violences</v>
      </c>
      <c r="B226" s="217">
        <f>B227</f>
        <v>0</v>
      </c>
      <c r="C226" s="340">
        <f>C227</f>
        <v>457.5</v>
      </c>
    </row>
    <row r="227" spans="1:4" x14ac:dyDescent="0.2">
      <c r="A227" s="17" t="str">
        <f>'PA-Détails'!A2499</f>
        <v>8.18.4 Renforcer des capacités institutionnelles et humaines</v>
      </c>
      <c r="B227" s="157">
        <f>SUMIF('PA-Détails'!$A$1709:$A$2514,"=" &amp;$A227,'PA-Détails'!Z$1709:Z$2514)</f>
        <v>0</v>
      </c>
      <c r="C227" s="341">
        <f>SUMIF('PA-Détails'!$A$1709:$A$2514,"=" &amp;$A227,'PA-Détails'!AA$1709:AA$2514)</f>
        <v>457.5</v>
      </c>
    </row>
    <row r="228" spans="1:4" x14ac:dyDescent="0.2">
      <c r="A228" s="20" t="str">
        <f>'PA-Détails'!A2500</f>
        <v>8.18.4.1 Organisation du montage institutionnel et installation des structures provinciales</v>
      </c>
      <c r="B228" s="168">
        <f>SUMIF('PA-Détails'!$A$1709:$A$2514,"=" &amp;$A228,'PA-Détails'!Z$1709:Z$2514)</f>
        <v>0</v>
      </c>
      <c r="C228" s="342">
        <f>SUMIF('PA-Détails'!$A$1709:$A$2514,"=" &amp;$A228,'PA-Détails'!AA$1709:AA$2514)</f>
        <v>13</v>
      </c>
    </row>
    <row r="229" spans="1:4" x14ac:dyDescent="0.2">
      <c r="A229" s="20" t="str">
        <f>'PA-Détails'!A2501</f>
        <v>8.18.4.2 Renforcement des capacités</v>
      </c>
      <c r="B229" s="168">
        <f>SUMIF('PA-Détails'!$A$1709:$A$2514,"=" &amp;$A229,'PA-Détails'!Z$1709:Z$2514)</f>
        <v>0</v>
      </c>
      <c r="C229" s="342">
        <f>SUMIF('PA-Détails'!$A$1709:$A$2514,"=" &amp;$A229,'PA-Détails'!AA$1709:AA$2514)</f>
        <v>444.5</v>
      </c>
    </row>
    <row r="230" spans="1:4" x14ac:dyDescent="0.2">
      <c r="A230" s="14" t="str">
        <f>'PA-Détails'!A2506</f>
        <v>8.19 Pilotage et coordination du Plan sectoriel : Renforcement des structures, dispositifs et mesures institutionnels de pilotage, de coordination et de mise en œuvre et de suivi du Plan sectoriel</v>
      </c>
      <c r="B230" s="217">
        <f>SUMIF('PA-Détails'!$A$1709:$A$2514,"=" &amp;$A230,'PA-Détails'!Z$1709:Z$2514)</f>
        <v>0</v>
      </c>
      <c r="C230" s="340">
        <f>C231+C234+C236</f>
        <v>20823</v>
      </c>
    </row>
    <row r="231" spans="1:4" x14ac:dyDescent="0.2">
      <c r="A231" s="17" t="str">
        <f>'PA-Détails'!A2507</f>
        <v>8.19.1 Assurer la coordination stratégique et opérationnelle du Plan sectoriel</v>
      </c>
      <c r="B231" s="157">
        <f>SUMIF('PA-Détails'!$A$1709:$A$2514,"=" &amp;$A231,'PA-Détails'!Z$1709:Z$2514)</f>
        <v>0</v>
      </c>
      <c r="C231" s="341">
        <f>SUMIF('PA-Détails'!$A$1709:$A$2514,"=" &amp;$A231,'PA-Détails'!AA$1709:AA$2514)</f>
        <v>18476</v>
      </c>
    </row>
    <row r="232" spans="1:4" x14ac:dyDescent="0.2">
      <c r="A232" s="20" t="str">
        <f>'PA-Détails'!A2508</f>
        <v>8.19.1.1 Renforcement des structures de pilotage et coordination</v>
      </c>
      <c r="B232" s="168">
        <f>SUMIF('PA-Détails'!$A$1709:$A$2514,"=" &amp;$A232,'PA-Détails'!Z$1709:Z$2514)</f>
        <v>0</v>
      </c>
      <c r="C232" s="342">
        <f>SUMIF('PA-Détails'!$A$1709:$A$2514,"=" &amp;$A232,'PA-Détails'!AA$1709:AA$2514)</f>
        <v>15108</v>
      </c>
    </row>
    <row r="233" spans="1:4" x14ac:dyDescent="0.2">
      <c r="A233" s="20" t="str">
        <f>'PA-Détails'!A2509</f>
        <v>8.19.1.2 Renforcement des structures de mise en œuvre du Plan sectoriel</v>
      </c>
      <c r="B233" s="168">
        <f>SUMIF('PA-Détails'!$A$1709:$A$2514,"=" &amp;$A233,'PA-Détails'!Z$1709:Z$2514)</f>
        <v>0</v>
      </c>
      <c r="C233" s="342">
        <f>SUMIF('PA-Détails'!$A$1709:$A$2514,"=" &amp;$A233,'PA-Détails'!AA$1709:AA$2514)</f>
        <v>3368</v>
      </c>
    </row>
    <row r="234" spans="1:4" x14ac:dyDescent="0.2">
      <c r="A234" s="17" t="str">
        <f>'PA-Détails'!A2510</f>
        <v>8.19.2 Assurer le suivi et l'évaluation du Plan sectoriel</v>
      </c>
      <c r="B234" s="157">
        <f>SUMIF('PA-Détails'!$A$1709:$A$2514,"=" &amp;$A234,'PA-Détails'!Z$1709:Z$2514)</f>
        <v>0</v>
      </c>
      <c r="C234" s="341">
        <f>SUMIF('PA-Détails'!$A$1709:$A$2514,"=" &amp;$A234,'PA-Détails'!AA$1709:AA$2514)</f>
        <v>2287.5</v>
      </c>
    </row>
    <row r="235" spans="1:4" x14ac:dyDescent="0.2">
      <c r="A235" s="20" t="str">
        <f>'PA-Détails'!A2511</f>
        <v>8.19.2.1 Organisation et tenue des Revues conjointes</v>
      </c>
      <c r="B235" s="168">
        <f>SUMIF('PA-Détails'!$A$1709:$A$2514,"=" &amp;$A235,'PA-Détails'!Z$1709:Z$2514)</f>
        <v>0</v>
      </c>
      <c r="C235" s="342">
        <f>SUMIF('PA-Détails'!$A$1709:$A$2514,"=" &amp;$A235,'PA-Détails'!AA$1709:AA$2514)</f>
        <v>2287.5</v>
      </c>
    </row>
    <row r="236" spans="1:4" x14ac:dyDescent="0.2">
      <c r="A236" s="17" t="str">
        <f>'PA-Détails'!A2512</f>
        <v>8.19.3 Assurer le fonctionnement du cadre de coordination interministérielle</v>
      </c>
      <c r="B236" s="157">
        <f>SUMIF('PA-Détails'!$A$1709:$A$2514,"=" &amp;$A236,'PA-Détails'!Z$1709:Z$2514)</f>
        <v>0</v>
      </c>
      <c r="C236" s="341">
        <f>SUMIF('PA-Détails'!$A$1709:$A$2514,"=" &amp;$A236,'PA-Détails'!AA$1709:AA$2514)</f>
        <v>59.5</v>
      </c>
    </row>
    <row r="237" spans="1:4" x14ac:dyDescent="0.2">
      <c r="A237" s="20" t="str">
        <f>'PA-Détails'!A2513</f>
        <v>8.19.3.1 Définition d'un cadre de coordination interministérielle</v>
      </c>
      <c r="B237" s="168">
        <f>SUMIF('PA-Détails'!$A$1709:$A$2514,"=" &amp;$A237,'PA-Détails'!Z$1709:Z$2514)</f>
        <v>0</v>
      </c>
      <c r="C237" s="342">
        <f>SUMIF('PA-Détails'!$A$1709:$A$2514,"=" &amp;$A237,'PA-Détails'!AA$1709:AA$2514)</f>
        <v>9.5</v>
      </c>
    </row>
    <row r="238" spans="1:4" ht="12" thickBot="1" x14ac:dyDescent="0.25">
      <c r="A238" s="20" t="str">
        <f>'PA-Détails'!A2514</f>
        <v>8.19.3.2 Mise en place et fonctionnement du cadre de coordination interministérielle</v>
      </c>
      <c r="B238" s="168">
        <f>SUMIF('PA-Détails'!$A$1709:$A$2514,"=" &amp;$A238,'PA-Détails'!Z$1709:Z$2514)</f>
        <v>0</v>
      </c>
      <c r="C238" s="342">
        <f>SUMIF('PA-Détails'!$A$1709:$A$2514,"=" &amp;$A238,'PA-Détails'!AA$1709:AA$2514)</f>
        <v>50</v>
      </c>
    </row>
    <row r="239" spans="1:4" ht="12.75" thickTop="1" thickBot="1" x14ac:dyDescent="0.25">
      <c r="A239" s="260" t="str">
        <f>'PA-Détails'!A2515</f>
        <v>Total général</v>
      </c>
      <c r="B239" s="377">
        <f>SUM(B5:B238)/3</f>
        <v>248432.96933333334</v>
      </c>
      <c r="C239" s="550">
        <f>SUM(C5:C238)/3</f>
        <v>56815.373333333329</v>
      </c>
      <c r="D239" s="148">
        <f>B239+C239</f>
        <v>305248.34266666666</v>
      </c>
    </row>
    <row r="240" spans="1:4" ht="12" thickTop="1" x14ac:dyDescent="0.2">
      <c r="B240" s="546">
        <f>D239/1000</f>
        <v>305.24834266666664</v>
      </c>
      <c r="C240" s="546">
        <f>B239/1000</f>
        <v>248.43296933333335</v>
      </c>
      <c r="D240" s="546">
        <f>C239/1000</f>
        <v>56.815373333333326</v>
      </c>
    </row>
  </sheetData>
  <mergeCells count="2"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732"/>
  <sheetViews>
    <sheetView showGridLines="0" showZeros="0" tabSelected="1" topLeftCell="A16" workbookViewId="0">
      <selection activeCell="B30" sqref="B30"/>
    </sheetView>
  </sheetViews>
  <sheetFormatPr defaultColWidth="11" defaultRowHeight="11.25" x14ac:dyDescent="0.2"/>
  <cols>
    <col min="1" max="1" width="11" style="1"/>
    <col min="2" max="2" width="59.875" style="1" customWidth="1"/>
    <col min="3" max="11" width="0" style="1" hidden="1" customWidth="1"/>
    <col min="12" max="16" width="11" style="1"/>
    <col min="17" max="17" width="11.625" style="1" customWidth="1"/>
    <col min="18" max="18" width="8.125" style="572" customWidth="1"/>
    <col min="19" max="20" width="6.75" style="572" hidden="1" customWidth="1"/>
    <col min="21" max="21" width="108.875" style="572" hidden="1" customWidth="1"/>
    <col min="22" max="22" width="11.625" style="572" customWidth="1"/>
    <col min="23" max="25" width="11" style="572"/>
    <col min="26" max="16384" width="11" style="1"/>
  </cols>
  <sheetData>
    <row r="3" spans="1:21" ht="12" x14ac:dyDescent="0.2">
      <c r="A3" s="308" t="str">
        <f>'PA-Détails'!A1</f>
        <v>Plan d'action de la Stratégie sectorielle de l’éducation et de la formation 2016-2025</v>
      </c>
      <c r="C3" s="47"/>
      <c r="L3" s="148"/>
      <c r="M3" s="148"/>
      <c r="N3" s="148"/>
      <c r="O3" s="148"/>
      <c r="P3" s="148"/>
      <c r="Q3" s="148"/>
      <c r="R3" s="570"/>
      <c r="S3" s="570"/>
      <c r="T3" s="570"/>
      <c r="U3" s="571"/>
    </row>
    <row r="4" spans="1:21" x14ac:dyDescent="0.2">
      <c r="A4" s="309" t="str">
        <f>'PA-Détails'!A2</f>
        <v>Programme 2016-2020</v>
      </c>
      <c r="C4" s="47"/>
      <c r="L4" s="148"/>
      <c r="M4" s="148"/>
      <c r="N4" s="148"/>
      <c r="O4" s="148"/>
      <c r="P4" s="148"/>
      <c r="Q4" s="148"/>
      <c r="R4" s="570"/>
      <c r="S4" s="570"/>
      <c r="T4" s="570"/>
      <c r="U4" s="571"/>
    </row>
    <row r="5" spans="1:21" ht="12" thickBot="1" x14ac:dyDescent="0.25">
      <c r="A5" s="310" t="s">
        <v>972</v>
      </c>
      <c r="C5" s="47"/>
      <c r="L5" s="148"/>
      <c r="M5" s="148"/>
      <c r="N5" s="148"/>
      <c r="O5" s="148"/>
      <c r="P5" s="148"/>
      <c r="Q5" s="148"/>
      <c r="R5" s="570"/>
      <c r="S5" s="570"/>
      <c r="T5" s="570"/>
      <c r="U5" s="571"/>
    </row>
    <row r="6" spans="1:21" ht="16.5" thickTop="1" x14ac:dyDescent="0.25">
      <c r="A6" s="433" t="s">
        <v>0</v>
      </c>
      <c r="B6" s="434"/>
      <c r="C6" s="435"/>
      <c r="D6" s="436"/>
      <c r="E6" s="679"/>
      <c r="F6" s="679"/>
      <c r="G6" s="679"/>
      <c r="H6" s="679"/>
      <c r="I6" s="679"/>
      <c r="J6" s="679"/>
      <c r="K6" s="436"/>
      <c r="L6" s="679" t="s">
        <v>3</v>
      </c>
      <c r="M6" s="680"/>
      <c r="N6" s="680"/>
      <c r="O6" s="680"/>
      <c r="P6" s="680"/>
      <c r="Q6" s="681"/>
      <c r="R6" s="570"/>
      <c r="S6" s="573" t="s">
        <v>5</v>
      </c>
      <c r="T6" s="574" t="s">
        <v>6</v>
      </c>
      <c r="U6" s="575" t="s">
        <v>139</v>
      </c>
    </row>
    <row r="7" spans="1:21" x14ac:dyDescent="0.2">
      <c r="A7" s="437" t="s">
        <v>7</v>
      </c>
      <c r="B7" s="325"/>
      <c r="C7" s="438"/>
      <c r="D7" s="438"/>
      <c r="E7" s="426"/>
      <c r="F7" s="426"/>
      <c r="G7" s="426"/>
      <c r="H7" s="426"/>
      <c r="I7" s="426"/>
      <c r="J7" s="439"/>
      <c r="K7" s="440"/>
      <c r="L7" s="426">
        <f>'PA-Détails'!L1708</f>
        <v>2016</v>
      </c>
      <c r="M7" s="426">
        <f>L7+1</f>
        <v>2017</v>
      </c>
      <c r="N7" s="426">
        <f>M7+1</f>
        <v>2018</v>
      </c>
      <c r="O7" s="426">
        <f>N7+1</f>
        <v>2019</v>
      </c>
      <c r="P7" s="426">
        <f>O7+1</f>
        <v>2020</v>
      </c>
      <c r="Q7" s="427" t="s">
        <v>8</v>
      </c>
      <c r="R7" s="570"/>
      <c r="S7" s="576" t="s">
        <v>10</v>
      </c>
      <c r="T7" s="577" t="s">
        <v>11</v>
      </c>
      <c r="U7" s="578"/>
    </row>
    <row r="8" spans="1:21" x14ac:dyDescent="0.2">
      <c r="A8" s="441" t="str">
        <f>'PA-Détails'!A1709</f>
        <v>1. Enseignement préscolaire : Développer une préscolarisation de qualité, particulièrement en milieu rural</v>
      </c>
      <c r="B8" s="442"/>
      <c r="C8" s="391">
        <f>'PA-Détails'!C1709</f>
        <v>0</v>
      </c>
      <c r="D8" s="339">
        <f>'PA-Détails'!D1709</f>
        <v>11113.45</v>
      </c>
      <c r="E8" s="339">
        <f>'PA-Détails'!E1709</f>
        <v>15231.4</v>
      </c>
      <c r="F8" s="339">
        <f>'PA-Détails'!F1709</f>
        <v>32451.5</v>
      </c>
      <c r="G8" s="339">
        <f>'PA-Détails'!G1709</f>
        <v>37042</v>
      </c>
      <c r="H8" s="339">
        <f>'PA-Détails'!H1709</f>
        <v>41716.199999999997</v>
      </c>
      <c r="I8" s="339">
        <f>'PA-Détails'!I1709</f>
        <v>137554.54999999999</v>
      </c>
      <c r="J8" s="443">
        <f>'PA-Détails'!J1709</f>
        <v>0</v>
      </c>
      <c r="K8" s="29">
        <f>'PA-Détails'!K1709</f>
        <v>0</v>
      </c>
      <c r="L8" s="29">
        <f>'PA-Détails'!L1709</f>
        <v>11113450</v>
      </c>
      <c r="M8" s="29">
        <f>'PA-Détails'!M1709</f>
        <v>15231400</v>
      </c>
      <c r="N8" s="29">
        <f>'PA-Détails'!N1709</f>
        <v>32451500</v>
      </c>
      <c r="O8" s="29">
        <f>'PA-Détails'!O1709</f>
        <v>37042000</v>
      </c>
      <c r="P8" s="29">
        <f>'PA-Détails'!P1709</f>
        <v>41716200</v>
      </c>
      <c r="Q8" s="430">
        <f>'PA-Détails'!Q1709</f>
        <v>137554550</v>
      </c>
      <c r="R8" s="570"/>
      <c r="S8" s="579">
        <f>'PA-Détails'!S1709</f>
        <v>0</v>
      </c>
      <c r="T8" s="579">
        <f>'PA-Détails'!T1709</f>
        <v>0</v>
      </c>
      <c r="U8" s="580">
        <f>'PA-Détails'!T1709</f>
        <v>0</v>
      </c>
    </row>
    <row r="9" spans="1:21" x14ac:dyDescent="0.2">
      <c r="A9" s="368" t="str">
        <f>'PA-Détails'!A1710</f>
        <v>1.1 Espaces Communautaires d'Éveil : Susciter et encourager les initiatives communautaires</v>
      </c>
      <c r="B9" s="444"/>
      <c r="C9" s="385">
        <f>'PA-Détails'!C1710</f>
        <v>0</v>
      </c>
      <c r="D9" s="217">
        <f>'PA-Détails'!D1710</f>
        <v>365.5</v>
      </c>
      <c r="E9" s="217">
        <f>'PA-Détails'!E1710</f>
        <v>248.3</v>
      </c>
      <c r="F9" s="217">
        <f>'PA-Détails'!F1710</f>
        <v>122.3</v>
      </c>
      <c r="G9" s="217">
        <f>'PA-Détails'!G1710</f>
        <v>170</v>
      </c>
      <c r="H9" s="217">
        <f>'PA-Détails'!H1710</f>
        <v>65</v>
      </c>
      <c r="I9" s="217">
        <f>'PA-Détails'!I1710</f>
        <v>971.1</v>
      </c>
      <c r="J9" s="445">
        <f>'PA-Détails'!J1710</f>
        <v>0</v>
      </c>
      <c r="K9" s="32">
        <f>'PA-Détails'!K1710</f>
        <v>0</v>
      </c>
      <c r="L9" s="32">
        <f>'PA-Détails'!L1710</f>
        <v>365500</v>
      </c>
      <c r="M9" s="32">
        <f>'PA-Détails'!M1710</f>
        <v>248300</v>
      </c>
      <c r="N9" s="32">
        <f>'PA-Détails'!N1710</f>
        <v>122300</v>
      </c>
      <c r="O9" s="32">
        <f>'PA-Détails'!O1710</f>
        <v>170000</v>
      </c>
      <c r="P9" s="32">
        <f>'PA-Détails'!P1710</f>
        <v>65000</v>
      </c>
      <c r="Q9" s="428">
        <f>'PA-Détails'!Q1710</f>
        <v>971100</v>
      </c>
      <c r="R9" s="570"/>
      <c r="S9" s="581">
        <f>'PA-Détails'!S1710</f>
        <v>0</v>
      </c>
      <c r="T9" s="582">
        <f>'PA-Détails'!T1710</f>
        <v>1</v>
      </c>
      <c r="U9" s="583">
        <f>'PA-Détails'!T1710</f>
        <v>1</v>
      </c>
    </row>
    <row r="10" spans="1:21" x14ac:dyDescent="0.2">
      <c r="A10" s="369" t="str">
        <f>'PA-Détails'!A1711</f>
        <v>1.1.1 Sensibilisation des communautés à la création d'Espaces Communautaires d'Éveil</v>
      </c>
      <c r="B10" s="446"/>
      <c r="C10" s="386" t="str">
        <f>'PA-Détails'!C1711</f>
        <v>Les ECE accueillent 20% des élèves du préscolaire en 2025</v>
      </c>
      <c r="D10" s="168">
        <f>'PA-Détails'!D1711</f>
        <v>365.5</v>
      </c>
      <c r="E10" s="168">
        <f>'PA-Détails'!E1711</f>
        <v>248.3</v>
      </c>
      <c r="F10" s="168">
        <f>'PA-Détails'!F1711</f>
        <v>122.3</v>
      </c>
      <c r="G10" s="168">
        <f>'PA-Détails'!G1711</f>
        <v>170</v>
      </c>
      <c r="H10" s="168">
        <f>'PA-Détails'!H1711</f>
        <v>65</v>
      </c>
      <c r="I10" s="168">
        <f>'PA-Détails'!I1711</f>
        <v>971.1</v>
      </c>
      <c r="J10" s="447">
        <f>'PA-Détails'!J1711</f>
        <v>0</v>
      </c>
      <c r="K10" s="36">
        <f>'PA-Détails'!K1711</f>
        <v>0</v>
      </c>
      <c r="L10" s="36">
        <f>'PA-Détails'!L1711</f>
        <v>365500</v>
      </c>
      <c r="M10" s="36">
        <f>'PA-Détails'!M1711</f>
        <v>248300</v>
      </c>
      <c r="N10" s="36">
        <f>'PA-Détails'!N1711</f>
        <v>122300</v>
      </c>
      <c r="O10" s="36">
        <f>'PA-Détails'!O1711</f>
        <v>170000</v>
      </c>
      <c r="P10" s="36">
        <f>'PA-Détails'!P1711</f>
        <v>65000</v>
      </c>
      <c r="Q10" s="429">
        <f>'PA-Détails'!Q1711</f>
        <v>971100</v>
      </c>
      <c r="R10" s="570"/>
      <c r="S10" s="584">
        <f>'PA-Détails'!S1711</f>
        <v>0</v>
      </c>
      <c r="T10" s="585">
        <f>'PA-Détails'!T1711</f>
        <v>0</v>
      </c>
      <c r="U10" s="586">
        <f>'PA-Détails'!T1711</f>
        <v>0</v>
      </c>
    </row>
    <row r="11" spans="1:21" x14ac:dyDescent="0.2">
      <c r="A11" s="368" t="str">
        <f>'PA-Détails'!A1716</f>
        <v>1.2 Classes préparatoires dans les écoles primaires : développer la préscolarisation des enfants de 5 ans</v>
      </c>
      <c r="B11" s="448"/>
      <c r="C11" s="385">
        <f>'PA-Détails'!C1716</f>
        <v>0</v>
      </c>
      <c r="D11" s="217">
        <f>'PA-Détails'!D1716</f>
        <v>258.60000000000002</v>
      </c>
      <c r="E11" s="217">
        <f>'PA-Détails'!E1716</f>
        <v>1055</v>
      </c>
      <c r="F11" s="217">
        <f>'PA-Détails'!F1716</f>
        <v>13110</v>
      </c>
      <c r="G11" s="217">
        <f>'PA-Détails'!G1716</f>
        <v>15110</v>
      </c>
      <c r="H11" s="217">
        <f>'PA-Détails'!H1716</f>
        <v>17110</v>
      </c>
      <c r="I11" s="217">
        <f>'PA-Détails'!I1716</f>
        <v>46643.6</v>
      </c>
      <c r="J11" s="449">
        <f>'PA-Détails'!J1716</f>
        <v>0</v>
      </c>
      <c r="K11" s="32">
        <f>'PA-Détails'!K1716</f>
        <v>0</v>
      </c>
      <c r="L11" s="32">
        <f>'PA-Détails'!L1716</f>
        <v>258600</v>
      </c>
      <c r="M11" s="32">
        <f>'PA-Détails'!M1716</f>
        <v>1055000</v>
      </c>
      <c r="N11" s="32">
        <f>'PA-Détails'!N1716</f>
        <v>13110000</v>
      </c>
      <c r="O11" s="32">
        <f>'PA-Détails'!O1716</f>
        <v>15110000</v>
      </c>
      <c r="P11" s="32">
        <f>'PA-Détails'!P1716</f>
        <v>17110000</v>
      </c>
      <c r="Q11" s="428">
        <f>'PA-Détails'!Q1716</f>
        <v>46643600</v>
      </c>
      <c r="R11" s="570"/>
      <c r="S11" s="581">
        <f>'PA-Détails'!S1716</f>
        <v>0</v>
      </c>
      <c r="T11" s="581">
        <f>'PA-Détails'!T1716</f>
        <v>1</v>
      </c>
      <c r="U11" s="583">
        <f>'PA-Détails'!T1716</f>
        <v>1</v>
      </c>
    </row>
    <row r="12" spans="1:21" x14ac:dyDescent="0.2">
      <c r="A12" s="369" t="str">
        <f>'PA-Détails'!A1717</f>
        <v>1.2.1 Étude de faisabilité d'une classe préparatoire dans les écoles primaires</v>
      </c>
      <c r="B12" s="450"/>
      <c r="C12" s="386" t="str">
        <f>'PA-Détails'!C1717</f>
        <v>Une étude de faisabilité a été réalisée en 2014</v>
      </c>
      <c r="D12" s="168">
        <f>'PA-Détails'!D1717</f>
        <v>0</v>
      </c>
      <c r="E12" s="168">
        <f>'PA-Détails'!E1717</f>
        <v>0</v>
      </c>
      <c r="F12" s="168">
        <f>'PA-Détails'!F1717</f>
        <v>0</v>
      </c>
      <c r="G12" s="168">
        <f>'PA-Détails'!G1717</f>
        <v>0</v>
      </c>
      <c r="H12" s="168">
        <f>'PA-Détails'!H1717</f>
        <v>0</v>
      </c>
      <c r="I12" s="168">
        <f>'PA-Détails'!I1717</f>
        <v>0</v>
      </c>
      <c r="J12" s="447">
        <f>'PA-Détails'!J1717</f>
        <v>0</v>
      </c>
      <c r="K12" s="36">
        <f>'PA-Détails'!K1717</f>
        <v>0</v>
      </c>
      <c r="L12" s="36">
        <f>'PA-Détails'!L1717</f>
        <v>0</v>
      </c>
      <c r="M12" s="36">
        <f>'PA-Détails'!M1717</f>
        <v>0</v>
      </c>
      <c r="N12" s="36">
        <f>'PA-Détails'!N1717</f>
        <v>0</v>
      </c>
      <c r="O12" s="36">
        <f>'PA-Détails'!O1717</f>
        <v>0</v>
      </c>
      <c r="P12" s="36">
        <f>'PA-Détails'!P1717</f>
        <v>0</v>
      </c>
      <c r="Q12" s="429">
        <f>'PA-Détails'!Q1717</f>
        <v>0</v>
      </c>
      <c r="R12" s="570"/>
      <c r="S12" s="584">
        <f>'PA-Détails'!S1717</f>
        <v>0</v>
      </c>
      <c r="T12" s="585">
        <f>'PA-Détails'!T1717</f>
        <v>0</v>
      </c>
      <c r="U12" s="586">
        <f>'PA-Détails'!T1717</f>
        <v>0</v>
      </c>
    </row>
    <row r="13" spans="1:21" x14ac:dyDescent="0.2">
      <c r="A13" s="369" t="str">
        <f>'PA-Détails'!A1719</f>
        <v>1.2.2 Expérimentation de la classe préparatoire</v>
      </c>
      <c r="B13" s="450"/>
      <c r="C13" s="386" t="str">
        <f>'PA-Détails'!C1719</f>
        <v>Une expérimentation sur 100 écoles en 2015-16 et une évaluation est menée en 2016</v>
      </c>
      <c r="D13" s="168">
        <f>'PA-Détails'!D1719</f>
        <v>220</v>
      </c>
      <c r="E13" s="168">
        <f>'PA-Détails'!E1719</f>
        <v>0</v>
      </c>
      <c r="F13" s="168">
        <f>'PA-Détails'!F1719</f>
        <v>0</v>
      </c>
      <c r="G13" s="168">
        <f>'PA-Détails'!G1719</f>
        <v>0</v>
      </c>
      <c r="H13" s="168">
        <f>'PA-Détails'!H1719</f>
        <v>0</v>
      </c>
      <c r="I13" s="168">
        <f>'PA-Détails'!I1719</f>
        <v>220</v>
      </c>
      <c r="J13" s="447">
        <f>'PA-Détails'!J1719</f>
        <v>0</v>
      </c>
      <c r="K13" s="36">
        <f>'PA-Détails'!K1719</f>
        <v>0</v>
      </c>
      <c r="L13" s="36">
        <f>'PA-Détails'!L1719</f>
        <v>220000</v>
      </c>
      <c r="M13" s="36">
        <f>'PA-Détails'!M1719</f>
        <v>0</v>
      </c>
      <c r="N13" s="36">
        <f>'PA-Détails'!N1719</f>
        <v>0</v>
      </c>
      <c r="O13" s="36">
        <f>'PA-Détails'!O1719</f>
        <v>0</v>
      </c>
      <c r="P13" s="36">
        <f>'PA-Détails'!P1719</f>
        <v>0</v>
      </c>
      <c r="Q13" s="429">
        <f>'PA-Détails'!Q1719</f>
        <v>220000</v>
      </c>
      <c r="R13" s="570"/>
      <c r="S13" s="584">
        <f>'PA-Détails'!S1719</f>
        <v>0</v>
      </c>
      <c r="T13" s="585">
        <f>'PA-Détails'!T1719</f>
        <v>0</v>
      </c>
      <c r="U13" s="586">
        <f>'PA-Détails'!T1719</f>
        <v>0</v>
      </c>
    </row>
    <row r="14" spans="1:21" x14ac:dyDescent="0.2">
      <c r="A14" s="369" t="str">
        <f>'PA-Détails'!A1722</f>
        <v>1.2.3 Préparation et mise en œuvre de la classe préparatoire</v>
      </c>
      <c r="B14" s="450"/>
      <c r="C14" s="386" t="str">
        <f>'PA-Détails'!C1722</f>
        <v>Le programme de développement de la classe préparatoire est élaboré</v>
      </c>
      <c r="D14" s="168">
        <f>'PA-Détails'!D1722</f>
        <v>38.6</v>
      </c>
      <c r="E14" s="168">
        <f>'PA-Détails'!E1722</f>
        <v>1055</v>
      </c>
      <c r="F14" s="168">
        <f>'PA-Détails'!F1722</f>
        <v>13110</v>
      </c>
      <c r="G14" s="168">
        <f>'PA-Détails'!G1722</f>
        <v>15110</v>
      </c>
      <c r="H14" s="168">
        <f>'PA-Détails'!H1722</f>
        <v>17110</v>
      </c>
      <c r="I14" s="168">
        <f>'PA-Détails'!I1722</f>
        <v>46423.6</v>
      </c>
      <c r="J14" s="447">
        <f>'PA-Détails'!J1722</f>
        <v>0</v>
      </c>
      <c r="K14" s="36">
        <f>'PA-Détails'!K1722</f>
        <v>0</v>
      </c>
      <c r="L14" s="36">
        <f>'PA-Détails'!L1722</f>
        <v>38600</v>
      </c>
      <c r="M14" s="36">
        <f>'PA-Détails'!M1722</f>
        <v>1055000</v>
      </c>
      <c r="N14" s="36">
        <f>'PA-Détails'!N1722</f>
        <v>13110000</v>
      </c>
      <c r="O14" s="36">
        <f>'PA-Détails'!O1722</f>
        <v>15110000</v>
      </c>
      <c r="P14" s="36">
        <f>'PA-Détails'!P1722</f>
        <v>17110000</v>
      </c>
      <c r="Q14" s="429">
        <f>'PA-Détails'!Q1722</f>
        <v>46423600</v>
      </c>
      <c r="R14" s="570"/>
      <c r="S14" s="584">
        <f>'PA-Détails'!S1722</f>
        <v>0</v>
      </c>
      <c r="T14" s="587">
        <f>'PA-Détails'!T1722</f>
        <v>0</v>
      </c>
      <c r="U14" s="586">
        <f>'PA-Détails'!T1722</f>
        <v>0</v>
      </c>
    </row>
    <row r="15" spans="1:21" x14ac:dyDescent="0.2">
      <c r="A15" s="368" t="str">
        <f>'PA-Détails'!A1725</f>
        <v>1.3 Expansion de l'offre publique d'écoles maternelles : accroitre l'offre publique d'enseignement maternel</v>
      </c>
      <c r="B15" s="444"/>
      <c r="C15" s="385">
        <f>'PA-Détails'!C1725</f>
        <v>0</v>
      </c>
      <c r="D15" s="217">
        <f>'PA-Détails'!D1725</f>
        <v>9242.1</v>
      </c>
      <c r="E15" s="217">
        <f>'PA-Détails'!E1725</f>
        <v>11746.6</v>
      </c>
      <c r="F15" s="217">
        <f>'PA-Détails'!F1725</f>
        <v>16810.7</v>
      </c>
      <c r="G15" s="217">
        <f>'PA-Détails'!G1725</f>
        <v>19305.5</v>
      </c>
      <c r="H15" s="217">
        <f>'PA-Détails'!H1725</f>
        <v>21886.7</v>
      </c>
      <c r="I15" s="217">
        <f>'PA-Détails'!I1725</f>
        <v>78991.600000000006</v>
      </c>
      <c r="J15" s="449">
        <f>'PA-Détails'!J1725</f>
        <v>0</v>
      </c>
      <c r="K15" s="32">
        <f>'PA-Détails'!K1725</f>
        <v>0</v>
      </c>
      <c r="L15" s="32">
        <f>'PA-Détails'!L1725</f>
        <v>9242100</v>
      </c>
      <c r="M15" s="32">
        <f>'PA-Détails'!M1725</f>
        <v>11746600</v>
      </c>
      <c r="N15" s="32">
        <f>'PA-Détails'!N1725</f>
        <v>16810700</v>
      </c>
      <c r="O15" s="32">
        <f>'PA-Détails'!O1725</f>
        <v>19305500</v>
      </c>
      <c r="P15" s="32">
        <f>'PA-Détails'!P1725</f>
        <v>21886700</v>
      </c>
      <c r="Q15" s="428">
        <f>'PA-Détails'!Q1725</f>
        <v>78991600</v>
      </c>
      <c r="R15" s="570"/>
      <c r="S15" s="581">
        <f>'PA-Détails'!S1725</f>
        <v>0</v>
      </c>
      <c r="T15" s="582">
        <f>'PA-Détails'!T1725</f>
        <v>1</v>
      </c>
      <c r="U15" s="583">
        <f>'PA-Détails'!T1725</f>
        <v>1</v>
      </c>
    </row>
    <row r="16" spans="1:21" x14ac:dyDescent="0.2">
      <c r="A16" s="369" t="str">
        <f>'PA-Détails'!A1726</f>
        <v>1.3.1 Rémunération du personnel</v>
      </c>
      <c r="B16" s="446"/>
      <c r="C16" s="386" t="str">
        <f>'PA-Détails'!C1726</f>
        <v>50% des enseignants pris en charge par l'État</v>
      </c>
      <c r="D16" s="168">
        <f>'PA-Détails'!D1726</f>
        <v>9242.1</v>
      </c>
      <c r="E16" s="168">
        <f>'PA-Détails'!E1726</f>
        <v>10146.6</v>
      </c>
      <c r="F16" s="168">
        <f>'PA-Détails'!F1726</f>
        <v>13610.7</v>
      </c>
      <c r="G16" s="168">
        <f>'PA-Détails'!G1726</f>
        <v>16105.5</v>
      </c>
      <c r="H16" s="168">
        <f>'PA-Détails'!H1726</f>
        <v>18686.7</v>
      </c>
      <c r="I16" s="168">
        <f>'PA-Détails'!I1726</f>
        <v>67791.600000000006</v>
      </c>
      <c r="J16" s="447">
        <f>'PA-Détails'!J1726</f>
        <v>0</v>
      </c>
      <c r="K16" s="36">
        <f>'PA-Détails'!K1726</f>
        <v>0</v>
      </c>
      <c r="L16" s="36">
        <f>'PA-Détails'!L1726</f>
        <v>9242100</v>
      </c>
      <c r="M16" s="36">
        <f>'PA-Détails'!M1726</f>
        <v>10146600</v>
      </c>
      <c r="N16" s="36">
        <f>'PA-Détails'!N1726</f>
        <v>13610700</v>
      </c>
      <c r="O16" s="36">
        <f>'PA-Détails'!O1726</f>
        <v>16105500</v>
      </c>
      <c r="P16" s="36">
        <f>'PA-Détails'!P1726</f>
        <v>18686700</v>
      </c>
      <c r="Q16" s="429">
        <f>'PA-Détails'!Q1726</f>
        <v>67791600</v>
      </c>
      <c r="R16" s="570"/>
      <c r="S16" s="584">
        <f>'PA-Détails'!S1726</f>
        <v>0</v>
      </c>
      <c r="T16" s="585">
        <f>'PA-Détails'!T1726</f>
        <v>0</v>
      </c>
      <c r="U16" s="586">
        <f>'PA-Détails'!T1726</f>
        <v>0</v>
      </c>
    </row>
    <row r="17" spans="1:21" x14ac:dyDescent="0.2">
      <c r="A17" s="369" t="str">
        <f>'PA-Détails'!A1729</f>
        <v>1.3.2 Construction de structures publiques</v>
      </c>
      <c r="B17" s="446"/>
      <c r="C17" s="386" t="str">
        <f>'PA-Détails'!C1729</f>
        <v>1100 salles de classe supplémentaires construites d'ici 2025</v>
      </c>
      <c r="D17" s="168">
        <f>'PA-Détails'!D1729</f>
        <v>0</v>
      </c>
      <c r="E17" s="168">
        <f>'PA-Détails'!E1729</f>
        <v>1600</v>
      </c>
      <c r="F17" s="168">
        <f>'PA-Détails'!F1729</f>
        <v>3200</v>
      </c>
      <c r="G17" s="168">
        <f>'PA-Détails'!G1729</f>
        <v>3200</v>
      </c>
      <c r="H17" s="168">
        <f>'PA-Détails'!H1729</f>
        <v>3200</v>
      </c>
      <c r="I17" s="168">
        <f>'PA-Détails'!I1729</f>
        <v>11200</v>
      </c>
      <c r="J17" s="447">
        <f>'PA-Détails'!J1729</f>
        <v>0</v>
      </c>
      <c r="K17" s="36">
        <f>'PA-Détails'!K1729</f>
        <v>0</v>
      </c>
      <c r="L17" s="36">
        <f>'PA-Détails'!L1729</f>
        <v>0</v>
      </c>
      <c r="M17" s="36">
        <f>'PA-Détails'!M1729</f>
        <v>1600000</v>
      </c>
      <c r="N17" s="36">
        <f>'PA-Détails'!N1729</f>
        <v>3200000</v>
      </c>
      <c r="O17" s="36">
        <f>'PA-Détails'!O1729</f>
        <v>3200000</v>
      </c>
      <c r="P17" s="36">
        <f>'PA-Détails'!P1729</f>
        <v>3200000</v>
      </c>
      <c r="Q17" s="429">
        <f>'PA-Détails'!Q1729</f>
        <v>11200000</v>
      </c>
      <c r="R17" s="570"/>
      <c r="S17" s="584">
        <f>'PA-Détails'!S1729</f>
        <v>0</v>
      </c>
      <c r="T17" s="585">
        <f>'PA-Détails'!T1729</f>
        <v>0</v>
      </c>
      <c r="U17" s="586">
        <f>'PA-Détails'!T1729</f>
        <v>0</v>
      </c>
    </row>
    <row r="18" spans="1:21" x14ac:dyDescent="0.2">
      <c r="A18" s="368" t="str">
        <f>'PA-Détails'!A1731</f>
        <v>1.4 Équipement des structures : Équiper les écoles maternelles en matériels didactiques</v>
      </c>
      <c r="B18" s="444"/>
      <c r="C18" s="385">
        <f>'PA-Détails'!C1731</f>
        <v>0</v>
      </c>
      <c r="D18" s="217">
        <f>'PA-Détails'!D1731</f>
        <v>363.75</v>
      </c>
      <c r="E18" s="217">
        <f>'PA-Détails'!E1731</f>
        <v>344</v>
      </c>
      <c r="F18" s="217">
        <f>'PA-Détails'!F1731</f>
        <v>324</v>
      </c>
      <c r="G18" s="217">
        <f>'PA-Détails'!G1731</f>
        <v>324</v>
      </c>
      <c r="H18" s="217">
        <f>'PA-Détails'!H1731</f>
        <v>324</v>
      </c>
      <c r="I18" s="217">
        <f>'PA-Détails'!I1731</f>
        <v>1679.75</v>
      </c>
      <c r="J18" s="449">
        <f>'PA-Détails'!J1731</f>
        <v>0</v>
      </c>
      <c r="K18" s="32">
        <f>'PA-Détails'!K1731</f>
        <v>0</v>
      </c>
      <c r="L18" s="32">
        <f>'PA-Détails'!L1731</f>
        <v>363750</v>
      </c>
      <c r="M18" s="32">
        <f>'PA-Détails'!M1731</f>
        <v>344000</v>
      </c>
      <c r="N18" s="32">
        <f>'PA-Détails'!N1731</f>
        <v>324000</v>
      </c>
      <c r="O18" s="32">
        <f>'PA-Détails'!O1731</f>
        <v>324000</v>
      </c>
      <c r="P18" s="32">
        <f>'PA-Détails'!P1731</f>
        <v>324000</v>
      </c>
      <c r="Q18" s="428">
        <f>'PA-Détails'!Q1731</f>
        <v>1679750</v>
      </c>
      <c r="R18" s="570"/>
      <c r="S18" s="581">
        <f>'PA-Détails'!S1731</f>
        <v>0</v>
      </c>
      <c r="T18" s="582">
        <f>'PA-Détails'!T1731</f>
        <v>2</v>
      </c>
      <c r="U18" s="588">
        <f>'PA-Détails'!T1731</f>
        <v>2</v>
      </c>
    </row>
    <row r="19" spans="1:21" x14ac:dyDescent="0.2">
      <c r="A19" s="370" t="str">
        <f>'PA-Détails'!A1732</f>
        <v>1.4.1 Équipement en matériel d'éveil (public et ECE)</v>
      </c>
      <c r="B19" s="446"/>
      <c r="C19" s="386" t="str">
        <f>'PA-Détails'!C1732</f>
        <v>En 2025, 100% des centres publics et communautaires sont équipés</v>
      </c>
      <c r="D19" s="168">
        <f>'PA-Détails'!D1732</f>
        <v>324</v>
      </c>
      <c r="E19" s="168">
        <f>'PA-Détails'!E1732</f>
        <v>324</v>
      </c>
      <c r="F19" s="168">
        <f>'PA-Détails'!F1732</f>
        <v>324</v>
      </c>
      <c r="G19" s="168">
        <f>'PA-Détails'!G1732</f>
        <v>324</v>
      </c>
      <c r="H19" s="168">
        <f>'PA-Détails'!H1732</f>
        <v>324</v>
      </c>
      <c r="I19" s="168">
        <f>'PA-Détails'!I1732</f>
        <v>1620</v>
      </c>
      <c r="J19" s="447">
        <f>'PA-Détails'!J1732</f>
        <v>0</v>
      </c>
      <c r="K19" s="36">
        <f>'PA-Détails'!K1732</f>
        <v>0</v>
      </c>
      <c r="L19" s="36">
        <f>'PA-Détails'!L1732</f>
        <v>324000</v>
      </c>
      <c r="M19" s="36">
        <f>'PA-Détails'!M1732</f>
        <v>324000</v>
      </c>
      <c r="N19" s="36">
        <f>'PA-Détails'!N1732</f>
        <v>324000</v>
      </c>
      <c r="O19" s="36">
        <f>'PA-Détails'!O1732</f>
        <v>324000</v>
      </c>
      <c r="P19" s="36">
        <f>'PA-Détails'!P1732</f>
        <v>324000</v>
      </c>
      <c r="Q19" s="429">
        <f>'PA-Détails'!Q1732</f>
        <v>1620000</v>
      </c>
      <c r="R19" s="570"/>
      <c r="S19" s="584">
        <f>'PA-Détails'!S1732</f>
        <v>0</v>
      </c>
      <c r="T19" s="585">
        <f>'PA-Détails'!T1732</f>
        <v>0</v>
      </c>
      <c r="U19" s="586">
        <f>'PA-Détails'!T1732</f>
        <v>0</v>
      </c>
    </row>
    <row r="20" spans="1:21" x14ac:dyDescent="0.2">
      <c r="A20" s="369" t="str">
        <f>'PA-Détails'!A1734</f>
        <v>1.4.2 Guides pédagogiques pour le préscolaire</v>
      </c>
      <c r="B20" s="446"/>
      <c r="C20" s="386" t="str">
        <f>'PA-Détails'!C1734</f>
        <v>En 2025, tous les enseignants et encadreurs disposent d'un guide</v>
      </c>
      <c r="D20" s="168">
        <f>'PA-Détails'!D1734</f>
        <v>39.75</v>
      </c>
      <c r="E20" s="168">
        <f>'PA-Détails'!E1734</f>
        <v>20</v>
      </c>
      <c r="F20" s="168">
        <f>'PA-Détails'!F1734</f>
        <v>0</v>
      </c>
      <c r="G20" s="168">
        <f>'PA-Détails'!G1734</f>
        <v>0</v>
      </c>
      <c r="H20" s="168">
        <f>'PA-Détails'!H1734</f>
        <v>0</v>
      </c>
      <c r="I20" s="168">
        <f>'PA-Détails'!I1734</f>
        <v>59.75</v>
      </c>
      <c r="J20" s="447">
        <f>'PA-Détails'!J1734</f>
        <v>0</v>
      </c>
      <c r="K20" s="36">
        <f>'PA-Détails'!K1734</f>
        <v>0</v>
      </c>
      <c r="L20" s="36">
        <f>'PA-Détails'!L1734</f>
        <v>39750</v>
      </c>
      <c r="M20" s="36">
        <f>'PA-Détails'!M1734</f>
        <v>20000</v>
      </c>
      <c r="N20" s="36">
        <f>'PA-Détails'!N1734</f>
        <v>0</v>
      </c>
      <c r="O20" s="36">
        <f>'PA-Détails'!O1734</f>
        <v>0</v>
      </c>
      <c r="P20" s="36">
        <f>'PA-Détails'!P1734</f>
        <v>0</v>
      </c>
      <c r="Q20" s="429">
        <f>'PA-Détails'!Q1734</f>
        <v>59750</v>
      </c>
      <c r="R20" s="570"/>
      <c r="S20" s="584">
        <f>'PA-Détails'!S1734</f>
        <v>0</v>
      </c>
      <c r="T20" s="585">
        <f>'PA-Détails'!T1734</f>
        <v>0</v>
      </c>
      <c r="U20" s="586">
        <f>'PA-Détails'!T1734</f>
        <v>0</v>
      </c>
    </row>
    <row r="21" spans="1:21" x14ac:dyDescent="0.2">
      <c r="A21" s="368" t="str">
        <f>'PA-Détails'!A1737</f>
        <v>1.5 Formation des animateurs : Des enseignants qualifiés</v>
      </c>
      <c r="B21" s="444"/>
      <c r="C21" s="385">
        <f>'PA-Détails'!C1737</f>
        <v>0</v>
      </c>
      <c r="D21" s="217">
        <f>'PA-Détails'!D1737</f>
        <v>673.5</v>
      </c>
      <c r="E21" s="217">
        <f>'PA-Détails'!E1737</f>
        <v>1567.5</v>
      </c>
      <c r="F21" s="217">
        <f>'PA-Détails'!F1737</f>
        <v>1754.5</v>
      </c>
      <c r="G21" s="217">
        <f>'PA-Détails'!G1737</f>
        <v>1952.5</v>
      </c>
      <c r="H21" s="217">
        <f>'PA-Détails'!H1737</f>
        <v>2150.5</v>
      </c>
      <c r="I21" s="217">
        <f>'PA-Détails'!I1737</f>
        <v>8098.5</v>
      </c>
      <c r="J21" s="449">
        <f>'PA-Détails'!J1737</f>
        <v>0</v>
      </c>
      <c r="K21" s="32">
        <f>'PA-Détails'!K1737</f>
        <v>0</v>
      </c>
      <c r="L21" s="32">
        <f>'PA-Détails'!L1737</f>
        <v>673500</v>
      </c>
      <c r="M21" s="32">
        <f>'PA-Détails'!M1737</f>
        <v>1567500</v>
      </c>
      <c r="N21" s="32">
        <f>'PA-Détails'!N1737</f>
        <v>1754500</v>
      </c>
      <c r="O21" s="32">
        <f>'PA-Détails'!O1737</f>
        <v>1952500</v>
      </c>
      <c r="P21" s="32">
        <f>'PA-Détails'!P1737</f>
        <v>2150500</v>
      </c>
      <c r="Q21" s="428">
        <f>'PA-Détails'!Q1737</f>
        <v>8098500</v>
      </c>
      <c r="R21" s="570"/>
      <c r="S21" s="581">
        <f>'PA-Détails'!S1737</f>
        <v>0</v>
      </c>
      <c r="T21" s="582">
        <f>'PA-Détails'!T1737</f>
        <v>2</v>
      </c>
      <c r="U21" s="588">
        <f>'PA-Détails'!T1737</f>
        <v>2</v>
      </c>
    </row>
    <row r="22" spans="1:21" x14ac:dyDescent="0.2">
      <c r="A22" s="369" t="str">
        <f>'PA-Détails'!A1738</f>
        <v>1.5.1. Formation initiale des enseignants et encadreurs</v>
      </c>
      <c r="B22" s="446"/>
      <c r="C22" s="386" t="str">
        <f>'PA-Détails'!C1738</f>
        <v>Tous les encadreurs des ECE et les enseignants reçoivent une formation d'une semaine lors de leur recrutement</v>
      </c>
      <c r="D22" s="168">
        <f>'PA-Détails'!D1738</f>
        <v>633.75</v>
      </c>
      <c r="E22" s="168">
        <f>'PA-Détails'!E1738</f>
        <v>594</v>
      </c>
      <c r="F22" s="168">
        <f>'PA-Détails'!F1738</f>
        <v>594</v>
      </c>
      <c r="G22" s="168">
        <f>'PA-Détails'!G1738</f>
        <v>594</v>
      </c>
      <c r="H22" s="168">
        <f>'PA-Détails'!H1738</f>
        <v>594</v>
      </c>
      <c r="I22" s="168">
        <f>'PA-Détails'!I1738</f>
        <v>3009.75</v>
      </c>
      <c r="J22" s="447">
        <f>'PA-Détails'!J1738</f>
        <v>0</v>
      </c>
      <c r="K22" s="36">
        <f>'PA-Détails'!K1738</f>
        <v>0</v>
      </c>
      <c r="L22" s="36">
        <f>'PA-Détails'!L1738</f>
        <v>633750</v>
      </c>
      <c r="M22" s="36">
        <f>'PA-Détails'!M1738</f>
        <v>594000</v>
      </c>
      <c r="N22" s="36">
        <f>'PA-Détails'!N1738</f>
        <v>594000</v>
      </c>
      <c r="O22" s="36">
        <f>'PA-Détails'!O1738</f>
        <v>594000</v>
      </c>
      <c r="P22" s="36">
        <f>'PA-Détails'!P1738</f>
        <v>594000</v>
      </c>
      <c r="Q22" s="429">
        <f>'PA-Détails'!Q1738</f>
        <v>3009750</v>
      </c>
      <c r="R22" s="570"/>
      <c r="S22" s="584">
        <f>'PA-Détails'!S1738</f>
        <v>0</v>
      </c>
      <c r="T22" s="585">
        <f>'PA-Détails'!T1738</f>
        <v>0</v>
      </c>
      <c r="U22" s="586">
        <f>'PA-Détails'!T1738</f>
        <v>0</v>
      </c>
    </row>
    <row r="23" spans="1:21" x14ac:dyDescent="0.2">
      <c r="A23" s="369" t="str">
        <f>'PA-Détails'!A1741</f>
        <v>1.5.2 Formation continue des enseignants et encadreurs</v>
      </c>
      <c r="B23" s="446"/>
      <c r="C23" s="386" t="str">
        <f>'PA-Détails'!C1741</f>
        <v>Tous les encadreurs des ECE et les enseignants reçoivent une formation d'une semaine tous les deux ans</v>
      </c>
      <c r="D23" s="168">
        <f>'PA-Détails'!D1741</f>
        <v>39.75</v>
      </c>
      <c r="E23" s="168">
        <f>'PA-Détails'!E1741</f>
        <v>973.5</v>
      </c>
      <c r="F23" s="168">
        <f>'PA-Détails'!F1741</f>
        <v>1160.5</v>
      </c>
      <c r="G23" s="168">
        <f>'PA-Détails'!G1741</f>
        <v>1358.5</v>
      </c>
      <c r="H23" s="168">
        <f>'PA-Détails'!H1741</f>
        <v>1556.5</v>
      </c>
      <c r="I23" s="168">
        <f>'PA-Détails'!I1741</f>
        <v>5088.75</v>
      </c>
      <c r="J23" s="447">
        <f>'PA-Détails'!J1741</f>
        <v>0</v>
      </c>
      <c r="K23" s="36">
        <f>'PA-Détails'!K1741</f>
        <v>0</v>
      </c>
      <c r="L23" s="36">
        <f>'PA-Détails'!L1741</f>
        <v>39750</v>
      </c>
      <c r="M23" s="36">
        <f>'PA-Détails'!M1741</f>
        <v>973500</v>
      </c>
      <c r="N23" s="36">
        <f>'PA-Détails'!N1741</f>
        <v>1160500</v>
      </c>
      <c r="O23" s="36">
        <f>'PA-Détails'!O1741</f>
        <v>1358500</v>
      </c>
      <c r="P23" s="36">
        <f>'PA-Détails'!P1741</f>
        <v>1556500</v>
      </c>
      <c r="Q23" s="429">
        <f>'PA-Détails'!Q1741</f>
        <v>5088750</v>
      </c>
      <c r="R23" s="570"/>
      <c r="S23" s="584">
        <f>'PA-Détails'!S1741</f>
        <v>0</v>
      </c>
      <c r="T23" s="585">
        <f>'PA-Détails'!T1741</f>
        <v>0</v>
      </c>
      <c r="U23" s="586">
        <f>'PA-Détails'!T1741</f>
        <v>0</v>
      </c>
    </row>
    <row r="24" spans="1:21" x14ac:dyDescent="0.2">
      <c r="A24" s="368" t="str">
        <f>'PA-Détails'!A1744</f>
        <v>1.6 Supervision des structures et des enseignants : Assurer l'encadrement pédagogique et administratif des structures</v>
      </c>
      <c r="B24" s="444"/>
      <c r="C24" s="385">
        <f>'PA-Détails'!C1744</f>
        <v>0</v>
      </c>
      <c r="D24" s="217">
        <f>'PA-Détails'!D1744</f>
        <v>210</v>
      </c>
      <c r="E24" s="217">
        <f>'PA-Détails'!E1744</f>
        <v>270</v>
      </c>
      <c r="F24" s="217">
        <f>'PA-Détails'!F1744</f>
        <v>330</v>
      </c>
      <c r="G24" s="217">
        <f>'PA-Détails'!G1744</f>
        <v>180</v>
      </c>
      <c r="H24" s="217">
        <f>'PA-Détails'!H1744</f>
        <v>180</v>
      </c>
      <c r="I24" s="217">
        <f>'PA-Détails'!I1744</f>
        <v>1170</v>
      </c>
      <c r="J24" s="449">
        <f>'PA-Détails'!J1744</f>
        <v>0</v>
      </c>
      <c r="K24" s="32">
        <f>'PA-Détails'!K1744</f>
        <v>0</v>
      </c>
      <c r="L24" s="32">
        <f>'PA-Détails'!L1744</f>
        <v>210000</v>
      </c>
      <c r="M24" s="32">
        <f>'PA-Détails'!M1744</f>
        <v>270000</v>
      </c>
      <c r="N24" s="32">
        <f>'PA-Détails'!N1744</f>
        <v>330000</v>
      </c>
      <c r="O24" s="32">
        <f>'PA-Détails'!O1744</f>
        <v>180000</v>
      </c>
      <c r="P24" s="32">
        <f>'PA-Détails'!P1744</f>
        <v>180000</v>
      </c>
      <c r="Q24" s="428">
        <f>'PA-Détails'!Q1744</f>
        <v>1170000</v>
      </c>
      <c r="R24" s="570"/>
      <c r="S24" s="581">
        <f>'PA-Détails'!S1744</f>
        <v>0</v>
      </c>
      <c r="T24" s="582">
        <f>'PA-Détails'!T1744</f>
        <v>3</v>
      </c>
      <c r="U24" s="583">
        <f>'PA-Détails'!T1744</f>
        <v>3</v>
      </c>
    </row>
    <row r="25" spans="1:21" x14ac:dyDescent="0.2">
      <c r="A25" s="369" t="str">
        <f>'PA-Détails'!A1745</f>
        <v>1.6.1 Moyens de déplacement des inspecteurs</v>
      </c>
      <c r="B25" s="446"/>
      <c r="C25" s="386" t="str">
        <f>'PA-Détails'!C1745</f>
        <v>En 2020, tous les inspecteurs sont équipés en moyens de déplacement</v>
      </c>
      <c r="D25" s="168">
        <f>'PA-Détails'!D1745</f>
        <v>150</v>
      </c>
      <c r="E25" s="168">
        <f>'PA-Détails'!E1745</f>
        <v>150</v>
      </c>
      <c r="F25" s="168">
        <f>'PA-Détails'!F1745</f>
        <v>150</v>
      </c>
      <c r="G25" s="168">
        <f>'PA-Détails'!G1745</f>
        <v>0</v>
      </c>
      <c r="H25" s="168">
        <f>'PA-Détails'!H1745</f>
        <v>0</v>
      </c>
      <c r="I25" s="168">
        <f>'PA-Détails'!I1745</f>
        <v>450</v>
      </c>
      <c r="J25" s="447">
        <f>'PA-Détails'!J1745</f>
        <v>0</v>
      </c>
      <c r="K25" s="36">
        <f>'PA-Détails'!K1745</f>
        <v>0</v>
      </c>
      <c r="L25" s="36">
        <f>'PA-Détails'!L1745</f>
        <v>150000</v>
      </c>
      <c r="M25" s="36">
        <f>'PA-Détails'!M1745</f>
        <v>150000</v>
      </c>
      <c r="N25" s="36">
        <f>'PA-Détails'!N1745</f>
        <v>150000</v>
      </c>
      <c r="O25" s="36">
        <f>'PA-Détails'!O1745</f>
        <v>0</v>
      </c>
      <c r="P25" s="36">
        <f>'PA-Détails'!P1745</f>
        <v>0</v>
      </c>
      <c r="Q25" s="429">
        <f>'PA-Détails'!Q1745</f>
        <v>450000</v>
      </c>
      <c r="R25" s="570"/>
      <c r="S25" s="584">
        <f>'PA-Détails'!S1745</f>
        <v>0</v>
      </c>
      <c r="T25" s="585">
        <f>'PA-Détails'!T1745</f>
        <v>0</v>
      </c>
      <c r="U25" s="586">
        <f>'PA-Détails'!T1745</f>
        <v>0</v>
      </c>
    </row>
    <row r="26" spans="1:21" x14ac:dyDescent="0.2">
      <c r="A26" s="369" t="str">
        <f>'PA-Détails'!A1747</f>
        <v>1.6.2 Primes d'itinérance</v>
      </c>
      <c r="B26" s="446"/>
      <c r="C26" s="386" t="str">
        <f>'PA-Détails'!C1747</f>
        <v>En 2020, tous les inspecteurs sont dotés en primes d'itinérance</v>
      </c>
      <c r="D26" s="168">
        <f>'PA-Détails'!D1747</f>
        <v>60</v>
      </c>
      <c r="E26" s="168">
        <f>'PA-Détails'!E1747</f>
        <v>120</v>
      </c>
      <c r="F26" s="168">
        <f>'PA-Détails'!F1747</f>
        <v>180</v>
      </c>
      <c r="G26" s="168">
        <f>'PA-Détails'!G1747</f>
        <v>180</v>
      </c>
      <c r="H26" s="168">
        <f>'PA-Détails'!H1747</f>
        <v>180</v>
      </c>
      <c r="I26" s="168">
        <f>'PA-Détails'!I1747</f>
        <v>720</v>
      </c>
      <c r="J26" s="447">
        <f>'PA-Détails'!J1747</f>
        <v>0</v>
      </c>
      <c r="K26" s="36">
        <f>'PA-Détails'!K1747</f>
        <v>0</v>
      </c>
      <c r="L26" s="36">
        <f>'PA-Détails'!L1747</f>
        <v>60000</v>
      </c>
      <c r="M26" s="36">
        <f>'PA-Détails'!M1747</f>
        <v>120000</v>
      </c>
      <c r="N26" s="36">
        <f>'PA-Détails'!N1747</f>
        <v>180000</v>
      </c>
      <c r="O26" s="36">
        <f>'PA-Détails'!O1747</f>
        <v>180000</v>
      </c>
      <c r="P26" s="36">
        <f>'PA-Détails'!P1747</f>
        <v>180000</v>
      </c>
      <c r="Q26" s="429">
        <f>'PA-Détails'!Q1747</f>
        <v>720000</v>
      </c>
      <c r="R26" s="570"/>
      <c r="S26" s="584">
        <f>'PA-Détails'!S1747</f>
        <v>0</v>
      </c>
      <c r="T26" s="585">
        <f>'PA-Détails'!T1747</f>
        <v>0</v>
      </c>
      <c r="U26" s="586">
        <f>'PA-Détails'!T1747</f>
        <v>0</v>
      </c>
    </row>
    <row r="27" spans="1:21" x14ac:dyDescent="0.2">
      <c r="A27" s="441" t="str">
        <f>'PA-Détails'!A1749</f>
        <v>2. Enseignement primaire : Un enseignement primaire de qualité pour apporter à tous les savoirs et compétences de base</v>
      </c>
      <c r="B27" s="442"/>
      <c r="C27" s="391">
        <f>'PA-Détails'!C1749</f>
        <v>0</v>
      </c>
      <c r="D27" s="339">
        <f>'PA-Détails'!D1749</f>
        <v>505574.76501758053</v>
      </c>
      <c r="E27" s="339">
        <f>'PA-Détails'!E1749</f>
        <v>586019.40016991762</v>
      </c>
      <c r="F27" s="339">
        <f>'PA-Détails'!F1749</f>
        <v>656510.27783057222</v>
      </c>
      <c r="G27" s="339">
        <f>'PA-Détails'!G1749</f>
        <v>706287.51795687142</v>
      </c>
      <c r="H27" s="339">
        <f>'PA-Détails'!H1749</f>
        <v>753196.42996220419</v>
      </c>
      <c r="I27" s="339">
        <f>'PA-Détails'!I1749</f>
        <v>3207588.3909371463</v>
      </c>
      <c r="J27" s="451">
        <f>'PA-Détails'!J1749</f>
        <v>0</v>
      </c>
      <c r="K27" s="29">
        <f>'PA-Détails'!K1749</f>
        <v>0</v>
      </c>
      <c r="L27" s="29">
        <f>'PA-Détails'!L1749</f>
        <v>505574765.01758051</v>
      </c>
      <c r="M27" s="29">
        <f>'PA-Détails'!M1749</f>
        <v>586019400.16991758</v>
      </c>
      <c r="N27" s="29">
        <f>'PA-Détails'!N1749</f>
        <v>656510277.83057225</v>
      </c>
      <c r="O27" s="29">
        <f>'PA-Détails'!O1749</f>
        <v>706287517.95687139</v>
      </c>
      <c r="P27" s="29">
        <f>'PA-Détails'!P1749</f>
        <v>753196429.96220422</v>
      </c>
      <c r="Q27" s="430">
        <f>'PA-Détails'!Q1749</f>
        <v>3207588390.9371462</v>
      </c>
      <c r="R27" s="570"/>
      <c r="S27" s="579">
        <f>'PA-Détails'!S1749</f>
        <v>0</v>
      </c>
      <c r="T27" s="589">
        <f>'PA-Détails'!T1749</f>
        <v>0</v>
      </c>
      <c r="U27" s="580">
        <f>'PA-Détails'!T1749</f>
        <v>0</v>
      </c>
    </row>
    <row r="28" spans="1:21" x14ac:dyDescent="0.2">
      <c r="A28" s="368" t="str">
        <f>'PA-Détails'!A1750</f>
        <v xml:space="preserve">2.1 Capacité d'accueil du primaire : Augmenter les capacités d’accueil </v>
      </c>
      <c r="B28" s="444"/>
      <c r="C28" s="385">
        <f>'PA-Détails'!C1750</f>
        <v>0</v>
      </c>
      <c r="D28" s="217">
        <f>'PA-Détails'!D1750</f>
        <v>93760</v>
      </c>
      <c r="E28" s="217">
        <f>'PA-Détails'!E1750</f>
        <v>92800</v>
      </c>
      <c r="F28" s="217">
        <f>'PA-Détails'!F1750</f>
        <v>92800</v>
      </c>
      <c r="G28" s="217">
        <f>'PA-Détails'!G1750</f>
        <v>92800</v>
      </c>
      <c r="H28" s="217">
        <f>'PA-Détails'!H1750</f>
        <v>92800</v>
      </c>
      <c r="I28" s="217">
        <f>'PA-Détails'!I1750</f>
        <v>464960</v>
      </c>
      <c r="J28" s="449">
        <f>'PA-Détails'!J1750</f>
        <v>0</v>
      </c>
      <c r="K28" s="32">
        <f>'PA-Détails'!K1750</f>
        <v>0</v>
      </c>
      <c r="L28" s="32">
        <f>'PA-Détails'!L1750</f>
        <v>93760000</v>
      </c>
      <c r="M28" s="32">
        <f>'PA-Détails'!M1750</f>
        <v>92800000</v>
      </c>
      <c r="N28" s="32">
        <f>'PA-Détails'!N1750</f>
        <v>92800000</v>
      </c>
      <c r="O28" s="32">
        <f>'PA-Détails'!O1750</f>
        <v>92800000</v>
      </c>
      <c r="P28" s="32">
        <f>'PA-Détails'!P1750</f>
        <v>92800000</v>
      </c>
      <c r="Q28" s="428">
        <f>'PA-Détails'!Q1750</f>
        <v>464960000</v>
      </c>
      <c r="R28" s="570"/>
      <c r="S28" s="581">
        <f>'PA-Détails'!S1750</f>
        <v>0</v>
      </c>
      <c r="T28" s="582">
        <f>'PA-Détails'!T1750</f>
        <v>1</v>
      </c>
      <c r="U28" s="583">
        <f>'PA-Détails'!T1750</f>
        <v>1</v>
      </c>
    </row>
    <row r="29" spans="1:21" x14ac:dyDescent="0.2">
      <c r="A29" s="369" t="str">
        <f>'PA-Détails'!A1751</f>
        <v>2.1.1 Construction et réhabilitation des salles de classe</v>
      </c>
      <c r="B29" s="446"/>
      <c r="C29" s="386" t="str">
        <f>'PA-Détails'!C1751</f>
        <v>En 2025, 28 000 salles de classe sont construites</v>
      </c>
      <c r="D29" s="168">
        <f>'PA-Détails'!D1751</f>
        <v>44800</v>
      </c>
      <c r="E29" s="168">
        <f>'PA-Détails'!E1751</f>
        <v>44800</v>
      </c>
      <c r="F29" s="168">
        <f>'PA-Détails'!F1751</f>
        <v>44800</v>
      </c>
      <c r="G29" s="168">
        <f>'PA-Détails'!G1751</f>
        <v>44800</v>
      </c>
      <c r="H29" s="168">
        <f>'PA-Détails'!H1751</f>
        <v>44800</v>
      </c>
      <c r="I29" s="168">
        <f>'PA-Détails'!I1751</f>
        <v>224000</v>
      </c>
      <c r="J29" s="447">
        <f>'PA-Détails'!J1751</f>
        <v>0</v>
      </c>
      <c r="K29" s="36">
        <f>'PA-Détails'!K1751</f>
        <v>0</v>
      </c>
      <c r="L29" s="36">
        <f>'PA-Détails'!L1751</f>
        <v>44800000</v>
      </c>
      <c r="M29" s="36">
        <f>'PA-Détails'!M1751</f>
        <v>44800000</v>
      </c>
      <c r="N29" s="36">
        <f>'PA-Détails'!N1751</f>
        <v>44800000</v>
      </c>
      <c r="O29" s="36">
        <f>'PA-Détails'!O1751</f>
        <v>44800000</v>
      </c>
      <c r="P29" s="36">
        <f>'PA-Détails'!P1751</f>
        <v>44800000</v>
      </c>
      <c r="Q29" s="429">
        <f>'PA-Détails'!Q1751</f>
        <v>224000000</v>
      </c>
      <c r="R29" s="570"/>
      <c r="S29" s="584">
        <f>'PA-Détails'!S1751</f>
        <v>0</v>
      </c>
      <c r="T29" s="585">
        <f>'PA-Détails'!T1751</f>
        <v>0</v>
      </c>
      <c r="U29" s="586">
        <f>'PA-Détails'!T1751</f>
        <v>0</v>
      </c>
    </row>
    <row r="30" spans="1:21" x14ac:dyDescent="0.2">
      <c r="A30" s="369" t="str">
        <f>'PA-Détails'!A1753</f>
        <v>2.1.2 Réhabilitation des écoles hors normes</v>
      </c>
      <c r="B30" s="446"/>
      <c r="C30" s="386" t="str">
        <f>'PA-Détails'!C1753</f>
        <v>En 2025, 51 000 salles de classe hors norme réhabilitées</v>
      </c>
      <c r="D30" s="168">
        <f>'PA-Détails'!D1753</f>
        <v>48960</v>
      </c>
      <c r="E30" s="168">
        <f>'PA-Détails'!E1753</f>
        <v>48000</v>
      </c>
      <c r="F30" s="168">
        <f>'PA-Détails'!F1753</f>
        <v>48000</v>
      </c>
      <c r="G30" s="168">
        <f>'PA-Détails'!G1753</f>
        <v>48000</v>
      </c>
      <c r="H30" s="168">
        <f>'PA-Détails'!H1753</f>
        <v>48000</v>
      </c>
      <c r="I30" s="168">
        <f>'PA-Détails'!I1753</f>
        <v>240960</v>
      </c>
      <c r="J30" s="447">
        <f>'PA-Détails'!J1753</f>
        <v>0</v>
      </c>
      <c r="K30" s="36">
        <f>'PA-Détails'!K1753</f>
        <v>0</v>
      </c>
      <c r="L30" s="36">
        <f>'PA-Détails'!L1753</f>
        <v>48960000</v>
      </c>
      <c r="M30" s="36">
        <f>'PA-Détails'!M1753</f>
        <v>48000000</v>
      </c>
      <c r="N30" s="36">
        <f>'PA-Détails'!N1753</f>
        <v>48000000</v>
      </c>
      <c r="O30" s="36">
        <f>'PA-Détails'!O1753</f>
        <v>48000000</v>
      </c>
      <c r="P30" s="36">
        <f>'PA-Détails'!P1753</f>
        <v>48000000</v>
      </c>
      <c r="Q30" s="429">
        <f>'PA-Détails'!Q1753</f>
        <v>240960000</v>
      </c>
      <c r="R30" s="570"/>
      <c r="S30" s="584">
        <f>'PA-Détails'!S1753</f>
        <v>0</v>
      </c>
      <c r="T30" s="585">
        <f>'PA-Détails'!T1753</f>
        <v>0</v>
      </c>
      <c r="U30" s="586">
        <f>'PA-Détails'!T1753</f>
        <v>0</v>
      </c>
    </row>
    <row r="31" spans="1:21" x14ac:dyDescent="0.2">
      <c r="A31" s="368" t="str">
        <f>'PA-Détails'!A1755</f>
        <v>2.2 Gratuité des écoles publiques : Les frais scolaires sont supprimés dans les écoles primaires publiques conventionnées et non conventionnées</v>
      </c>
      <c r="B31" s="444"/>
      <c r="C31" s="385">
        <f>'PA-Détails'!C1755</f>
        <v>0</v>
      </c>
      <c r="D31" s="217">
        <f>'PA-Détails'!D1755</f>
        <v>383136.1590175805</v>
      </c>
      <c r="E31" s="217">
        <f>'PA-Détails'!E1755</f>
        <v>422799.85916991753</v>
      </c>
      <c r="F31" s="217">
        <f>'PA-Détails'!F1755</f>
        <v>463309.34983057226</v>
      </c>
      <c r="G31" s="217">
        <f>'PA-Détails'!G1755</f>
        <v>504307.02995687141</v>
      </c>
      <c r="H31" s="217">
        <f>'PA-Détails'!H1755</f>
        <v>542242.91396220424</v>
      </c>
      <c r="I31" s="217">
        <f>'PA-Détails'!I1755</f>
        <v>2315795.3119371464</v>
      </c>
      <c r="J31" s="449">
        <f>'PA-Détails'!J1755</f>
        <v>0</v>
      </c>
      <c r="K31" s="32">
        <f>'PA-Détails'!K1755</f>
        <v>0</v>
      </c>
      <c r="L31" s="32">
        <f>'PA-Détails'!L1755</f>
        <v>383136159.01758051</v>
      </c>
      <c r="M31" s="32">
        <f>'PA-Détails'!M1755</f>
        <v>422799859.16991752</v>
      </c>
      <c r="N31" s="32">
        <f>'PA-Détails'!N1755</f>
        <v>463309349.83057225</v>
      </c>
      <c r="O31" s="32">
        <f>'PA-Détails'!O1755</f>
        <v>504307029.95687139</v>
      </c>
      <c r="P31" s="32">
        <f>'PA-Détails'!P1755</f>
        <v>542242913.96220422</v>
      </c>
      <c r="Q31" s="428">
        <f>'PA-Détails'!Q1755</f>
        <v>2315795311.9371462</v>
      </c>
      <c r="R31" s="570"/>
      <c r="S31" s="581">
        <f>'PA-Détails'!S1755</f>
        <v>0</v>
      </c>
      <c r="T31" s="582">
        <f>'PA-Détails'!T1755</f>
        <v>1</v>
      </c>
      <c r="U31" s="583">
        <f>'PA-Détails'!T1755</f>
        <v>1</v>
      </c>
    </row>
    <row r="32" spans="1:21" x14ac:dyDescent="0.2">
      <c r="A32" s="369" t="str">
        <f>'PA-Détails'!A1756</f>
        <v>2.2.1 Prise en charge des personnels</v>
      </c>
      <c r="B32" s="446"/>
      <c r="C32" s="386" t="str">
        <f>'PA-Détails'!C1756</f>
        <v>En 2025, tous les enseignants du primaire sont pris en charge par l'état</v>
      </c>
      <c r="D32" s="168">
        <f>'PA-Détails'!D1756</f>
        <v>367480.25901758054</v>
      </c>
      <c r="E32" s="168">
        <f>'PA-Détails'!E1756</f>
        <v>407152.05916991754</v>
      </c>
      <c r="F32" s="168">
        <f>'PA-Détails'!F1756</f>
        <v>447651.64983057225</v>
      </c>
      <c r="G32" s="168">
        <f>'PA-Détails'!G1756</f>
        <v>488649.3299568714</v>
      </c>
      <c r="H32" s="168">
        <f>'PA-Détails'!H1756</f>
        <v>526585.21396220417</v>
      </c>
      <c r="I32" s="168">
        <f>'PA-Détails'!I1756</f>
        <v>2237518.5119371461</v>
      </c>
      <c r="J32" s="447">
        <f>'PA-Détails'!J1756</f>
        <v>0</v>
      </c>
      <c r="K32" s="36">
        <f>'PA-Détails'!K1756</f>
        <v>0</v>
      </c>
      <c r="L32" s="36">
        <f>'PA-Détails'!L1756</f>
        <v>367480259.01758051</v>
      </c>
      <c r="M32" s="36">
        <f>'PA-Détails'!M1756</f>
        <v>407152059.16991752</v>
      </c>
      <c r="N32" s="36">
        <f>'PA-Détails'!N1756</f>
        <v>447651649.83057225</v>
      </c>
      <c r="O32" s="36">
        <f>'PA-Détails'!O1756</f>
        <v>488649329.95687139</v>
      </c>
      <c r="P32" s="36">
        <f>'PA-Détails'!P1756</f>
        <v>526585213.96220422</v>
      </c>
      <c r="Q32" s="429">
        <f>'PA-Détails'!Q1756</f>
        <v>2237518511.9371462</v>
      </c>
      <c r="R32" s="570"/>
      <c r="S32" s="584">
        <f>'PA-Détails'!S1756</f>
        <v>0</v>
      </c>
      <c r="T32" s="585">
        <f>'PA-Détails'!T1756</f>
        <v>0</v>
      </c>
      <c r="U32" s="586">
        <f>'PA-Détails'!T1756</f>
        <v>0</v>
      </c>
    </row>
    <row r="33" spans="1:21" x14ac:dyDescent="0.2">
      <c r="A33" s="369" t="str">
        <f>'PA-Détails'!A1760</f>
        <v>2.2.2 Prise en charge des frais directs dans les villes de Kinshasa et Lubumbashi</v>
      </c>
      <c r="B33" s="446"/>
      <c r="C33" s="386" t="str">
        <f>'PA-Détails'!C1760</f>
        <v>En 2020, les frais directs sont remplacés par une subvention de fonctionnement</v>
      </c>
      <c r="D33" s="168">
        <f>'PA-Détails'!D1760</f>
        <v>15655.9</v>
      </c>
      <c r="E33" s="168">
        <f>'PA-Détails'!E1760</f>
        <v>15647.8</v>
      </c>
      <c r="F33" s="168">
        <f>'PA-Détails'!F1760</f>
        <v>15657.7</v>
      </c>
      <c r="G33" s="168">
        <f>'PA-Détails'!G1760</f>
        <v>15657.7</v>
      </c>
      <c r="H33" s="168">
        <f>'PA-Détails'!H1760</f>
        <v>15657.7</v>
      </c>
      <c r="I33" s="168">
        <f>'PA-Détails'!I1760</f>
        <v>78276.800000000003</v>
      </c>
      <c r="J33" s="447">
        <f>'PA-Détails'!J1760</f>
        <v>0</v>
      </c>
      <c r="K33" s="36">
        <f>'PA-Détails'!K1760</f>
        <v>0</v>
      </c>
      <c r="L33" s="36">
        <f>'PA-Détails'!L1760</f>
        <v>15655900</v>
      </c>
      <c r="M33" s="36">
        <f>'PA-Détails'!M1760</f>
        <v>15647800</v>
      </c>
      <c r="N33" s="36">
        <f>'PA-Détails'!N1760</f>
        <v>15657700</v>
      </c>
      <c r="O33" s="36">
        <f>'PA-Détails'!O1760</f>
        <v>15657700</v>
      </c>
      <c r="P33" s="36">
        <f>'PA-Détails'!P1760</f>
        <v>15657700</v>
      </c>
      <c r="Q33" s="429">
        <f>'PA-Détails'!Q1760</f>
        <v>78276800</v>
      </c>
      <c r="R33" s="570"/>
      <c r="S33" s="584">
        <f>'PA-Détails'!S1760</f>
        <v>0</v>
      </c>
      <c r="T33" s="585">
        <f>'PA-Détails'!T1760</f>
        <v>0</v>
      </c>
      <c r="U33" s="586">
        <f>'PA-Détails'!T1760</f>
        <v>0</v>
      </c>
    </row>
    <row r="34" spans="1:21" x14ac:dyDescent="0.2">
      <c r="A34" s="368" t="str">
        <f>'PA-Détails'!A1764</f>
        <v>2.3 Résorption des disparités dans l'offre : Une capacité d'accueil mieux répartie sur le territoire</v>
      </c>
      <c r="B34" s="444"/>
      <c r="C34" s="385">
        <f>'PA-Détails'!C1764</f>
        <v>0</v>
      </c>
      <c r="D34" s="217">
        <f>'PA-Détails'!D1764</f>
        <v>21060.883999999998</v>
      </c>
      <c r="E34" s="217">
        <f>'PA-Détails'!E1764</f>
        <v>21343.162</v>
      </c>
      <c r="F34" s="217">
        <f>'PA-Détails'!F1764</f>
        <v>24667.439999999999</v>
      </c>
      <c r="G34" s="217">
        <f>'PA-Détails'!G1764</f>
        <v>25017.968000000001</v>
      </c>
      <c r="H34" s="217">
        <f>'PA-Détails'!H1764</f>
        <v>25368.495999999999</v>
      </c>
      <c r="I34" s="217">
        <f>'PA-Détails'!I1764</f>
        <v>117457.95</v>
      </c>
      <c r="J34" s="449">
        <f>'PA-Détails'!J1764</f>
        <v>0</v>
      </c>
      <c r="K34" s="32">
        <f>'PA-Détails'!K1764</f>
        <v>0</v>
      </c>
      <c r="L34" s="32">
        <f>'PA-Détails'!L1764</f>
        <v>21060884</v>
      </c>
      <c r="M34" s="32">
        <f>'PA-Détails'!M1764</f>
        <v>21343162</v>
      </c>
      <c r="N34" s="32">
        <f>'PA-Détails'!N1764</f>
        <v>24667440</v>
      </c>
      <c r="O34" s="32">
        <f>'PA-Détails'!O1764</f>
        <v>25017968</v>
      </c>
      <c r="P34" s="32">
        <f>'PA-Détails'!P1764</f>
        <v>25368496</v>
      </c>
      <c r="Q34" s="428">
        <f>'PA-Détails'!Q1764</f>
        <v>117457950</v>
      </c>
      <c r="R34" s="570"/>
      <c r="S34" s="581">
        <f>'PA-Détails'!S1764</f>
        <v>0</v>
      </c>
      <c r="T34" s="582">
        <f>'PA-Détails'!T1764</f>
        <v>1</v>
      </c>
      <c r="U34" s="583">
        <f>'PA-Détails'!T1764</f>
        <v>1</v>
      </c>
    </row>
    <row r="35" spans="1:21" x14ac:dyDescent="0.2">
      <c r="A35" s="369" t="str">
        <f>'PA-Détails'!A1765</f>
        <v>2.3.1 Incitations pour les enseignants</v>
      </c>
      <c r="B35" s="446"/>
      <c r="C35" s="386" t="str">
        <f>'PA-Détails'!C1765</f>
        <v>En 2025, 10% des enseignants reçoivent une bonification pour exercice dans des zones isolées</v>
      </c>
      <c r="D35" s="168">
        <f>'PA-Détails'!D1765</f>
        <v>20966.383999999998</v>
      </c>
      <c r="E35" s="168">
        <f>'PA-Détails'!E1765</f>
        <v>21316.912</v>
      </c>
      <c r="F35" s="168">
        <f>'PA-Détails'!F1765</f>
        <v>24667.439999999999</v>
      </c>
      <c r="G35" s="168">
        <f>'PA-Détails'!G1765</f>
        <v>25017.968000000001</v>
      </c>
      <c r="H35" s="168">
        <f>'PA-Détails'!H1765</f>
        <v>25368.495999999999</v>
      </c>
      <c r="I35" s="168">
        <f>'PA-Détails'!I1765</f>
        <v>117337.2</v>
      </c>
      <c r="J35" s="447">
        <f>'PA-Détails'!J1765</f>
        <v>0</v>
      </c>
      <c r="K35" s="36">
        <f>'PA-Détails'!K1765</f>
        <v>0</v>
      </c>
      <c r="L35" s="36">
        <f>'PA-Détails'!L1765</f>
        <v>20966384</v>
      </c>
      <c r="M35" s="36">
        <f>'PA-Détails'!M1765</f>
        <v>21316912</v>
      </c>
      <c r="N35" s="36">
        <f>'PA-Détails'!N1765</f>
        <v>24667440</v>
      </c>
      <c r="O35" s="36">
        <f>'PA-Détails'!O1765</f>
        <v>25017968</v>
      </c>
      <c r="P35" s="36">
        <f>'PA-Détails'!P1765</f>
        <v>25368496</v>
      </c>
      <c r="Q35" s="429">
        <f>'PA-Détails'!Q1765</f>
        <v>117337200</v>
      </c>
      <c r="R35" s="570"/>
      <c r="S35" s="584">
        <f>'PA-Détails'!S1765</f>
        <v>0</v>
      </c>
      <c r="T35" s="585">
        <f>'PA-Détails'!T1765</f>
        <v>0</v>
      </c>
      <c r="U35" s="586">
        <f>'PA-Détails'!T1765</f>
        <v>0</v>
      </c>
    </row>
    <row r="36" spans="1:21" x14ac:dyDescent="0.2">
      <c r="A36" s="369" t="str">
        <f>'PA-Détails'!A1767</f>
        <v>2.3.2 Recenser les disparités d'offre pour guider la création des écoles/classes</v>
      </c>
      <c r="B36" s="446"/>
      <c r="C36" s="386" t="str">
        <f>'PA-Détails'!C1767</f>
        <v>En 2025, des outils de carte scolaire sont mis en place dans les services provinciaux</v>
      </c>
      <c r="D36" s="168">
        <f>'PA-Détails'!D1767</f>
        <v>94.5</v>
      </c>
      <c r="E36" s="168">
        <f>'PA-Détails'!E1767</f>
        <v>26.25</v>
      </c>
      <c r="F36" s="168">
        <f>'PA-Détails'!F1767</f>
        <v>0</v>
      </c>
      <c r="G36" s="168">
        <f>'PA-Détails'!G1767</f>
        <v>0</v>
      </c>
      <c r="H36" s="168">
        <f>'PA-Détails'!H1767</f>
        <v>0</v>
      </c>
      <c r="I36" s="168">
        <f>'PA-Détails'!I1767</f>
        <v>120.75</v>
      </c>
      <c r="J36" s="447">
        <f>'PA-Détails'!J1767</f>
        <v>0</v>
      </c>
      <c r="K36" s="36">
        <f>'PA-Détails'!K1767</f>
        <v>0</v>
      </c>
      <c r="L36" s="36">
        <f>'PA-Détails'!L1767</f>
        <v>94500</v>
      </c>
      <c r="M36" s="36">
        <f>'PA-Détails'!M1767</f>
        <v>26250</v>
      </c>
      <c r="N36" s="36">
        <f>'PA-Détails'!N1767</f>
        <v>0</v>
      </c>
      <c r="O36" s="36">
        <f>'PA-Détails'!O1767</f>
        <v>0</v>
      </c>
      <c r="P36" s="36">
        <f>'PA-Détails'!P1767</f>
        <v>0</v>
      </c>
      <c r="Q36" s="429">
        <f>'PA-Détails'!Q1767</f>
        <v>120750</v>
      </c>
      <c r="R36" s="570"/>
      <c r="S36" s="584">
        <f>'PA-Détails'!S1767</f>
        <v>0</v>
      </c>
      <c r="T36" s="585">
        <f>'PA-Détails'!T1767</f>
        <v>0</v>
      </c>
      <c r="U36" s="586">
        <f>'PA-Détails'!T1767</f>
        <v>0</v>
      </c>
    </row>
    <row r="37" spans="1:21" x14ac:dyDescent="0.2">
      <c r="A37" s="368" t="str">
        <f>'PA-Détails'!A1769</f>
        <v>2.4 Amélioration de l'équité d'accès : soutenir la scolarisation des populations défavorisées ou marginalisées</v>
      </c>
      <c r="B37" s="444"/>
      <c r="C37" s="385">
        <f>'PA-Détails'!C1769</f>
        <v>0</v>
      </c>
      <c r="D37" s="217">
        <f>'PA-Détails'!D1769</f>
        <v>44.85</v>
      </c>
      <c r="E37" s="217">
        <f>'PA-Détails'!E1769</f>
        <v>1464.3389999999999</v>
      </c>
      <c r="F37" s="217">
        <f>'PA-Détails'!F1769</f>
        <v>2505.0830000000001</v>
      </c>
      <c r="G37" s="217">
        <f>'PA-Détails'!G1769</f>
        <v>5962.0230000000001</v>
      </c>
      <c r="H37" s="217">
        <f>'PA-Détails'!H1769</f>
        <v>9465.3619999999992</v>
      </c>
      <c r="I37" s="217">
        <f>'PA-Détails'!I1769</f>
        <v>19441.656999999999</v>
      </c>
      <c r="J37" s="449">
        <f>'PA-Détails'!J1769</f>
        <v>0</v>
      </c>
      <c r="K37" s="32">
        <f>'PA-Détails'!K1769</f>
        <v>0</v>
      </c>
      <c r="L37" s="32">
        <f>'PA-Détails'!L1769</f>
        <v>44850</v>
      </c>
      <c r="M37" s="32">
        <f>'PA-Détails'!M1769</f>
        <v>1464339</v>
      </c>
      <c r="N37" s="32">
        <f>'PA-Détails'!N1769</f>
        <v>2505083</v>
      </c>
      <c r="O37" s="32">
        <f>'PA-Détails'!O1769</f>
        <v>5962023</v>
      </c>
      <c r="P37" s="32">
        <f>'PA-Détails'!P1769</f>
        <v>9465362</v>
      </c>
      <c r="Q37" s="428">
        <f>'PA-Détails'!Q1769</f>
        <v>19441657</v>
      </c>
      <c r="R37" s="570"/>
      <c r="S37" s="581">
        <f>'PA-Détails'!S1769</f>
        <v>0</v>
      </c>
      <c r="T37" s="582">
        <f>'PA-Détails'!T1769</f>
        <v>1</v>
      </c>
      <c r="U37" s="583">
        <f>'PA-Détails'!T1769</f>
        <v>1</v>
      </c>
    </row>
    <row r="38" spans="1:21" x14ac:dyDescent="0.2">
      <c r="A38" s="369" t="str">
        <f>'PA-Détails'!A1770</f>
        <v>2.4.1 Coopératives scolaires</v>
      </c>
      <c r="B38" s="446"/>
      <c r="C38" s="386" t="str">
        <f>'PA-Détails'!C1770</f>
        <v>En 2025, 20% des élèves bénéficient d'uniformes et de fournitures scolaires à prix réduits</v>
      </c>
      <c r="D38" s="168">
        <f>'PA-Détails'!D1770</f>
        <v>4.5</v>
      </c>
      <c r="E38" s="168">
        <f>'PA-Détails'!E1770</f>
        <v>296</v>
      </c>
      <c r="F38" s="168">
        <f>'PA-Détails'!F1770</f>
        <v>296</v>
      </c>
      <c r="G38" s="168">
        <f>'PA-Détails'!G1770</f>
        <v>287</v>
      </c>
      <c r="H38" s="168">
        <f>'PA-Détails'!H1770</f>
        <v>287</v>
      </c>
      <c r="I38" s="168">
        <f>'PA-Détails'!I1770</f>
        <v>1170.5</v>
      </c>
      <c r="J38" s="447">
        <f>'PA-Détails'!J1770</f>
        <v>0</v>
      </c>
      <c r="K38" s="36">
        <f>'PA-Détails'!K1770</f>
        <v>0</v>
      </c>
      <c r="L38" s="36">
        <f>'PA-Détails'!L1770</f>
        <v>4500</v>
      </c>
      <c r="M38" s="36">
        <f>'PA-Détails'!M1770</f>
        <v>296000</v>
      </c>
      <c r="N38" s="36">
        <f>'PA-Détails'!N1770</f>
        <v>296000</v>
      </c>
      <c r="O38" s="36">
        <f>'PA-Détails'!O1770</f>
        <v>287000</v>
      </c>
      <c r="P38" s="36">
        <f>'PA-Détails'!P1770</f>
        <v>287000</v>
      </c>
      <c r="Q38" s="429">
        <f>'PA-Détails'!Q1770</f>
        <v>1170500</v>
      </c>
      <c r="R38" s="570"/>
      <c r="S38" s="584">
        <f>'PA-Détails'!S1770</f>
        <v>0</v>
      </c>
      <c r="T38" s="585">
        <f>'PA-Détails'!T1770</f>
        <v>0</v>
      </c>
      <c r="U38" s="586">
        <f>'PA-Détails'!T1770</f>
        <v>0</v>
      </c>
    </row>
    <row r="39" spans="1:21" x14ac:dyDescent="0.2">
      <c r="A39" s="369" t="str">
        <f>'PA-Détails'!A1773</f>
        <v xml:space="preserve">2.4.2 Cantines scolaires </v>
      </c>
      <c r="B39" s="446"/>
      <c r="C39" s="386" t="str">
        <f>'PA-Détails'!C1773</f>
        <v>En 2025, 3000 écoles disposent d'une cantine scolaire subventionnée</v>
      </c>
      <c r="D39" s="168">
        <f>'PA-Détails'!D1773</f>
        <v>0</v>
      </c>
      <c r="E39" s="168">
        <f>'PA-Détails'!E1773</f>
        <v>0</v>
      </c>
      <c r="F39" s="168">
        <f>'PA-Détails'!F1773</f>
        <v>37.4</v>
      </c>
      <c r="G39" s="168">
        <f>'PA-Détails'!G1773</f>
        <v>2500</v>
      </c>
      <c r="H39" s="168">
        <f>'PA-Détails'!H1773</f>
        <v>5000</v>
      </c>
      <c r="I39" s="168">
        <f>'PA-Détails'!I1773</f>
        <v>7537.4</v>
      </c>
      <c r="J39" s="447">
        <f>'PA-Détails'!J1773</f>
        <v>0</v>
      </c>
      <c r="K39" s="36">
        <f>'PA-Détails'!K1773</f>
        <v>0</v>
      </c>
      <c r="L39" s="36">
        <f>'PA-Détails'!L1773</f>
        <v>0</v>
      </c>
      <c r="M39" s="36">
        <f>'PA-Détails'!M1773</f>
        <v>0</v>
      </c>
      <c r="N39" s="36">
        <f>'PA-Détails'!N1773</f>
        <v>37400</v>
      </c>
      <c r="O39" s="36">
        <f>'PA-Détails'!O1773</f>
        <v>2500000</v>
      </c>
      <c r="P39" s="36">
        <f>'PA-Détails'!P1773</f>
        <v>5000000</v>
      </c>
      <c r="Q39" s="429">
        <f>'PA-Détails'!Q1773</f>
        <v>7537400</v>
      </c>
      <c r="R39" s="570"/>
      <c r="S39" s="584">
        <f>'PA-Détails'!S1773</f>
        <v>0</v>
      </c>
      <c r="T39" s="585">
        <f>'PA-Détails'!T1773</f>
        <v>0</v>
      </c>
      <c r="U39" s="586">
        <f>'PA-Détails'!T1773</f>
        <v>0</v>
      </c>
    </row>
    <row r="40" spans="1:21" x14ac:dyDescent="0.2">
      <c r="A40" s="370" t="str">
        <f>'PA-Détails'!A1776</f>
        <v>2.4.3 Aides directes aux familles</v>
      </c>
      <c r="B40" s="452"/>
      <c r="C40" s="390" t="str">
        <f>'PA-Détails'!C1776</f>
        <v>En 2025, les familles de 10% des élèves reçoivent une allocation</v>
      </c>
      <c r="D40" s="168">
        <f>'PA-Détails'!D1776</f>
        <v>3</v>
      </c>
      <c r="E40" s="168">
        <f>'PA-Détails'!E1776</f>
        <v>836.67399999999998</v>
      </c>
      <c r="F40" s="168">
        <f>'PA-Détails'!F1776</f>
        <v>1673.348</v>
      </c>
      <c r="G40" s="168">
        <f>'PA-Détails'!G1776</f>
        <v>2510.0230000000001</v>
      </c>
      <c r="H40" s="168">
        <f>'PA-Détails'!H1776</f>
        <v>3346.6970000000001</v>
      </c>
      <c r="I40" s="168">
        <f>'PA-Détails'!I1776</f>
        <v>8369.7420000000002</v>
      </c>
      <c r="J40" s="389">
        <f>'PA-Détails'!J1776</f>
        <v>0</v>
      </c>
      <c r="K40" s="168">
        <f>'PA-Détails'!K1776</f>
        <v>0</v>
      </c>
      <c r="L40" s="36">
        <f>'PA-Détails'!L1776</f>
        <v>3000</v>
      </c>
      <c r="M40" s="36">
        <f>'PA-Détails'!M1776</f>
        <v>836674</v>
      </c>
      <c r="N40" s="36">
        <f>'PA-Détails'!N1776</f>
        <v>1673348</v>
      </c>
      <c r="O40" s="36">
        <f>'PA-Détails'!O1776</f>
        <v>2510023</v>
      </c>
      <c r="P40" s="36">
        <f>'PA-Détails'!P1776</f>
        <v>3346697</v>
      </c>
      <c r="Q40" s="429">
        <f>'PA-Détails'!Q1776</f>
        <v>8369742</v>
      </c>
      <c r="R40" s="570"/>
      <c r="S40" s="584">
        <f>'PA-Détails'!S1776</f>
        <v>0</v>
      </c>
      <c r="T40" s="585">
        <f>'PA-Détails'!T1776</f>
        <v>0</v>
      </c>
      <c r="U40" s="586">
        <f>'PA-Détails'!T1776</f>
        <v>0</v>
      </c>
    </row>
    <row r="41" spans="1:21" x14ac:dyDescent="0.2">
      <c r="A41" s="369" t="str">
        <f>'PA-Détails'!A1779</f>
        <v>2.4.4 Accueil des élèves à besoins spécifiques</v>
      </c>
      <c r="B41" s="446"/>
      <c r="C41" s="387" t="str">
        <f>'PA-Détails'!C1779</f>
        <v xml:space="preserve">En 2025, 50% des écoles sont dotées d'accès facilité pour les personnes handicapées </v>
      </c>
      <c r="D41" s="168">
        <f>'PA-Détails'!D1779</f>
        <v>26.25</v>
      </c>
      <c r="E41" s="168">
        <f>'PA-Détails'!E1779</f>
        <v>165</v>
      </c>
      <c r="F41" s="168">
        <f>'PA-Détails'!F1779</f>
        <v>165</v>
      </c>
      <c r="G41" s="168">
        <f>'PA-Détails'!G1779</f>
        <v>165</v>
      </c>
      <c r="H41" s="168">
        <f>'PA-Détails'!H1779</f>
        <v>165</v>
      </c>
      <c r="I41" s="168">
        <f>'PA-Détails'!I1779</f>
        <v>686.25</v>
      </c>
      <c r="J41" s="447">
        <f>'PA-Détails'!J1779</f>
        <v>0</v>
      </c>
      <c r="K41" s="36">
        <f>'PA-Détails'!K1779</f>
        <v>0</v>
      </c>
      <c r="L41" s="36">
        <f>'PA-Détails'!L1779</f>
        <v>26250</v>
      </c>
      <c r="M41" s="36">
        <f>'PA-Détails'!M1779</f>
        <v>165000</v>
      </c>
      <c r="N41" s="36">
        <f>'PA-Détails'!N1779</f>
        <v>165000</v>
      </c>
      <c r="O41" s="36">
        <f>'PA-Détails'!O1779</f>
        <v>165000</v>
      </c>
      <c r="P41" s="36">
        <f>'PA-Détails'!P1779</f>
        <v>165000</v>
      </c>
      <c r="Q41" s="429">
        <f>'PA-Détails'!Q1779</f>
        <v>686250</v>
      </c>
      <c r="R41" s="570"/>
      <c r="S41" s="584">
        <f>'PA-Détails'!S1779</f>
        <v>0</v>
      </c>
      <c r="T41" s="585">
        <f>'PA-Détails'!T1779</f>
        <v>0</v>
      </c>
      <c r="U41" s="586">
        <f>'PA-Détails'!T1779</f>
        <v>0</v>
      </c>
    </row>
    <row r="42" spans="1:21" x14ac:dyDescent="0.2">
      <c r="A42" s="369" t="str">
        <f>'PA-Détails'!A1783</f>
        <v>2.4.5 Scolarisation des enfants autochtones</v>
      </c>
      <c r="B42" s="446"/>
      <c r="C42" s="387" t="str">
        <f>'PA-Détails'!C1783</f>
        <v>En 2025, 300 000 élèves autochtones reçoivent une allocation</v>
      </c>
      <c r="D42" s="168">
        <f>'PA-Détails'!D1783</f>
        <v>11.1</v>
      </c>
      <c r="E42" s="168">
        <f>'PA-Détails'!E1783</f>
        <v>166.66499999999999</v>
      </c>
      <c r="F42" s="168">
        <f>'PA-Détails'!F1783</f>
        <v>333.33499999999998</v>
      </c>
      <c r="G42" s="168">
        <f>'PA-Détails'!G1783</f>
        <v>500</v>
      </c>
      <c r="H42" s="168">
        <f>'PA-Détails'!H1783</f>
        <v>666.66499999999996</v>
      </c>
      <c r="I42" s="168">
        <f>'PA-Détails'!I1783</f>
        <v>1677.7650000000001</v>
      </c>
      <c r="J42" s="447">
        <f>'PA-Détails'!J1783</f>
        <v>0</v>
      </c>
      <c r="K42" s="36">
        <f>'PA-Détails'!K1783</f>
        <v>0</v>
      </c>
      <c r="L42" s="36">
        <f>'PA-Détails'!L1783</f>
        <v>11100</v>
      </c>
      <c r="M42" s="36">
        <f>'PA-Détails'!M1783</f>
        <v>166665</v>
      </c>
      <c r="N42" s="36">
        <f>'PA-Détails'!N1783</f>
        <v>333335</v>
      </c>
      <c r="O42" s="36">
        <f>'PA-Détails'!O1783</f>
        <v>500000</v>
      </c>
      <c r="P42" s="36">
        <f>'PA-Détails'!P1783</f>
        <v>666665</v>
      </c>
      <c r="Q42" s="429">
        <f>'PA-Détails'!Q1783</f>
        <v>1677765</v>
      </c>
      <c r="R42" s="570"/>
      <c r="S42" s="584">
        <f>'PA-Détails'!S1783</f>
        <v>0</v>
      </c>
      <c r="T42" s="585">
        <f>'PA-Détails'!T1783</f>
        <v>0</v>
      </c>
      <c r="U42" s="586">
        <f>'PA-Détails'!T1783</f>
        <v>0</v>
      </c>
    </row>
    <row r="43" spans="1:21" x14ac:dyDescent="0.2">
      <c r="A43" s="368" t="str">
        <f>'PA-Détails'!A1786</f>
        <v>2.5 Scolarisation des filles : Encourager la scolarisation des filles</v>
      </c>
      <c r="B43" s="444"/>
      <c r="C43" s="385">
        <f>'PA-Détails'!C1786</f>
        <v>0</v>
      </c>
      <c r="D43" s="217">
        <f>'PA-Détails'!D1786</f>
        <v>30.5</v>
      </c>
      <c r="E43" s="217">
        <f>'PA-Détails'!E1786</f>
        <v>6754</v>
      </c>
      <c r="F43" s="217">
        <f>'PA-Détails'!F1786</f>
        <v>8110</v>
      </c>
      <c r="G43" s="217">
        <f>'PA-Détails'!G1786</f>
        <v>9480</v>
      </c>
      <c r="H43" s="217">
        <f>'PA-Détails'!H1786</f>
        <v>10850</v>
      </c>
      <c r="I43" s="217">
        <f>'PA-Détails'!I1786</f>
        <v>35224.5</v>
      </c>
      <c r="J43" s="449">
        <f>'PA-Détails'!J1786</f>
        <v>0</v>
      </c>
      <c r="K43" s="32">
        <f>'PA-Détails'!K1786</f>
        <v>0</v>
      </c>
      <c r="L43" s="32">
        <f>'PA-Détails'!L1786</f>
        <v>30500</v>
      </c>
      <c r="M43" s="32">
        <f>'PA-Détails'!M1786</f>
        <v>6754000</v>
      </c>
      <c r="N43" s="32">
        <f>'PA-Détails'!N1786</f>
        <v>8110000</v>
      </c>
      <c r="O43" s="32">
        <f>'PA-Détails'!O1786</f>
        <v>9480000</v>
      </c>
      <c r="P43" s="32">
        <f>'PA-Détails'!P1786</f>
        <v>10850000</v>
      </c>
      <c r="Q43" s="428">
        <f>'PA-Détails'!Q1786</f>
        <v>35224500</v>
      </c>
      <c r="R43" s="570"/>
      <c r="S43" s="590">
        <f>'PA-Détails'!S1786</f>
        <v>0</v>
      </c>
      <c r="T43" s="582">
        <f>'PA-Détails'!T1786</f>
        <v>1</v>
      </c>
      <c r="U43" s="583">
        <f>'PA-Détails'!T1786</f>
        <v>1</v>
      </c>
    </row>
    <row r="44" spans="1:21" x14ac:dyDescent="0.2">
      <c r="A44" s="369" t="str">
        <f>'PA-Détails'!A1787</f>
        <v>2.5.1 Allocation aux écoles dans les 3 provinces les plus en retard pour la scolarisation des filles</v>
      </c>
      <c r="B44" s="446"/>
      <c r="C44" s="386" t="str">
        <f>'PA-Détails'!C1787</f>
        <v>En 2025, 10% des enseignants reçoivent une bonification pour exercice dans des zones isolées</v>
      </c>
      <c r="D44" s="168">
        <f>'PA-Détails'!D1787</f>
        <v>4.5</v>
      </c>
      <c r="E44" s="168">
        <f>'PA-Détails'!E1787</f>
        <v>2740</v>
      </c>
      <c r="F44" s="168">
        <f>'PA-Détails'!F1787</f>
        <v>4110</v>
      </c>
      <c r="G44" s="168">
        <f>'PA-Détails'!G1787</f>
        <v>5480</v>
      </c>
      <c r="H44" s="168">
        <f>'PA-Détails'!H1787</f>
        <v>6850</v>
      </c>
      <c r="I44" s="168">
        <f>'PA-Détails'!I1787</f>
        <v>19184.5</v>
      </c>
      <c r="J44" s="447">
        <f>'PA-Détails'!J1787</f>
        <v>0</v>
      </c>
      <c r="K44" s="36">
        <f>'PA-Détails'!K1787</f>
        <v>0</v>
      </c>
      <c r="L44" s="36">
        <f>'PA-Détails'!L1787</f>
        <v>4500</v>
      </c>
      <c r="M44" s="36">
        <f>'PA-Détails'!M1787</f>
        <v>2740000</v>
      </c>
      <c r="N44" s="36">
        <f>'PA-Détails'!N1787</f>
        <v>4110000</v>
      </c>
      <c r="O44" s="36">
        <f>'PA-Détails'!O1787</f>
        <v>5480000</v>
      </c>
      <c r="P44" s="36">
        <f>'PA-Détails'!P1787</f>
        <v>6850000</v>
      </c>
      <c r="Q44" s="429">
        <f>'PA-Détails'!Q1787</f>
        <v>19184500</v>
      </c>
      <c r="R44" s="570"/>
      <c r="S44" s="591">
        <f>'PA-Détails'!S1787</f>
        <v>0</v>
      </c>
      <c r="T44" s="585">
        <f>'PA-Détails'!T1787</f>
        <v>0</v>
      </c>
      <c r="U44" s="586">
        <f>'PA-Détails'!T1787</f>
        <v>0</v>
      </c>
    </row>
    <row r="45" spans="1:21" x14ac:dyDescent="0.2">
      <c r="A45" s="369" t="str">
        <f>'PA-Détails'!A1790</f>
        <v xml:space="preserve">2.5.2 Construction de sanitaires séparés </v>
      </c>
      <c r="B45" s="446"/>
      <c r="C45" s="386" t="str">
        <f>'PA-Détails'!C1790</f>
        <v>En 2025, toutes les écoles disposent des sanitaires séparés</v>
      </c>
      <c r="D45" s="168">
        <f>'PA-Détails'!D1790</f>
        <v>6</v>
      </c>
      <c r="E45" s="168">
        <f>'PA-Détails'!E1790</f>
        <v>4000</v>
      </c>
      <c r="F45" s="168">
        <f>'PA-Détails'!F1790</f>
        <v>4000</v>
      </c>
      <c r="G45" s="168">
        <f>'PA-Détails'!G1790</f>
        <v>4000</v>
      </c>
      <c r="H45" s="168">
        <f>'PA-Détails'!H1790</f>
        <v>4000</v>
      </c>
      <c r="I45" s="168">
        <f>'PA-Détails'!I1790</f>
        <v>16006</v>
      </c>
      <c r="J45" s="447">
        <f>'PA-Détails'!J1790</f>
        <v>0</v>
      </c>
      <c r="K45" s="36">
        <f>'PA-Détails'!K1790</f>
        <v>0</v>
      </c>
      <c r="L45" s="36">
        <f>'PA-Détails'!L1790</f>
        <v>6000</v>
      </c>
      <c r="M45" s="36">
        <f>'PA-Détails'!M1790</f>
        <v>4000000</v>
      </c>
      <c r="N45" s="36">
        <f>'PA-Détails'!N1790</f>
        <v>4000000</v>
      </c>
      <c r="O45" s="36">
        <f>'PA-Détails'!O1790</f>
        <v>4000000</v>
      </c>
      <c r="P45" s="36">
        <f>'PA-Détails'!P1790</f>
        <v>4000000</v>
      </c>
      <c r="Q45" s="429">
        <f>'PA-Détails'!Q1790</f>
        <v>16006000</v>
      </c>
      <c r="R45" s="570"/>
      <c r="S45" s="591">
        <f>'PA-Détails'!S1790</f>
        <v>0</v>
      </c>
      <c r="T45" s="585">
        <f>'PA-Détails'!T1790</f>
        <v>0</v>
      </c>
      <c r="U45" s="586">
        <f>'PA-Détails'!T1790</f>
        <v>0</v>
      </c>
    </row>
    <row r="46" spans="1:21" x14ac:dyDescent="0.2">
      <c r="A46" s="369" t="str">
        <f>'PA-Détails'!A1793</f>
        <v>2.5.3 Recenser les disparités d'offre pour guider la création des écoles/classes</v>
      </c>
      <c r="B46" s="446"/>
      <c r="C46" s="386" t="str">
        <f>'PA-Détails'!C1793</f>
        <v>Des outils de carte scolaire sont mis en place dans les services provinciaux</v>
      </c>
      <c r="D46" s="168">
        <f>'PA-Détails'!D1793</f>
        <v>20</v>
      </c>
      <c r="E46" s="168">
        <f>'PA-Détails'!E1793</f>
        <v>14</v>
      </c>
      <c r="F46" s="168">
        <f>'PA-Détails'!F1793</f>
        <v>0</v>
      </c>
      <c r="G46" s="168">
        <f>'PA-Détails'!G1793</f>
        <v>0</v>
      </c>
      <c r="H46" s="168">
        <f>'PA-Détails'!H1793</f>
        <v>0</v>
      </c>
      <c r="I46" s="168">
        <f>'PA-Détails'!I1793</f>
        <v>34</v>
      </c>
      <c r="J46" s="447">
        <f>'PA-Détails'!J1793</f>
        <v>0</v>
      </c>
      <c r="K46" s="36">
        <f>'PA-Détails'!K1793</f>
        <v>0</v>
      </c>
      <c r="L46" s="36">
        <f>'PA-Détails'!L1793</f>
        <v>20000</v>
      </c>
      <c r="M46" s="36">
        <f>'PA-Détails'!M1793</f>
        <v>14000</v>
      </c>
      <c r="N46" s="36">
        <f>'PA-Détails'!N1793</f>
        <v>0</v>
      </c>
      <c r="O46" s="36">
        <f>'PA-Détails'!O1793</f>
        <v>0</v>
      </c>
      <c r="P46" s="36">
        <f>'PA-Détails'!P1793</f>
        <v>0</v>
      </c>
      <c r="Q46" s="429">
        <f>'PA-Détails'!Q1793</f>
        <v>34000</v>
      </c>
      <c r="R46" s="570"/>
      <c r="S46" s="591">
        <f>'PA-Détails'!S1793</f>
        <v>0</v>
      </c>
      <c r="T46" s="585">
        <f>'PA-Détails'!T1793</f>
        <v>0</v>
      </c>
      <c r="U46" s="586">
        <f>'PA-Détails'!T1793</f>
        <v>0</v>
      </c>
    </row>
    <row r="47" spans="1:21" x14ac:dyDescent="0.2">
      <c r="A47" s="368" t="str">
        <f>'PA-Détails'!A1796</f>
        <v xml:space="preserve">2.6 Matériels et équipements pédagogiques : Rendre accessibles et disponibles les manuels scolaires et le matériel didactique </v>
      </c>
      <c r="B47" s="444"/>
      <c r="C47" s="385">
        <f>'PA-Détails'!C1796</f>
        <v>0</v>
      </c>
      <c r="D47" s="217">
        <f>'PA-Détails'!D1796</f>
        <v>2229.4</v>
      </c>
      <c r="E47" s="217">
        <f>'PA-Détails'!E1796</f>
        <v>14835.5</v>
      </c>
      <c r="F47" s="217">
        <f>'PA-Détails'!F1796</f>
        <v>18252.5</v>
      </c>
      <c r="G47" s="217">
        <f>'PA-Détails'!G1796</f>
        <v>21792.5</v>
      </c>
      <c r="H47" s="217">
        <f>'PA-Détails'!H1796</f>
        <v>25332.5</v>
      </c>
      <c r="I47" s="217">
        <f>'PA-Détails'!I1796</f>
        <v>82442.399999999994</v>
      </c>
      <c r="J47" s="449">
        <f>'PA-Détails'!J1796</f>
        <v>0</v>
      </c>
      <c r="K47" s="32">
        <f>'PA-Détails'!K1796</f>
        <v>0</v>
      </c>
      <c r="L47" s="32">
        <f>'PA-Détails'!L1796</f>
        <v>2229400</v>
      </c>
      <c r="M47" s="32">
        <f>'PA-Détails'!M1796</f>
        <v>14835500</v>
      </c>
      <c r="N47" s="32">
        <f>'PA-Détails'!N1796</f>
        <v>18252500</v>
      </c>
      <c r="O47" s="32">
        <f>'PA-Détails'!O1796</f>
        <v>21792500</v>
      </c>
      <c r="P47" s="32">
        <f>'PA-Détails'!P1796</f>
        <v>25332500</v>
      </c>
      <c r="Q47" s="428">
        <f>'PA-Détails'!Q1796</f>
        <v>82442400</v>
      </c>
      <c r="R47" s="570"/>
      <c r="S47" s="592">
        <f>'PA-Détails'!S1796</f>
        <v>0</v>
      </c>
      <c r="T47" s="593">
        <f>'PA-Détails'!T1796</f>
        <v>2</v>
      </c>
      <c r="U47" s="588">
        <f>'PA-Détails'!T1796</f>
        <v>2</v>
      </c>
    </row>
    <row r="48" spans="1:21" x14ac:dyDescent="0.2">
      <c r="A48" s="369" t="str">
        <f>'PA-Détails'!A1797</f>
        <v>2.6.1 Équipements pédagogiques</v>
      </c>
      <c r="B48" s="446"/>
      <c r="C48" s="386" t="str">
        <f>'PA-Détails'!C1797</f>
        <v>En 2025, toutes les écoles disposent de matériels pédagogiques</v>
      </c>
      <c r="D48" s="168">
        <f>'PA-Détails'!D1797</f>
        <v>21</v>
      </c>
      <c r="E48" s="168">
        <f>'PA-Détails'!E1797</f>
        <v>3440</v>
      </c>
      <c r="F48" s="168">
        <f>'PA-Détails'!F1797</f>
        <v>3980</v>
      </c>
      <c r="G48" s="168">
        <f>'PA-Détails'!G1797</f>
        <v>4520</v>
      </c>
      <c r="H48" s="168">
        <f>'PA-Détails'!H1797</f>
        <v>5060</v>
      </c>
      <c r="I48" s="168">
        <f>'PA-Détails'!I1797</f>
        <v>17021</v>
      </c>
      <c r="J48" s="447">
        <f>'PA-Détails'!J1797</f>
        <v>0</v>
      </c>
      <c r="K48" s="36">
        <f>'PA-Détails'!K1797</f>
        <v>0</v>
      </c>
      <c r="L48" s="36">
        <f>'PA-Détails'!L1797</f>
        <v>21000</v>
      </c>
      <c r="M48" s="36">
        <f>'PA-Détails'!M1797</f>
        <v>3440000</v>
      </c>
      <c r="N48" s="36">
        <f>'PA-Détails'!N1797</f>
        <v>3980000</v>
      </c>
      <c r="O48" s="36">
        <f>'PA-Détails'!O1797</f>
        <v>4520000</v>
      </c>
      <c r="P48" s="36">
        <f>'PA-Détails'!P1797</f>
        <v>5060000</v>
      </c>
      <c r="Q48" s="429">
        <f>'PA-Détails'!Q1797</f>
        <v>17021000</v>
      </c>
      <c r="R48" s="570"/>
      <c r="S48" s="594">
        <f>'PA-Détails'!S1797</f>
        <v>0</v>
      </c>
      <c r="T48" s="595">
        <f>'PA-Détails'!T1797</f>
        <v>0</v>
      </c>
      <c r="U48" s="586">
        <f>'PA-Détails'!T1797</f>
        <v>0</v>
      </c>
    </row>
    <row r="49" spans="1:21" x14ac:dyDescent="0.2">
      <c r="A49" s="369" t="str">
        <f>'PA-Détails'!A1800</f>
        <v>2.6.2 Manuels scolaires pour le primaire</v>
      </c>
      <c r="B49" s="446"/>
      <c r="C49" s="386" t="str">
        <f>'PA-Détails'!C1800</f>
        <v xml:space="preserve">En 2025, tous les enfants disposent de 3 manuels </v>
      </c>
      <c r="D49" s="168">
        <f>'PA-Détails'!D1800</f>
        <v>0</v>
      </c>
      <c r="E49" s="168">
        <f>'PA-Détails'!E1800</f>
        <v>9004.5</v>
      </c>
      <c r="F49" s="168">
        <f>'PA-Détails'!F1800</f>
        <v>12004.5</v>
      </c>
      <c r="G49" s="168">
        <f>'PA-Détails'!G1800</f>
        <v>15004.5</v>
      </c>
      <c r="H49" s="168">
        <f>'PA-Détails'!H1800</f>
        <v>18004.5</v>
      </c>
      <c r="I49" s="168">
        <f>'PA-Détails'!I1800</f>
        <v>54018</v>
      </c>
      <c r="J49" s="447">
        <f>'PA-Détails'!J1800</f>
        <v>0</v>
      </c>
      <c r="K49" s="36">
        <f>'PA-Détails'!K1800</f>
        <v>0</v>
      </c>
      <c r="L49" s="36">
        <f>'PA-Détails'!L1800</f>
        <v>0</v>
      </c>
      <c r="M49" s="36">
        <f>'PA-Détails'!M1800</f>
        <v>9004500</v>
      </c>
      <c r="N49" s="36">
        <f>'PA-Détails'!N1800</f>
        <v>12004500</v>
      </c>
      <c r="O49" s="36">
        <f>'PA-Détails'!O1800</f>
        <v>15004500</v>
      </c>
      <c r="P49" s="36">
        <f>'PA-Détails'!P1800</f>
        <v>18004500</v>
      </c>
      <c r="Q49" s="429">
        <f>'PA-Détails'!Q1800</f>
        <v>54018000</v>
      </c>
      <c r="R49" s="570"/>
      <c r="S49" s="594">
        <f>'PA-Détails'!S1800</f>
        <v>0</v>
      </c>
      <c r="T49" s="595">
        <f>'PA-Détails'!T1800</f>
        <v>0</v>
      </c>
      <c r="U49" s="586">
        <f>'PA-Détails'!T1800</f>
        <v>0</v>
      </c>
    </row>
    <row r="50" spans="1:21" x14ac:dyDescent="0.2">
      <c r="A50" s="369" t="str">
        <f>'PA-Détails'!A1803</f>
        <v>2.6.3 Plaquettes sur l'éducation à la gestion, l'éducation à la paix et la citoyenneté</v>
      </c>
      <c r="B50" s="446"/>
      <c r="C50" s="386" t="str">
        <f>'PA-Détails'!C1803</f>
        <v>A partir de 2017, toutes les écoles disposent de la documentation</v>
      </c>
      <c r="D50" s="168">
        <f>'PA-Détails'!D1803</f>
        <v>10.199999999999999</v>
      </c>
      <c r="E50" s="168">
        <f>'PA-Détails'!E1803</f>
        <v>123</v>
      </c>
      <c r="F50" s="168">
        <f>'PA-Détails'!F1803</f>
        <v>0</v>
      </c>
      <c r="G50" s="168">
        <f>'PA-Détails'!G1803</f>
        <v>0</v>
      </c>
      <c r="H50" s="168">
        <f>'PA-Détails'!H1803</f>
        <v>0</v>
      </c>
      <c r="I50" s="168">
        <f>'PA-Détails'!I1803</f>
        <v>133.19999999999999</v>
      </c>
      <c r="J50" s="447">
        <f>'PA-Détails'!J1803</f>
        <v>0</v>
      </c>
      <c r="K50" s="36">
        <f>'PA-Détails'!K1803</f>
        <v>0</v>
      </c>
      <c r="L50" s="36">
        <f>'PA-Détails'!L1803</f>
        <v>10200</v>
      </c>
      <c r="M50" s="36">
        <f>'PA-Détails'!M1803</f>
        <v>123000</v>
      </c>
      <c r="N50" s="36">
        <f>'PA-Détails'!N1803</f>
        <v>0</v>
      </c>
      <c r="O50" s="36">
        <f>'PA-Détails'!O1803</f>
        <v>0</v>
      </c>
      <c r="P50" s="36">
        <f>'PA-Détails'!P1803</f>
        <v>0</v>
      </c>
      <c r="Q50" s="429">
        <f>'PA-Détails'!Q1803</f>
        <v>133200</v>
      </c>
      <c r="R50" s="570"/>
      <c r="S50" s="594">
        <f>'PA-Détails'!S1803</f>
        <v>0</v>
      </c>
      <c r="T50" s="595">
        <f>'PA-Détails'!T1803</f>
        <v>0</v>
      </c>
      <c r="U50" s="571">
        <f>'PA-Détails'!T1803</f>
        <v>0</v>
      </c>
    </row>
    <row r="51" spans="1:21" x14ac:dyDescent="0.2">
      <c r="A51" s="369" t="str">
        <f>'PA-Détails'!A1807</f>
        <v>2.6.4 Guides pédagogiques pour les enseignants</v>
      </c>
      <c r="B51" s="446"/>
      <c r="C51" s="386">
        <f>'PA-Détails'!C1807</f>
        <v>0</v>
      </c>
      <c r="D51" s="168">
        <f>'PA-Détails'!D1807</f>
        <v>10.199999999999999</v>
      </c>
      <c r="E51" s="168">
        <f>'PA-Détails'!E1807</f>
        <v>80</v>
      </c>
      <c r="F51" s="168">
        <f>'PA-Détails'!F1807</f>
        <v>80</v>
      </c>
      <c r="G51" s="168">
        <f>'PA-Détails'!G1807</f>
        <v>80</v>
      </c>
      <c r="H51" s="168">
        <f>'PA-Détails'!H1807</f>
        <v>80</v>
      </c>
      <c r="I51" s="168">
        <f>'PA-Détails'!I1807</f>
        <v>330.2</v>
      </c>
      <c r="J51" s="447">
        <f>'PA-Détails'!J1807</f>
        <v>0</v>
      </c>
      <c r="K51" s="36">
        <f>'PA-Détails'!K1807</f>
        <v>0</v>
      </c>
      <c r="L51" s="36">
        <f>'PA-Détails'!L1807</f>
        <v>10200</v>
      </c>
      <c r="M51" s="36">
        <f>'PA-Détails'!M1807</f>
        <v>80000</v>
      </c>
      <c r="N51" s="36">
        <f>'PA-Détails'!N1807</f>
        <v>80000</v>
      </c>
      <c r="O51" s="36">
        <f>'PA-Détails'!O1807</f>
        <v>80000</v>
      </c>
      <c r="P51" s="36">
        <f>'PA-Détails'!P1807</f>
        <v>80000</v>
      </c>
      <c r="Q51" s="429">
        <f>'PA-Détails'!Q1807</f>
        <v>330200</v>
      </c>
      <c r="R51" s="570"/>
      <c r="S51" s="594">
        <f>'PA-Détails'!S1807</f>
        <v>0</v>
      </c>
      <c r="T51" s="595" t="str">
        <f>'PA-Détails'!T1807</f>
        <v>En 2025, tous les enseignants du préscolaire au 1er cycle secondaire disposent de 2 guides</v>
      </c>
      <c r="U51" s="586" t="str">
        <f>'PA-Détails'!T1807</f>
        <v>En 2025, tous les enseignants du préscolaire au 1er cycle secondaire disposent de 2 guides</v>
      </c>
    </row>
    <row r="52" spans="1:21" x14ac:dyDescent="0.2">
      <c r="A52" s="369" t="str">
        <f>'PA-Détails'!A1810</f>
        <v>2.6.5 Les COGES disposant de moyens de conservation des matériels</v>
      </c>
      <c r="B52" s="446"/>
      <c r="C52" s="386">
        <f>'PA-Détails'!C1810</f>
        <v>0</v>
      </c>
      <c r="D52" s="168">
        <f>'PA-Détails'!D1810</f>
        <v>2188</v>
      </c>
      <c r="E52" s="168">
        <f>'PA-Détails'!E1810</f>
        <v>2188</v>
      </c>
      <c r="F52" s="168">
        <f>'PA-Détails'!F1810</f>
        <v>2188</v>
      </c>
      <c r="G52" s="168">
        <f>'PA-Détails'!G1810</f>
        <v>2188</v>
      </c>
      <c r="H52" s="168">
        <f>'PA-Détails'!H1810</f>
        <v>2188</v>
      </c>
      <c r="I52" s="168">
        <f>'PA-Détails'!I1810</f>
        <v>10940</v>
      </c>
      <c r="J52" s="447">
        <f>'PA-Détails'!J1810</f>
        <v>0</v>
      </c>
      <c r="K52" s="36">
        <f>'PA-Détails'!K1810</f>
        <v>0</v>
      </c>
      <c r="L52" s="36">
        <f>'PA-Détails'!L1810</f>
        <v>2188000</v>
      </c>
      <c r="M52" s="36">
        <f>'PA-Détails'!M1810</f>
        <v>2188000</v>
      </c>
      <c r="N52" s="36">
        <f>'PA-Détails'!N1810</f>
        <v>2188000</v>
      </c>
      <c r="O52" s="36">
        <f>'PA-Détails'!O1810</f>
        <v>2188000</v>
      </c>
      <c r="P52" s="36">
        <f>'PA-Détails'!P1810</f>
        <v>2188000</v>
      </c>
      <c r="Q52" s="429">
        <f>'PA-Détails'!Q1810</f>
        <v>10940000</v>
      </c>
      <c r="R52" s="570"/>
      <c r="S52" s="594">
        <f>'PA-Détails'!S1810</f>
        <v>0</v>
      </c>
      <c r="T52" s="595" t="str">
        <f>'PA-Détails'!T1810</f>
        <v>En 2020, toutes les écoles disposent d'armoires de stockage</v>
      </c>
      <c r="U52" s="586" t="str">
        <f>'PA-Détails'!T1810</f>
        <v>En 2020, toutes les écoles disposent d'armoires de stockage</v>
      </c>
    </row>
    <row r="53" spans="1:21" x14ac:dyDescent="0.2">
      <c r="A53" s="368" t="str">
        <f>'PA-Détails'!A1812</f>
        <v>2.7 Apprentissage de la lecture-écriture : améliorer les apprentissages de la lecture-écriture</v>
      </c>
      <c r="B53" s="444"/>
      <c r="C53" s="385">
        <f>'PA-Détails'!C1812</f>
        <v>0</v>
      </c>
      <c r="D53" s="217">
        <f>'PA-Détails'!D1812</f>
        <v>124.5</v>
      </c>
      <c r="E53" s="217">
        <f>'PA-Détails'!E1812</f>
        <v>380</v>
      </c>
      <c r="F53" s="217">
        <f>'PA-Détails'!F1812</f>
        <v>90</v>
      </c>
      <c r="G53" s="217">
        <f>'PA-Détails'!G1812</f>
        <v>0</v>
      </c>
      <c r="H53" s="217">
        <f>'PA-Détails'!H1812</f>
        <v>90</v>
      </c>
      <c r="I53" s="217">
        <f>'PA-Détails'!I1812</f>
        <v>684.5</v>
      </c>
      <c r="J53" s="449">
        <f>'PA-Détails'!J1812</f>
        <v>0</v>
      </c>
      <c r="K53" s="32">
        <f>'PA-Détails'!K1812</f>
        <v>0</v>
      </c>
      <c r="L53" s="32">
        <f>'PA-Détails'!L1812</f>
        <v>124500</v>
      </c>
      <c r="M53" s="32">
        <f>'PA-Détails'!M1812</f>
        <v>380000</v>
      </c>
      <c r="N53" s="32">
        <f>'PA-Détails'!N1812</f>
        <v>90000</v>
      </c>
      <c r="O53" s="32">
        <f>'PA-Détails'!O1812</f>
        <v>0</v>
      </c>
      <c r="P53" s="32">
        <f>'PA-Détails'!P1812</f>
        <v>90000</v>
      </c>
      <c r="Q53" s="428">
        <f>'PA-Détails'!Q1812</f>
        <v>684500</v>
      </c>
      <c r="R53" s="570"/>
      <c r="S53" s="592">
        <f>'PA-Détails'!S1812</f>
        <v>0</v>
      </c>
      <c r="T53" s="593">
        <f>'PA-Détails'!T1812</f>
        <v>2</v>
      </c>
      <c r="U53" s="588">
        <f>'PA-Détails'!T1812</f>
        <v>2</v>
      </c>
    </row>
    <row r="54" spans="1:21" x14ac:dyDescent="0.2">
      <c r="A54" s="369" t="str">
        <f>'PA-Détails'!A1813</f>
        <v xml:space="preserve">2.7.1 Former les enseignants </v>
      </c>
      <c r="B54" s="446"/>
      <c r="C54" s="386" t="str">
        <f>'PA-Détails'!C1813</f>
        <v>Tous les enseignants de 1ère et 2ème année reçoivent une semaine de formation à l'utilisation des programmes lecture, tous les 2 ans</v>
      </c>
      <c r="D54" s="168">
        <f>'PA-Détails'!D1813</f>
        <v>90</v>
      </c>
      <c r="E54" s="168">
        <f>'PA-Détails'!E1813</f>
        <v>0</v>
      </c>
      <c r="F54" s="168">
        <f>'PA-Détails'!F1813</f>
        <v>90</v>
      </c>
      <c r="G54" s="168">
        <f>'PA-Détails'!G1813</f>
        <v>0</v>
      </c>
      <c r="H54" s="168">
        <f>'PA-Détails'!H1813</f>
        <v>90</v>
      </c>
      <c r="I54" s="168">
        <f>'PA-Détails'!I1813</f>
        <v>270</v>
      </c>
      <c r="J54" s="447">
        <f>'PA-Détails'!J1813</f>
        <v>0</v>
      </c>
      <c r="K54" s="36">
        <f>'PA-Détails'!K1813</f>
        <v>0</v>
      </c>
      <c r="L54" s="36">
        <f>'PA-Détails'!L1813</f>
        <v>90000</v>
      </c>
      <c r="M54" s="36">
        <f>'PA-Détails'!M1813</f>
        <v>0</v>
      </c>
      <c r="N54" s="36">
        <f>'PA-Détails'!N1813</f>
        <v>90000</v>
      </c>
      <c r="O54" s="36">
        <f>'PA-Détails'!O1813</f>
        <v>0</v>
      </c>
      <c r="P54" s="36">
        <f>'PA-Détails'!P1813</f>
        <v>90000</v>
      </c>
      <c r="Q54" s="429">
        <f>'PA-Détails'!Q1813</f>
        <v>270000</v>
      </c>
      <c r="R54" s="570"/>
      <c r="S54" s="594">
        <f>'PA-Détails'!S1813</f>
        <v>0</v>
      </c>
      <c r="T54" s="595">
        <f>'PA-Détails'!T1813</f>
        <v>0</v>
      </c>
      <c r="U54" s="586">
        <f>'PA-Détails'!T1813</f>
        <v>0</v>
      </c>
    </row>
    <row r="55" spans="1:21" x14ac:dyDescent="0.2">
      <c r="A55" s="369" t="str">
        <f>'PA-Détails'!A1815</f>
        <v>2.7.2 Activités de lecture harmonisées</v>
      </c>
      <c r="B55" s="446"/>
      <c r="C55" s="386" t="str">
        <f>'PA-Détails'!C1815</f>
        <v>à partir de 2016, toutes les écoles développent des activités de lecture</v>
      </c>
      <c r="D55" s="168">
        <f>'PA-Détails'!D1815</f>
        <v>12.5</v>
      </c>
      <c r="E55" s="168">
        <f>'PA-Détails'!E1815</f>
        <v>190</v>
      </c>
      <c r="F55" s="168">
        <f>'PA-Détails'!F1815</f>
        <v>0</v>
      </c>
      <c r="G55" s="168">
        <f>'PA-Détails'!G1815</f>
        <v>0</v>
      </c>
      <c r="H55" s="168">
        <f>'PA-Détails'!H1815</f>
        <v>0</v>
      </c>
      <c r="I55" s="168">
        <f>'PA-Détails'!I1815</f>
        <v>202.5</v>
      </c>
      <c r="J55" s="447">
        <f>'PA-Détails'!J1815</f>
        <v>0</v>
      </c>
      <c r="K55" s="36">
        <f>'PA-Détails'!K1815</f>
        <v>0</v>
      </c>
      <c r="L55" s="36">
        <f>'PA-Détails'!L1815</f>
        <v>12500</v>
      </c>
      <c r="M55" s="36">
        <f>'PA-Détails'!M1815</f>
        <v>190000</v>
      </c>
      <c r="N55" s="36">
        <f>'PA-Détails'!N1815</f>
        <v>0</v>
      </c>
      <c r="O55" s="36">
        <f>'PA-Détails'!O1815</f>
        <v>0</v>
      </c>
      <c r="P55" s="36">
        <f>'PA-Détails'!P1815</f>
        <v>0</v>
      </c>
      <c r="Q55" s="429">
        <f>'PA-Détails'!Q1815</f>
        <v>202500</v>
      </c>
      <c r="R55" s="570"/>
      <c r="S55" s="594">
        <f>'PA-Détails'!S1815</f>
        <v>0</v>
      </c>
      <c r="T55" s="595">
        <f>'PA-Détails'!T1815</f>
        <v>0</v>
      </c>
      <c r="U55" s="586">
        <f>'PA-Détails'!T1815</f>
        <v>0</v>
      </c>
    </row>
    <row r="56" spans="1:21" x14ac:dyDescent="0.2">
      <c r="A56" s="369" t="str">
        <f>'PA-Détails'!A1819</f>
        <v>2.7.3 Projets pédagogiques centrés sur la lecture</v>
      </c>
      <c r="B56" s="446"/>
      <c r="C56" s="386" t="str">
        <f>'PA-Détails'!C1819</f>
        <v>En 2020, toutes les écoles disposent d'un projet pédagogique centré sur la lecture</v>
      </c>
      <c r="D56" s="168">
        <f>'PA-Détails'!D1819</f>
        <v>11</v>
      </c>
      <c r="E56" s="168">
        <f>'PA-Détails'!E1819</f>
        <v>190</v>
      </c>
      <c r="F56" s="168">
        <f>'PA-Détails'!F1819</f>
        <v>0</v>
      </c>
      <c r="G56" s="168">
        <f>'PA-Détails'!G1819</f>
        <v>0</v>
      </c>
      <c r="H56" s="168">
        <f>'PA-Détails'!H1819</f>
        <v>0</v>
      </c>
      <c r="I56" s="168">
        <f>'PA-Détails'!I1819</f>
        <v>201</v>
      </c>
      <c r="J56" s="447">
        <f>'PA-Détails'!J1819</f>
        <v>0</v>
      </c>
      <c r="K56" s="36">
        <f>'PA-Détails'!K1819</f>
        <v>0</v>
      </c>
      <c r="L56" s="36">
        <f>'PA-Détails'!L1819</f>
        <v>11000</v>
      </c>
      <c r="M56" s="36">
        <f>'PA-Détails'!M1819</f>
        <v>190000</v>
      </c>
      <c r="N56" s="36">
        <f>'PA-Détails'!N1819</f>
        <v>0</v>
      </c>
      <c r="O56" s="36">
        <f>'PA-Détails'!O1819</f>
        <v>0</v>
      </c>
      <c r="P56" s="36">
        <f>'PA-Détails'!P1819</f>
        <v>0</v>
      </c>
      <c r="Q56" s="429">
        <f>'PA-Détails'!Q1819</f>
        <v>201000</v>
      </c>
      <c r="R56" s="570"/>
      <c r="S56" s="594">
        <f>'PA-Détails'!S1819</f>
        <v>0</v>
      </c>
      <c r="T56" s="595">
        <f>'PA-Détails'!T1819</f>
        <v>0</v>
      </c>
      <c r="U56" s="586">
        <f>'PA-Détails'!T1819</f>
        <v>0</v>
      </c>
    </row>
    <row r="57" spans="1:21" x14ac:dyDescent="0.2">
      <c r="A57" s="369" t="str">
        <f>'PA-Détails'!A1823</f>
        <v>2.7.4 Évaluations périodiques</v>
      </c>
      <c r="B57" s="446"/>
      <c r="C57" s="386">
        <f>'PA-Détails'!C1823</f>
        <v>0</v>
      </c>
      <c r="D57" s="168">
        <f>'PA-Détails'!D1823</f>
        <v>11</v>
      </c>
      <c r="E57" s="168">
        <f>'PA-Détails'!E1823</f>
        <v>0</v>
      </c>
      <c r="F57" s="168">
        <f>'PA-Détails'!F1823</f>
        <v>0</v>
      </c>
      <c r="G57" s="168">
        <f>'PA-Détails'!G1823</f>
        <v>0</v>
      </c>
      <c r="H57" s="168">
        <f>'PA-Détails'!H1823</f>
        <v>0</v>
      </c>
      <c r="I57" s="168">
        <f>'PA-Détails'!I1823</f>
        <v>11</v>
      </c>
      <c r="J57" s="447">
        <f>'PA-Détails'!J1823</f>
        <v>0</v>
      </c>
      <c r="K57" s="36">
        <f>'PA-Détails'!K1823</f>
        <v>0</v>
      </c>
      <c r="L57" s="36">
        <f>'PA-Détails'!L1823</f>
        <v>11000</v>
      </c>
      <c r="M57" s="36">
        <f>'PA-Détails'!M1823</f>
        <v>0</v>
      </c>
      <c r="N57" s="36">
        <f>'PA-Détails'!N1823</f>
        <v>0</v>
      </c>
      <c r="O57" s="36">
        <f>'PA-Détails'!O1823</f>
        <v>0</v>
      </c>
      <c r="P57" s="36">
        <f>'PA-Détails'!P1823</f>
        <v>0</v>
      </c>
      <c r="Q57" s="429">
        <f>'PA-Détails'!Q1823</f>
        <v>11000</v>
      </c>
      <c r="R57" s="570"/>
      <c r="S57" s="594">
        <f>'PA-Détails'!S1823</f>
        <v>0</v>
      </c>
      <c r="T57" s="595">
        <f>'PA-Détails'!T1823</f>
        <v>0</v>
      </c>
      <c r="U57" s="586">
        <f>'PA-Détails'!T1823</f>
        <v>0</v>
      </c>
    </row>
    <row r="58" spans="1:21" x14ac:dyDescent="0.2">
      <c r="A58" s="368" t="str">
        <f>'PA-Détails'!A1826</f>
        <v>2.8 Environnement éducatif : Mise à niveau de l'infrastructure et de l'environnement scolaire</v>
      </c>
      <c r="B58" s="444"/>
      <c r="C58" s="385">
        <f>'PA-Détails'!C1826</f>
        <v>0</v>
      </c>
      <c r="D58" s="217">
        <f>'PA-Détails'!D1826</f>
        <v>3338.57</v>
      </c>
      <c r="E58" s="217">
        <f>'PA-Détails'!E1826</f>
        <v>13101.56</v>
      </c>
      <c r="F58" s="217">
        <f>'PA-Détails'!F1826</f>
        <v>13257.17</v>
      </c>
      <c r="G58" s="217">
        <f>'PA-Détails'!G1826</f>
        <v>13385.62</v>
      </c>
      <c r="H58" s="217">
        <f>'PA-Détails'!H1826</f>
        <v>13480.05</v>
      </c>
      <c r="I58" s="217">
        <f>'PA-Détails'!I1826</f>
        <v>56562.97</v>
      </c>
      <c r="J58" s="449">
        <f>'PA-Détails'!J1826</f>
        <v>0</v>
      </c>
      <c r="K58" s="32">
        <f>'PA-Détails'!K1826</f>
        <v>0</v>
      </c>
      <c r="L58" s="32">
        <f>'PA-Détails'!L1826</f>
        <v>3338570</v>
      </c>
      <c r="M58" s="32">
        <f>'PA-Détails'!M1826</f>
        <v>13101560</v>
      </c>
      <c r="N58" s="32">
        <f>'PA-Détails'!N1826</f>
        <v>13257170</v>
      </c>
      <c r="O58" s="32">
        <f>'PA-Détails'!O1826</f>
        <v>13385620</v>
      </c>
      <c r="P58" s="32">
        <f>'PA-Détails'!P1826</f>
        <v>13480050</v>
      </c>
      <c r="Q58" s="428">
        <f>'PA-Détails'!Q1826</f>
        <v>56562970</v>
      </c>
      <c r="R58" s="570"/>
      <c r="S58" s="592">
        <f>'PA-Détails'!S1826</f>
        <v>0</v>
      </c>
      <c r="T58" s="593">
        <f>'PA-Détails'!T1826</f>
        <v>2</v>
      </c>
      <c r="U58" s="588">
        <f>'PA-Détails'!T1826</f>
        <v>2</v>
      </c>
    </row>
    <row r="59" spans="1:21" x14ac:dyDescent="0.2">
      <c r="A59" s="370" t="str">
        <f>'PA-Détails'!A1827</f>
        <v>2.8.1 Construction de latrines</v>
      </c>
      <c r="B59" s="452"/>
      <c r="C59" s="389" t="str">
        <f>'PA-Détails'!C1827</f>
        <v>En 2025, toutes les écoles disposent d'un bloc latrine pour 2 classes</v>
      </c>
      <c r="D59" s="168">
        <f>'PA-Détails'!D1827</f>
        <v>5.0999999999999996</v>
      </c>
      <c r="E59" s="168">
        <f>'PA-Détails'!E1827</f>
        <v>2250</v>
      </c>
      <c r="F59" s="168">
        <f>'PA-Détails'!F1827</f>
        <v>2250</v>
      </c>
      <c r="G59" s="168">
        <f>'PA-Détails'!G1827</f>
        <v>2250</v>
      </c>
      <c r="H59" s="168">
        <f>'PA-Détails'!H1827</f>
        <v>2250</v>
      </c>
      <c r="I59" s="168">
        <f>'PA-Détails'!I1827</f>
        <v>9005.1</v>
      </c>
      <c r="J59" s="389">
        <f>'PA-Détails'!J1827</f>
        <v>0</v>
      </c>
      <c r="K59" s="168">
        <f>'PA-Détails'!K1827</f>
        <v>0</v>
      </c>
      <c r="L59" s="36">
        <f>'PA-Détails'!L1827</f>
        <v>5100</v>
      </c>
      <c r="M59" s="36">
        <f>'PA-Détails'!M1827</f>
        <v>2250000</v>
      </c>
      <c r="N59" s="36">
        <f>'PA-Détails'!N1827</f>
        <v>2250000</v>
      </c>
      <c r="O59" s="36">
        <f>'PA-Détails'!O1827</f>
        <v>2250000</v>
      </c>
      <c r="P59" s="36">
        <f>'PA-Détails'!P1827</f>
        <v>2250000</v>
      </c>
      <c r="Q59" s="429">
        <f>'PA-Détails'!Q1827</f>
        <v>9005100</v>
      </c>
      <c r="R59" s="570"/>
      <c r="S59" s="594">
        <f>'PA-Détails'!S1827</f>
        <v>0</v>
      </c>
      <c r="T59" s="595">
        <f>'PA-Détails'!T1827</f>
        <v>0</v>
      </c>
      <c r="U59" s="586">
        <f>'PA-Détails'!T1827</f>
        <v>0</v>
      </c>
    </row>
    <row r="60" spans="1:21" x14ac:dyDescent="0.2">
      <c r="A60" s="370" t="str">
        <f>'PA-Détails'!A1830</f>
        <v>2.8.2 Accès à l'eau</v>
      </c>
      <c r="B60" s="452"/>
      <c r="C60" s="389" t="str">
        <f>'PA-Détails'!C1830</f>
        <v>En 2025, toutes les écoles ont accès à l'eau potable</v>
      </c>
      <c r="D60" s="168">
        <f>'PA-Détails'!D1830</f>
        <v>5.0999999999999996</v>
      </c>
      <c r="E60" s="168">
        <f>'PA-Détails'!E1830</f>
        <v>2800</v>
      </c>
      <c r="F60" s="168">
        <f>'PA-Détails'!F1830</f>
        <v>2800</v>
      </c>
      <c r="G60" s="168">
        <f>'PA-Détails'!G1830</f>
        <v>2800</v>
      </c>
      <c r="H60" s="168">
        <f>'PA-Détails'!H1830</f>
        <v>2800</v>
      </c>
      <c r="I60" s="168">
        <f>'PA-Détails'!I1830</f>
        <v>11205.1</v>
      </c>
      <c r="J60" s="389">
        <f>'PA-Détails'!J1830</f>
        <v>0</v>
      </c>
      <c r="K60" s="168">
        <f>'PA-Détails'!K1830</f>
        <v>0</v>
      </c>
      <c r="L60" s="36">
        <f>'PA-Détails'!L1830</f>
        <v>5100</v>
      </c>
      <c r="M60" s="36">
        <f>'PA-Détails'!M1830</f>
        <v>2800000</v>
      </c>
      <c r="N60" s="36">
        <f>'PA-Détails'!N1830</f>
        <v>2800000</v>
      </c>
      <c r="O60" s="36">
        <f>'PA-Détails'!O1830</f>
        <v>2800000</v>
      </c>
      <c r="P60" s="36">
        <f>'PA-Détails'!P1830</f>
        <v>2800000</v>
      </c>
      <c r="Q60" s="429">
        <f>'PA-Détails'!Q1830</f>
        <v>11205100</v>
      </c>
      <c r="R60" s="570"/>
      <c r="S60" s="594">
        <f>'PA-Détails'!S1830</f>
        <v>0</v>
      </c>
      <c r="T60" s="595">
        <f>'PA-Détails'!T1830</f>
        <v>0</v>
      </c>
      <c r="U60" s="586">
        <f>'PA-Détails'!T1830</f>
        <v>0</v>
      </c>
    </row>
    <row r="61" spans="1:21" x14ac:dyDescent="0.2">
      <c r="A61" s="370" t="str">
        <f>'PA-Détails'!A1833</f>
        <v>2.8.3 Accès à l'électricité</v>
      </c>
      <c r="B61" s="452"/>
      <c r="C61" s="389" t="str">
        <f>'PA-Détails'!C1833</f>
        <v>En 2025, 50% des écoles ont accès à l'énergie électrique</v>
      </c>
      <c r="D61" s="168">
        <f>'PA-Détails'!D1833</f>
        <v>5.0999999999999996</v>
      </c>
      <c r="E61" s="168">
        <f>'PA-Détails'!E1833</f>
        <v>2200</v>
      </c>
      <c r="F61" s="168">
        <f>'PA-Détails'!F1833</f>
        <v>2200</v>
      </c>
      <c r="G61" s="168">
        <f>'PA-Détails'!G1833</f>
        <v>2200</v>
      </c>
      <c r="H61" s="168">
        <f>'PA-Détails'!H1833</f>
        <v>2200</v>
      </c>
      <c r="I61" s="168">
        <f>'PA-Détails'!I1833</f>
        <v>8805.1</v>
      </c>
      <c r="J61" s="389">
        <f>'PA-Détails'!J1833</f>
        <v>0</v>
      </c>
      <c r="K61" s="168">
        <f>'PA-Détails'!K1833</f>
        <v>0</v>
      </c>
      <c r="L61" s="36">
        <f>'PA-Détails'!L1833</f>
        <v>5100</v>
      </c>
      <c r="M61" s="36">
        <f>'PA-Détails'!M1833</f>
        <v>2200000</v>
      </c>
      <c r="N61" s="36">
        <f>'PA-Détails'!N1833</f>
        <v>2200000</v>
      </c>
      <c r="O61" s="36">
        <f>'PA-Détails'!O1833</f>
        <v>2200000</v>
      </c>
      <c r="P61" s="36">
        <f>'PA-Détails'!P1833</f>
        <v>2200000</v>
      </c>
      <c r="Q61" s="429">
        <f>'PA-Détails'!Q1833</f>
        <v>8805100</v>
      </c>
      <c r="R61" s="570"/>
      <c r="S61" s="594">
        <f>'PA-Détails'!S1833</f>
        <v>0</v>
      </c>
      <c r="T61" s="595">
        <f>'PA-Détails'!T1833</f>
        <v>0</v>
      </c>
      <c r="U61" s="586">
        <f>'PA-Détails'!T1833</f>
        <v>0</v>
      </c>
    </row>
    <row r="62" spans="1:21" x14ac:dyDescent="0.2">
      <c r="A62" s="370" t="str">
        <f>'PA-Détails'!A1836</f>
        <v>2.8.4 Clôtures des écoles</v>
      </c>
      <c r="B62" s="452"/>
      <c r="C62" s="389" t="str">
        <f>'PA-Détails'!C1836</f>
        <v>En 2025, toutes les écoles ont une clôture</v>
      </c>
      <c r="D62" s="168">
        <f>'PA-Détails'!D1836</f>
        <v>5.0999999999999996</v>
      </c>
      <c r="E62" s="168">
        <f>'PA-Détails'!E1836</f>
        <v>2400</v>
      </c>
      <c r="F62" s="168">
        <f>'PA-Détails'!F1836</f>
        <v>2400</v>
      </c>
      <c r="G62" s="168">
        <f>'PA-Détails'!G1836</f>
        <v>2400</v>
      </c>
      <c r="H62" s="168">
        <f>'PA-Détails'!H1836</f>
        <v>2400</v>
      </c>
      <c r="I62" s="168">
        <f>'PA-Détails'!I1836</f>
        <v>9605.1</v>
      </c>
      <c r="J62" s="389">
        <f>'PA-Détails'!J1836</f>
        <v>0</v>
      </c>
      <c r="K62" s="168">
        <f>'PA-Détails'!K1836</f>
        <v>0</v>
      </c>
      <c r="L62" s="36">
        <f>'PA-Détails'!L1836</f>
        <v>5100</v>
      </c>
      <c r="M62" s="36">
        <f>'PA-Détails'!M1836</f>
        <v>2400000</v>
      </c>
      <c r="N62" s="36">
        <f>'PA-Détails'!N1836</f>
        <v>2400000</v>
      </c>
      <c r="O62" s="36">
        <f>'PA-Détails'!O1836</f>
        <v>2400000</v>
      </c>
      <c r="P62" s="36">
        <f>'PA-Détails'!P1836</f>
        <v>2400000</v>
      </c>
      <c r="Q62" s="429">
        <f>'PA-Détails'!Q1836</f>
        <v>9605100</v>
      </c>
      <c r="R62" s="570"/>
      <c r="S62" s="594">
        <f>'PA-Détails'!S1836</f>
        <v>0</v>
      </c>
      <c r="T62" s="595">
        <f>'PA-Détails'!T1836</f>
        <v>0</v>
      </c>
      <c r="U62" s="586">
        <f>'PA-Détails'!T1836</f>
        <v>0</v>
      </c>
    </row>
    <row r="63" spans="1:21" x14ac:dyDescent="0.2">
      <c r="A63" s="369" t="str">
        <f>'PA-Détails'!A1839</f>
        <v>2.8.5 Équipement pour activités physiques et sportives</v>
      </c>
      <c r="B63" s="446"/>
      <c r="C63" s="386" t="str">
        <f>'PA-Détails'!C1839</f>
        <v>A partir de 2016, toutes les écoles reçoivent chaque année un lot de matériels pour les activités physiques et sportives</v>
      </c>
      <c r="D63" s="168">
        <f>'PA-Détails'!D1839</f>
        <v>2346.0500000000002</v>
      </c>
      <c r="E63" s="168">
        <f>'PA-Détails'!E1839</f>
        <v>2465.4</v>
      </c>
      <c r="F63" s="168">
        <f>'PA-Détails'!F1839</f>
        <v>2576.5500000000002</v>
      </c>
      <c r="G63" s="168">
        <f>'PA-Détails'!G1839</f>
        <v>2668.3</v>
      </c>
      <c r="H63" s="168">
        <f>'PA-Détails'!H1839</f>
        <v>2735.75</v>
      </c>
      <c r="I63" s="168">
        <f>'PA-Détails'!I1839</f>
        <v>12792.05</v>
      </c>
      <c r="J63" s="447">
        <f>'PA-Détails'!J1839</f>
        <v>0</v>
      </c>
      <c r="K63" s="36">
        <f>'PA-Détails'!K1839</f>
        <v>0</v>
      </c>
      <c r="L63" s="36">
        <f>'PA-Détails'!L1839</f>
        <v>2346050</v>
      </c>
      <c r="M63" s="36">
        <f>'PA-Détails'!M1839</f>
        <v>2465400</v>
      </c>
      <c r="N63" s="36">
        <f>'PA-Détails'!N1839</f>
        <v>2576550</v>
      </c>
      <c r="O63" s="36">
        <f>'PA-Détails'!O1839</f>
        <v>2668300</v>
      </c>
      <c r="P63" s="36">
        <f>'PA-Détails'!P1839</f>
        <v>2735750</v>
      </c>
      <c r="Q63" s="429">
        <f>'PA-Détails'!Q1839</f>
        <v>12792050</v>
      </c>
      <c r="R63" s="570"/>
      <c r="S63" s="594">
        <f>'PA-Détails'!S1839</f>
        <v>0</v>
      </c>
      <c r="T63" s="595">
        <f>'PA-Détails'!T1839</f>
        <v>0</v>
      </c>
      <c r="U63" s="586">
        <f>'PA-Détails'!T1839</f>
        <v>0</v>
      </c>
    </row>
    <row r="64" spans="1:21" x14ac:dyDescent="0.2">
      <c r="A64" s="369" t="str">
        <f>'PA-Détails'!A1842</f>
        <v>2.8.6 Équipement en bibliothèques</v>
      </c>
      <c r="B64" s="446"/>
      <c r="C64" s="386" t="str">
        <f>'PA-Détails'!C1842</f>
        <v>A partir de 2016, toutes les écoles reçoivent chaque année un lot de livres ou une dotation financière</v>
      </c>
      <c r="D64" s="168">
        <f>'PA-Détails'!D1842</f>
        <v>972.12</v>
      </c>
      <c r="E64" s="168">
        <f>'PA-Détails'!E1842</f>
        <v>986.16</v>
      </c>
      <c r="F64" s="168">
        <f>'PA-Détails'!F1842</f>
        <v>1030.6199999999999</v>
      </c>
      <c r="G64" s="168">
        <f>'PA-Détails'!G1842</f>
        <v>1067.32</v>
      </c>
      <c r="H64" s="168">
        <f>'PA-Détails'!H1842</f>
        <v>1094.3</v>
      </c>
      <c r="I64" s="168">
        <f>'PA-Détails'!I1842</f>
        <v>5150.5200000000004</v>
      </c>
      <c r="J64" s="447">
        <f>'PA-Détails'!J1842</f>
        <v>0</v>
      </c>
      <c r="K64" s="36">
        <f>'PA-Détails'!K1842</f>
        <v>0</v>
      </c>
      <c r="L64" s="36">
        <f>'PA-Détails'!L1842</f>
        <v>972120</v>
      </c>
      <c r="M64" s="36">
        <f>'PA-Détails'!M1842</f>
        <v>986160</v>
      </c>
      <c r="N64" s="36">
        <f>'PA-Détails'!N1842</f>
        <v>1030620</v>
      </c>
      <c r="O64" s="36">
        <f>'PA-Détails'!O1842</f>
        <v>1067320</v>
      </c>
      <c r="P64" s="36">
        <f>'PA-Détails'!P1842</f>
        <v>1094300</v>
      </c>
      <c r="Q64" s="429">
        <f>'PA-Détails'!Q1842</f>
        <v>5150520</v>
      </c>
      <c r="R64" s="570"/>
      <c r="S64" s="594">
        <f>'PA-Détails'!S1842</f>
        <v>0</v>
      </c>
      <c r="T64" s="595">
        <f>'PA-Détails'!T1842</f>
        <v>0</v>
      </c>
      <c r="U64" s="586">
        <f>'PA-Détails'!T1842</f>
        <v>0</v>
      </c>
    </row>
    <row r="65" spans="1:21" x14ac:dyDescent="0.2">
      <c r="A65" s="368" t="str">
        <f>'PA-Détails'!A1846</f>
        <v>2.9 Formation continue des enseignants : renforcer la formation continue</v>
      </c>
      <c r="B65" s="444"/>
      <c r="C65" s="385">
        <f>'PA-Détails'!C1846</f>
        <v>0</v>
      </c>
      <c r="D65" s="217">
        <f>'PA-Détails'!D1846</f>
        <v>1702.652</v>
      </c>
      <c r="E65" s="217">
        <f>'PA-Détails'!E1846</f>
        <v>1434.98</v>
      </c>
      <c r="F65" s="217">
        <f>'PA-Détails'!F1846</f>
        <v>1344.7349999999999</v>
      </c>
      <c r="G65" s="217">
        <f>'PA-Détails'!G1846</f>
        <v>1368.377</v>
      </c>
      <c r="H65" s="217">
        <f>'PA-Détails'!H1846</f>
        <v>1393.1079999999999</v>
      </c>
      <c r="I65" s="217">
        <f>'PA-Détails'!I1846</f>
        <v>7243.8519999999999</v>
      </c>
      <c r="J65" s="449">
        <f>'PA-Détails'!J1846</f>
        <v>0</v>
      </c>
      <c r="K65" s="32">
        <f>'PA-Détails'!K1846</f>
        <v>0</v>
      </c>
      <c r="L65" s="32">
        <f>'PA-Détails'!L1846</f>
        <v>1702652</v>
      </c>
      <c r="M65" s="32">
        <f>'PA-Détails'!M1846</f>
        <v>1434980</v>
      </c>
      <c r="N65" s="32">
        <f>'PA-Détails'!N1846</f>
        <v>1344735</v>
      </c>
      <c r="O65" s="32">
        <f>'PA-Détails'!O1846</f>
        <v>1368377</v>
      </c>
      <c r="P65" s="32">
        <f>'PA-Détails'!P1846</f>
        <v>1393108</v>
      </c>
      <c r="Q65" s="428">
        <f>'PA-Détails'!Q1846</f>
        <v>7243852</v>
      </c>
      <c r="R65" s="570"/>
      <c r="S65" s="592">
        <f>'PA-Détails'!S1846</f>
        <v>0</v>
      </c>
      <c r="T65" s="593">
        <f>'PA-Détails'!T1846</f>
        <v>2</v>
      </c>
      <c r="U65" s="588">
        <f>'PA-Détails'!T1846</f>
        <v>2</v>
      </c>
    </row>
    <row r="66" spans="1:21" x14ac:dyDescent="0.2">
      <c r="A66" s="369" t="str">
        <f>'PA-Détails'!A1847</f>
        <v>2.9.1 Renforcer la formation continue des enseignants</v>
      </c>
      <c r="B66" s="446"/>
      <c r="C66" s="386" t="str">
        <f>'PA-Détails'!C1847</f>
        <v>Tous les enseignants reçoivent deux semaines de formation tous les deux ans</v>
      </c>
      <c r="D66" s="168">
        <f>'PA-Détails'!D1847</f>
        <v>822</v>
      </c>
      <c r="E66" s="168">
        <f>'PA-Détails'!E1847</f>
        <v>531</v>
      </c>
      <c r="F66" s="168">
        <f>'PA-Détails'!F1847</f>
        <v>400</v>
      </c>
      <c r="G66" s="168">
        <f>'PA-Détails'!G1847</f>
        <v>390</v>
      </c>
      <c r="H66" s="168">
        <f>'PA-Détails'!H1847</f>
        <v>390</v>
      </c>
      <c r="I66" s="168">
        <f>'PA-Détails'!I1847</f>
        <v>2533</v>
      </c>
      <c r="J66" s="447">
        <f>'PA-Détails'!J1847</f>
        <v>0</v>
      </c>
      <c r="K66" s="36">
        <f>'PA-Détails'!K1847</f>
        <v>0</v>
      </c>
      <c r="L66" s="36">
        <f>'PA-Détails'!L1847</f>
        <v>822000</v>
      </c>
      <c r="M66" s="36">
        <f>'PA-Détails'!M1847</f>
        <v>531000</v>
      </c>
      <c r="N66" s="36">
        <f>'PA-Détails'!N1847</f>
        <v>400000</v>
      </c>
      <c r="O66" s="36">
        <f>'PA-Détails'!O1847</f>
        <v>390000</v>
      </c>
      <c r="P66" s="36">
        <f>'PA-Détails'!P1847</f>
        <v>390000</v>
      </c>
      <c r="Q66" s="429">
        <f>'PA-Détails'!Q1847</f>
        <v>2533000</v>
      </c>
      <c r="R66" s="570"/>
      <c r="S66" s="594">
        <f>'PA-Détails'!S1847</f>
        <v>0</v>
      </c>
      <c r="T66" s="595">
        <f>'PA-Détails'!T1847</f>
        <v>0</v>
      </c>
      <c r="U66" s="586">
        <f>'PA-Détails'!T1847</f>
        <v>0</v>
      </c>
    </row>
    <row r="67" spans="1:21" x14ac:dyDescent="0.2">
      <c r="A67" s="369" t="str">
        <f>'PA-Détails'!A1854</f>
        <v>2.9.2 Formation des directeurs d'écoles</v>
      </c>
      <c r="B67" s="446"/>
      <c r="C67" s="386" t="str">
        <f>'PA-Détails'!C1854</f>
        <v>Tous les directeurs reçoivent une formation d'une semaine chaque année</v>
      </c>
      <c r="D67" s="168">
        <f>'PA-Détails'!D1854</f>
        <v>857.65200000000004</v>
      </c>
      <c r="E67" s="168">
        <f>'PA-Détails'!E1854</f>
        <v>903.98</v>
      </c>
      <c r="F67" s="168">
        <f>'PA-Détails'!F1854</f>
        <v>944.73500000000001</v>
      </c>
      <c r="G67" s="168">
        <f>'PA-Détails'!G1854</f>
        <v>978.37699999999995</v>
      </c>
      <c r="H67" s="168">
        <f>'PA-Détails'!H1854</f>
        <v>1003.1079999999999</v>
      </c>
      <c r="I67" s="168">
        <f>'PA-Détails'!I1854</f>
        <v>4687.8519999999999</v>
      </c>
      <c r="J67" s="447">
        <f>'PA-Détails'!J1854</f>
        <v>0</v>
      </c>
      <c r="K67" s="36">
        <f>'PA-Détails'!K1854</f>
        <v>0</v>
      </c>
      <c r="L67" s="36">
        <f>'PA-Détails'!L1854</f>
        <v>857652</v>
      </c>
      <c r="M67" s="36">
        <f>'PA-Détails'!M1854</f>
        <v>903980</v>
      </c>
      <c r="N67" s="36">
        <f>'PA-Détails'!N1854</f>
        <v>944735</v>
      </c>
      <c r="O67" s="36">
        <f>'PA-Détails'!O1854</f>
        <v>978377</v>
      </c>
      <c r="P67" s="36">
        <f>'PA-Détails'!P1854</f>
        <v>1003108</v>
      </c>
      <c r="Q67" s="429">
        <f>'PA-Détails'!Q1854</f>
        <v>4687852</v>
      </c>
      <c r="R67" s="570"/>
      <c r="S67" s="594">
        <f>'PA-Détails'!S1854</f>
        <v>0</v>
      </c>
      <c r="T67" s="595">
        <f>'PA-Détails'!T1854</f>
        <v>0</v>
      </c>
      <c r="U67" s="586">
        <f>'PA-Détails'!T1854</f>
        <v>0</v>
      </c>
    </row>
    <row r="68" spans="1:21" x14ac:dyDescent="0.2">
      <c r="A68" s="369" t="str">
        <f>'PA-Détails'!A1856</f>
        <v>2.9.3 Constitution de réseaux de proximité</v>
      </c>
      <c r="B68" s="446"/>
      <c r="C68" s="386" t="str">
        <f>'PA-Détails'!C1856</f>
        <v>En 2025, toutes les écoles font partie d'un réseau de proximité</v>
      </c>
      <c r="D68" s="168">
        <f>'PA-Détails'!D1856</f>
        <v>16</v>
      </c>
      <c r="E68" s="168">
        <f>'PA-Détails'!E1856</f>
        <v>0</v>
      </c>
      <c r="F68" s="168">
        <f>'PA-Détails'!F1856</f>
        <v>0</v>
      </c>
      <c r="G68" s="168">
        <f>'PA-Détails'!G1856</f>
        <v>0</v>
      </c>
      <c r="H68" s="168">
        <f>'PA-Détails'!H1856</f>
        <v>0</v>
      </c>
      <c r="I68" s="168">
        <f>'PA-Détails'!I1856</f>
        <v>16</v>
      </c>
      <c r="J68" s="447">
        <f>'PA-Détails'!J1856</f>
        <v>0</v>
      </c>
      <c r="K68" s="36">
        <f>'PA-Détails'!K1856</f>
        <v>0</v>
      </c>
      <c r="L68" s="36">
        <f>'PA-Détails'!L1856</f>
        <v>16000</v>
      </c>
      <c r="M68" s="36">
        <f>'PA-Détails'!M1856</f>
        <v>0</v>
      </c>
      <c r="N68" s="36">
        <f>'PA-Détails'!N1856</f>
        <v>0</v>
      </c>
      <c r="O68" s="36">
        <f>'PA-Détails'!O1856</f>
        <v>0</v>
      </c>
      <c r="P68" s="36">
        <f>'PA-Détails'!P1856</f>
        <v>0</v>
      </c>
      <c r="Q68" s="429">
        <f>'PA-Détails'!Q1856</f>
        <v>16000</v>
      </c>
      <c r="R68" s="570"/>
      <c r="S68" s="594">
        <f>'PA-Détails'!S1856</f>
        <v>0</v>
      </c>
      <c r="T68" s="595">
        <f>'PA-Détails'!T1856</f>
        <v>0</v>
      </c>
      <c r="U68" s="586">
        <f>'PA-Détails'!T1856</f>
        <v>0</v>
      </c>
    </row>
    <row r="69" spans="1:21" x14ac:dyDescent="0.2">
      <c r="A69" s="369" t="str">
        <f>'PA-Détails'!A1859</f>
        <v>2.9.4 Systématisation du mécanisme d'évaluation de l'impact des formations</v>
      </c>
      <c r="B69" s="446"/>
      <c r="C69" s="386">
        <f>'PA-Détails'!C1859</f>
        <v>0</v>
      </c>
      <c r="D69" s="168">
        <f>'PA-Détails'!D1859</f>
        <v>7</v>
      </c>
      <c r="E69" s="168">
        <f>'PA-Détails'!E1859</f>
        <v>0</v>
      </c>
      <c r="F69" s="168">
        <f>'PA-Détails'!F1859</f>
        <v>0</v>
      </c>
      <c r="G69" s="168">
        <f>'PA-Détails'!G1859</f>
        <v>0</v>
      </c>
      <c r="H69" s="168">
        <f>'PA-Détails'!H1859</f>
        <v>0</v>
      </c>
      <c r="I69" s="168">
        <f>'PA-Détails'!I1859</f>
        <v>7</v>
      </c>
      <c r="J69" s="447">
        <f>'PA-Détails'!J1859</f>
        <v>0</v>
      </c>
      <c r="K69" s="36">
        <f>'PA-Détails'!K1859</f>
        <v>0</v>
      </c>
      <c r="L69" s="36">
        <f>'PA-Détails'!L1859</f>
        <v>7000</v>
      </c>
      <c r="M69" s="36">
        <f>'PA-Détails'!M1859</f>
        <v>0</v>
      </c>
      <c r="N69" s="36">
        <f>'PA-Détails'!N1859</f>
        <v>0</v>
      </c>
      <c r="O69" s="36">
        <f>'PA-Détails'!O1859</f>
        <v>0</v>
      </c>
      <c r="P69" s="36">
        <f>'PA-Détails'!P1859</f>
        <v>0</v>
      </c>
      <c r="Q69" s="429">
        <f>'PA-Détails'!Q1859</f>
        <v>7000</v>
      </c>
      <c r="R69" s="570"/>
      <c r="S69" s="594">
        <f>'PA-Détails'!S1859</f>
        <v>0</v>
      </c>
      <c r="T69" s="595">
        <f>'PA-Détails'!T1859</f>
        <v>0</v>
      </c>
      <c r="U69" s="586">
        <f>'PA-Détails'!T1859</f>
        <v>0</v>
      </c>
    </row>
    <row r="70" spans="1:21" x14ac:dyDescent="0.2">
      <c r="A70" s="368" t="str">
        <f>'PA-Détails'!A1861</f>
        <v>2.10 Formation initiale des enseignants du primaire : Professionnaliser les humanités pédagogiques</v>
      </c>
      <c r="B70" s="444"/>
      <c r="C70" s="385">
        <f>'PA-Détails'!C1861</f>
        <v>0</v>
      </c>
      <c r="D70" s="217">
        <f>'PA-Détails'!D1861</f>
        <v>147.25</v>
      </c>
      <c r="E70" s="217">
        <f>'PA-Détails'!E1861</f>
        <v>132</v>
      </c>
      <c r="F70" s="217">
        <f>'PA-Détails'!F1861</f>
        <v>18200</v>
      </c>
      <c r="G70" s="217">
        <f>'PA-Détails'!G1861</f>
        <v>18200</v>
      </c>
      <c r="H70" s="217">
        <f>'PA-Détails'!H1861</f>
        <v>18200</v>
      </c>
      <c r="I70" s="217">
        <f>'PA-Détails'!I1861</f>
        <v>54879.25</v>
      </c>
      <c r="J70" s="449">
        <f>'PA-Détails'!J1861</f>
        <v>0</v>
      </c>
      <c r="K70" s="32">
        <f>'PA-Détails'!K1861</f>
        <v>0</v>
      </c>
      <c r="L70" s="32">
        <f>'PA-Détails'!L1861</f>
        <v>147250</v>
      </c>
      <c r="M70" s="32">
        <f>'PA-Détails'!M1861</f>
        <v>132000</v>
      </c>
      <c r="N70" s="32">
        <f>'PA-Détails'!N1861</f>
        <v>18200000</v>
      </c>
      <c r="O70" s="32">
        <f>'PA-Détails'!O1861</f>
        <v>18200000</v>
      </c>
      <c r="P70" s="32">
        <f>'PA-Détails'!P1861</f>
        <v>18200000</v>
      </c>
      <c r="Q70" s="428">
        <f>'PA-Détails'!Q1861</f>
        <v>54879250</v>
      </c>
      <c r="R70" s="570"/>
      <c r="S70" s="592">
        <f>'PA-Détails'!S1861</f>
        <v>0</v>
      </c>
      <c r="T70" s="593">
        <f>'PA-Détails'!T1861</f>
        <v>0</v>
      </c>
      <c r="U70" s="588">
        <v>2</v>
      </c>
    </row>
    <row r="71" spans="1:21" x14ac:dyDescent="0.2">
      <c r="A71" s="369" t="str">
        <f>'PA-Détails'!A1862</f>
        <v>2.10.1 Élaboration d'un curriculum</v>
      </c>
      <c r="B71" s="446"/>
      <c r="C71" s="386" t="str">
        <f>'PA-Détails'!C1862</f>
        <v>Réalisé en 2016</v>
      </c>
      <c r="D71" s="168">
        <f>'PA-Détails'!D1862</f>
        <v>74</v>
      </c>
      <c r="E71" s="168">
        <f>'PA-Détails'!E1862</f>
        <v>0</v>
      </c>
      <c r="F71" s="168">
        <f>'PA-Détails'!F1862</f>
        <v>0</v>
      </c>
      <c r="G71" s="168">
        <f>'PA-Détails'!G1862</f>
        <v>0</v>
      </c>
      <c r="H71" s="168">
        <f>'PA-Détails'!H1862</f>
        <v>0</v>
      </c>
      <c r="I71" s="168">
        <f>'PA-Détails'!I1862</f>
        <v>74</v>
      </c>
      <c r="J71" s="447">
        <f>'PA-Détails'!J1862</f>
        <v>0</v>
      </c>
      <c r="K71" s="36">
        <f>'PA-Détails'!K1862</f>
        <v>0</v>
      </c>
      <c r="L71" s="36">
        <f>'PA-Détails'!L1862</f>
        <v>74000</v>
      </c>
      <c r="M71" s="36">
        <f>'PA-Détails'!M1862</f>
        <v>0</v>
      </c>
      <c r="N71" s="36">
        <f>'PA-Détails'!N1862</f>
        <v>0</v>
      </c>
      <c r="O71" s="36">
        <f>'PA-Détails'!O1862</f>
        <v>0</v>
      </c>
      <c r="P71" s="36">
        <f>'PA-Détails'!P1862</f>
        <v>0</v>
      </c>
      <c r="Q71" s="429">
        <f>'PA-Détails'!Q1862</f>
        <v>74000</v>
      </c>
      <c r="R71" s="570"/>
      <c r="S71" s="594">
        <f>'PA-Détails'!S1862</f>
        <v>0</v>
      </c>
      <c r="T71" s="595">
        <f>'PA-Détails'!T1862</f>
        <v>0</v>
      </c>
      <c r="U71" s="586">
        <f>'PA-Détails'!T1852</f>
        <v>0</v>
      </c>
    </row>
    <row r="72" spans="1:21" x14ac:dyDescent="0.2">
      <c r="A72" s="369" t="str">
        <f>'PA-Détails'!A1865</f>
        <v>2.10.2 Définition du profil d'entrée, de sortie et durée de formation des futurs enseignants et du profil de leurs formateurs</v>
      </c>
      <c r="B72" s="446"/>
      <c r="C72" s="386" t="str">
        <f>'PA-Détails'!C1865</f>
        <v>Le profil d'entrée, de sortie et la durée de formation sont définis</v>
      </c>
      <c r="D72" s="168">
        <f>'PA-Détails'!D1865</f>
        <v>73.25</v>
      </c>
      <c r="E72" s="168">
        <f>'PA-Détails'!E1865</f>
        <v>0</v>
      </c>
      <c r="F72" s="168">
        <f>'PA-Détails'!F1865</f>
        <v>0</v>
      </c>
      <c r="G72" s="168">
        <f>'PA-Détails'!G1865</f>
        <v>0</v>
      </c>
      <c r="H72" s="168">
        <f>'PA-Détails'!H1865</f>
        <v>0</v>
      </c>
      <c r="I72" s="168">
        <f>'PA-Détails'!I1865</f>
        <v>73.25</v>
      </c>
      <c r="J72" s="447">
        <f>'PA-Détails'!J1865</f>
        <v>0</v>
      </c>
      <c r="K72" s="36">
        <f>'PA-Détails'!K1865</f>
        <v>0</v>
      </c>
      <c r="L72" s="36">
        <f>'PA-Détails'!L1865</f>
        <v>73250</v>
      </c>
      <c r="M72" s="36">
        <f>'PA-Détails'!M1865</f>
        <v>0</v>
      </c>
      <c r="N72" s="36">
        <f>'PA-Détails'!N1865</f>
        <v>0</v>
      </c>
      <c r="O72" s="36">
        <f>'PA-Détails'!O1865</f>
        <v>0</v>
      </c>
      <c r="P72" s="36">
        <f>'PA-Détails'!P1865</f>
        <v>0</v>
      </c>
      <c r="Q72" s="429">
        <f>'PA-Détails'!Q1865</f>
        <v>73250</v>
      </c>
      <c r="R72" s="570"/>
      <c r="S72" s="594">
        <f>'PA-Détails'!S1865</f>
        <v>0</v>
      </c>
      <c r="T72" s="595">
        <f>'PA-Détails'!T1865</f>
        <v>0</v>
      </c>
      <c r="U72" s="586">
        <f>'PA-Détails'!T1859</f>
        <v>0</v>
      </c>
    </row>
    <row r="73" spans="1:21" x14ac:dyDescent="0.2">
      <c r="A73" s="369" t="str">
        <f>'PA-Détails'!A1868</f>
        <v>2.10.3 Élaboration et mise en place d'un programme de restructuration/spécialisation des établissements</v>
      </c>
      <c r="B73" s="446"/>
      <c r="C73" s="386" t="str">
        <f>'PA-Détails'!C1868</f>
        <v>Programme élaboré en 2017</v>
      </c>
      <c r="D73" s="168">
        <f>'PA-Détails'!D1868</f>
        <v>0</v>
      </c>
      <c r="E73" s="168">
        <f>'PA-Détails'!E1868</f>
        <v>132</v>
      </c>
      <c r="F73" s="168">
        <f>'PA-Détails'!F1868</f>
        <v>18000</v>
      </c>
      <c r="G73" s="168">
        <f>'PA-Détails'!G1868</f>
        <v>18000</v>
      </c>
      <c r="H73" s="168">
        <f>'PA-Détails'!H1868</f>
        <v>18000</v>
      </c>
      <c r="I73" s="168">
        <f>'PA-Détails'!I1868</f>
        <v>54132</v>
      </c>
      <c r="J73" s="447">
        <f>'PA-Détails'!J1868</f>
        <v>0</v>
      </c>
      <c r="K73" s="36">
        <f>'PA-Détails'!K1868</f>
        <v>0</v>
      </c>
      <c r="L73" s="36">
        <f>'PA-Détails'!L1868</f>
        <v>0</v>
      </c>
      <c r="M73" s="36">
        <f>'PA-Détails'!M1868</f>
        <v>132000</v>
      </c>
      <c r="N73" s="36">
        <f>'PA-Détails'!N1868</f>
        <v>18000000</v>
      </c>
      <c r="O73" s="36">
        <f>'PA-Détails'!O1868</f>
        <v>18000000</v>
      </c>
      <c r="P73" s="36">
        <f>'PA-Détails'!P1868</f>
        <v>18000000</v>
      </c>
      <c r="Q73" s="429">
        <f>'PA-Détails'!Q1868</f>
        <v>54132000</v>
      </c>
      <c r="R73" s="570"/>
      <c r="S73" s="594">
        <f>'PA-Détails'!S1868</f>
        <v>0</v>
      </c>
      <c r="T73" s="595">
        <f>'PA-Détails'!T1868</f>
        <v>0</v>
      </c>
      <c r="U73" s="586">
        <f>'PA-Détails'!T1861</f>
        <v>0</v>
      </c>
    </row>
    <row r="74" spans="1:21" x14ac:dyDescent="0.2">
      <c r="A74" s="369" t="str">
        <f>'PA-Détails'!A1871</f>
        <v>2.10.4 Bourses d'études pour les élèves enseignants méritants</v>
      </c>
      <c r="B74" s="446"/>
      <c r="C74" s="386" t="str">
        <f>'PA-Détails'!C1871</f>
        <v>En 2025, 10% des enseignants en formation reçoivent une bourse</v>
      </c>
      <c r="D74" s="168">
        <f>'PA-Détails'!D1871</f>
        <v>0</v>
      </c>
      <c r="E74" s="168">
        <f>'PA-Détails'!E1871</f>
        <v>0</v>
      </c>
      <c r="F74" s="168">
        <f>'PA-Détails'!F1871</f>
        <v>200</v>
      </c>
      <c r="G74" s="168">
        <f>'PA-Détails'!G1871</f>
        <v>200</v>
      </c>
      <c r="H74" s="168">
        <f>'PA-Détails'!H1871</f>
        <v>200</v>
      </c>
      <c r="I74" s="168">
        <f>'PA-Détails'!I1871</f>
        <v>600</v>
      </c>
      <c r="J74" s="447">
        <f>'PA-Détails'!J1871</f>
        <v>0</v>
      </c>
      <c r="K74" s="36">
        <f>'PA-Détails'!K1871</f>
        <v>0</v>
      </c>
      <c r="L74" s="36">
        <f>'PA-Détails'!L1871</f>
        <v>0</v>
      </c>
      <c r="M74" s="36">
        <f>'PA-Détails'!M1871</f>
        <v>0</v>
      </c>
      <c r="N74" s="36">
        <f>'PA-Détails'!N1871</f>
        <v>200000</v>
      </c>
      <c r="O74" s="36">
        <f>'PA-Détails'!O1871</f>
        <v>200000</v>
      </c>
      <c r="P74" s="36">
        <f>'PA-Détails'!P1871</f>
        <v>200000</v>
      </c>
      <c r="Q74" s="429">
        <f>'PA-Détails'!Q1871</f>
        <v>600000</v>
      </c>
      <c r="R74" s="570"/>
      <c r="S74" s="594">
        <f>'PA-Détails'!S1871</f>
        <v>0</v>
      </c>
      <c r="T74" s="595">
        <f>'PA-Détails'!T1871</f>
        <v>0</v>
      </c>
      <c r="U74" s="586">
        <f>'PA-Détails'!T1864</f>
        <v>0</v>
      </c>
    </row>
    <row r="75" spans="1:21" x14ac:dyDescent="0.2">
      <c r="A75" s="368" t="str">
        <f>'PA-Détails'!A1873</f>
        <v>2.11 Supervision des écoles et des enseignants : assurer l'encadrement pédagogique et administratif des écoles</v>
      </c>
      <c r="B75" s="444"/>
      <c r="C75" s="385">
        <f>'PA-Détails'!C1873</f>
        <v>0</v>
      </c>
      <c r="D75" s="217">
        <f>'PA-Détails'!D1873</f>
        <v>0</v>
      </c>
      <c r="E75" s="217">
        <f>'PA-Détails'!E1873</f>
        <v>1875</v>
      </c>
      <c r="F75" s="217">
        <f>'PA-Détails'!F1873</f>
        <v>4875</v>
      </c>
      <c r="G75" s="217">
        <f>'PA-Détails'!G1873</f>
        <v>4875</v>
      </c>
      <c r="H75" s="217">
        <f>'PA-Détails'!H1873</f>
        <v>4875</v>
      </c>
      <c r="I75" s="217">
        <f>'PA-Détails'!I1873</f>
        <v>16500</v>
      </c>
      <c r="J75" s="449">
        <f>'PA-Détails'!J1873</f>
        <v>0</v>
      </c>
      <c r="K75" s="32">
        <f>'PA-Détails'!K1873</f>
        <v>0</v>
      </c>
      <c r="L75" s="32">
        <f>'PA-Détails'!L1873</f>
        <v>0</v>
      </c>
      <c r="M75" s="32">
        <f>'PA-Détails'!M1873</f>
        <v>1875000</v>
      </c>
      <c r="N75" s="32">
        <f>'PA-Détails'!N1873</f>
        <v>4875000</v>
      </c>
      <c r="O75" s="32">
        <f>'PA-Détails'!O1873</f>
        <v>4875000</v>
      </c>
      <c r="P75" s="32">
        <f>'PA-Détails'!P1873</f>
        <v>4875000</v>
      </c>
      <c r="Q75" s="428">
        <f>'PA-Détails'!Q1873</f>
        <v>16500000</v>
      </c>
      <c r="R75" s="570"/>
      <c r="S75" s="590">
        <f>'PA-Détails'!S1873</f>
        <v>0</v>
      </c>
      <c r="T75" s="596">
        <f>'PA-Détails'!T1873</f>
        <v>3</v>
      </c>
      <c r="U75" s="583">
        <f>'PA-Détails'!T1873</f>
        <v>3</v>
      </c>
    </row>
    <row r="76" spans="1:21" x14ac:dyDescent="0.2">
      <c r="A76" s="369" t="str">
        <f>'PA-Détails'!A1874</f>
        <v>2.11.1 Moyens de déplacement des inspecteurs</v>
      </c>
      <c r="B76" s="446"/>
      <c r="C76" s="386">
        <f>'PA-Détails'!C1874</f>
        <v>0</v>
      </c>
      <c r="D76" s="168">
        <f>'PA-Détails'!D1874</f>
        <v>0</v>
      </c>
      <c r="E76" s="168">
        <f>'PA-Détails'!E1874</f>
        <v>1875</v>
      </c>
      <c r="F76" s="168">
        <f>'PA-Détails'!F1874</f>
        <v>1875</v>
      </c>
      <c r="G76" s="168">
        <f>'PA-Détails'!G1874</f>
        <v>1875</v>
      </c>
      <c r="H76" s="168">
        <f>'PA-Détails'!H1874</f>
        <v>1875</v>
      </c>
      <c r="I76" s="168">
        <f>'PA-Détails'!I1874</f>
        <v>7500</v>
      </c>
      <c r="J76" s="447">
        <f>'PA-Détails'!J1874</f>
        <v>0</v>
      </c>
      <c r="K76" s="36">
        <f>'PA-Détails'!K1874</f>
        <v>0</v>
      </c>
      <c r="L76" s="36">
        <f>'PA-Détails'!L1874</f>
        <v>0</v>
      </c>
      <c r="M76" s="36">
        <f>'PA-Détails'!M1874</f>
        <v>1875000</v>
      </c>
      <c r="N76" s="36">
        <f>'PA-Détails'!N1874</f>
        <v>1875000</v>
      </c>
      <c r="O76" s="36">
        <f>'PA-Détails'!O1874</f>
        <v>1875000</v>
      </c>
      <c r="P76" s="36">
        <f>'PA-Détails'!P1874</f>
        <v>1875000</v>
      </c>
      <c r="Q76" s="429">
        <f>'PA-Détails'!Q1874</f>
        <v>7500000</v>
      </c>
      <c r="R76" s="570"/>
      <c r="S76" s="591">
        <f>'PA-Détails'!S1874</f>
        <v>0</v>
      </c>
      <c r="T76" s="597">
        <f>'PA-Détails'!T1874</f>
        <v>0</v>
      </c>
      <c r="U76" s="586">
        <f>'PA-Détails'!T1874</f>
        <v>0</v>
      </c>
    </row>
    <row r="77" spans="1:21" x14ac:dyDescent="0.2">
      <c r="A77" s="369" t="str">
        <f>'PA-Détails'!A1876</f>
        <v>2.11.2 Primes d'itinérance</v>
      </c>
      <c r="B77" s="453"/>
      <c r="C77" s="386">
        <f>'PA-Détails'!C1876</f>
        <v>0</v>
      </c>
      <c r="D77" s="168">
        <f>'PA-Détails'!D1876</f>
        <v>0</v>
      </c>
      <c r="E77" s="168">
        <f>'PA-Détails'!E1876</f>
        <v>0</v>
      </c>
      <c r="F77" s="168">
        <f>'PA-Détails'!F1876</f>
        <v>3000</v>
      </c>
      <c r="G77" s="168">
        <f>'PA-Détails'!G1876</f>
        <v>3000</v>
      </c>
      <c r="H77" s="168">
        <f>'PA-Détails'!H1876</f>
        <v>3000</v>
      </c>
      <c r="I77" s="168">
        <f>'PA-Détails'!I1876</f>
        <v>9000</v>
      </c>
      <c r="J77" s="447">
        <f>'PA-Détails'!J1876</f>
        <v>0</v>
      </c>
      <c r="K77" s="36">
        <f>'PA-Détails'!K1876</f>
        <v>0</v>
      </c>
      <c r="L77" s="36">
        <f>'PA-Détails'!L1876</f>
        <v>0</v>
      </c>
      <c r="M77" s="36">
        <f>'PA-Détails'!M1876</f>
        <v>0</v>
      </c>
      <c r="N77" s="36">
        <f>'PA-Détails'!N1876</f>
        <v>3000000</v>
      </c>
      <c r="O77" s="36">
        <f>'PA-Détails'!O1876</f>
        <v>3000000</v>
      </c>
      <c r="P77" s="36">
        <f>'PA-Détails'!P1876</f>
        <v>3000000</v>
      </c>
      <c r="Q77" s="429">
        <f>'PA-Détails'!Q1876</f>
        <v>9000000</v>
      </c>
      <c r="R77" s="570"/>
      <c r="S77" s="591">
        <f>'PA-Détails'!S1876</f>
        <v>0</v>
      </c>
      <c r="T77" s="597">
        <f>'PA-Détails'!T1876</f>
        <v>0</v>
      </c>
      <c r="U77" s="586">
        <f>'PA-Détails'!T1876</f>
        <v>0</v>
      </c>
    </row>
    <row r="78" spans="1:21" x14ac:dyDescent="0.2">
      <c r="A78" s="368" t="str">
        <f>'PA-Détails'!A1878</f>
        <v>2.12 Équipement informatique des directeurs : permettre aux directeurs de mieux gérer et communiquer</v>
      </c>
      <c r="B78" s="444"/>
      <c r="C78" s="385">
        <f>'PA-Détails'!C1878</f>
        <v>0</v>
      </c>
      <c r="D78" s="217">
        <f>'PA-Détails'!D1878</f>
        <v>0</v>
      </c>
      <c r="E78" s="217">
        <f>'PA-Détails'!E1878</f>
        <v>9099</v>
      </c>
      <c r="F78" s="217">
        <f>'PA-Détails'!F1878</f>
        <v>9099</v>
      </c>
      <c r="G78" s="217">
        <f>'PA-Détails'!G1878</f>
        <v>9099</v>
      </c>
      <c r="H78" s="217">
        <f>'PA-Détails'!H1878</f>
        <v>9099</v>
      </c>
      <c r="I78" s="217">
        <f>'PA-Détails'!I1878</f>
        <v>36396</v>
      </c>
      <c r="J78" s="449">
        <f>'PA-Détails'!J1878</f>
        <v>0</v>
      </c>
      <c r="K78" s="32">
        <f>'PA-Détails'!K1878</f>
        <v>0</v>
      </c>
      <c r="L78" s="32">
        <f>'PA-Détails'!L1878</f>
        <v>0</v>
      </c>
      <c r="M78" s="32">
        <f>'PA-Détails'!M1878</f>
        <v>9099000</v>
      </c>
      <c r="N78" s="32">
        <f>'PA-Détails'!N1878</f>
        <v>9099000</v>
      </c>
      <c r="O78" s="32">
        <f>'PA-Détails'!O1878</f>
        <v>9099000</v>
      </c>
      <c r="P78" s="32">
        <f>'PA-Détails'!P1878</f>
        <v>9099000</v>
      </c>
      <c r="Q78" s="428">
        <f>'PA-Détails'!Q1878</f>
        <v>36396000</v>
      </c>
      <c r="R78" s="570"/>
      <c r="S78" s="590">
        <f>'PA-Détails'!S1878</f>
        <v>0</v>
      </c>
      <c r="T78" s="596">
        <f>'PA-Détails'!T1878</f>
        <v>3</v>
      </c>
      <c r="U78" s="583">
        <f>'PA-Détails'!T1878</f>
        <v>3</v>
      </c>
    </row>
    <row r="79" spans="1:21" x14ac:dyDescent="0.2">
      <c r="A79" s="369" t="str">
        <f>'PA-Détails'!A1879</f>
        <v>2.12.1 Équipement informatique des directeurs</v>
      </c>
      <c r="B79" s="446"/>
      <c r="C79" s="386">
        <f>'PA-Détails'!C1879</f>
        <v>0</v>
      </c>
      <c r="D79" s="168">
        <f>'PA-Détails'!D1879</f>
        <v>0</v>
      </c>
      <c r="E79" s="168">
        <f>'PA-Détails'!E1879</f>
        <v>9000</v>
      </c>
      <c r="F79" s="168">
        <f>'PA-Détails'!F1879</f>
        <v>9000</v>
      </c>
      <c r="G79" s="168">
        <f>'PA-Détails'!G1879</f>
        <v>9000</v>
      </c>
      <c r="H79" s="168">
        <f>'PA-Détails'!H1879</f>
        <v>9000</v>
      </c>
      <c r="I79" s="168">
        <f>'PA-Détails'!I1879</f>
        <v>36000</v>
      </c>
      <c r="J79" s="447">
        <f>'PA-Détails'!J1879</f>
        <v>0</v>
      </c>
      <c r="K79" s="36">
        <f>'PA-Détails'!K1879</f>
        <v>0</v>
      </c>
      <c r="L79" s="36">
        <f>'PA-Détails'!L1879</f>
        <v>0</v>
      </c>
      <c r="M79" s="36">
        <f>'PA-Détails'!M1879</f>
        <v>9000000</v>
      </c>
      <c r="N79" s="36">
        <f>'PA-Détails'!N1879</f>
        <v>9000000</v>
      </c>
      <c r="O79" s="36">
        <f>'PA-Détails'!O1879</f>
        <v>9000000</v>
      </c>
      <c r="P79" s="36">
        <f>'PA-Détails'!P1879</f>
        <v>9000000</v>
      </c>
      <c r="Q79" s="429">
        <f>'PA-Détails'!Q1879</f>
        <v>36000000</v>
      </c>
      <c r="R79" s="570"/>
      <c r="S79" s="591">
        <f>'PA-Détails'!S1879</f>
        <v>0</v>
      </c>
      <c r="T79" s="597">
        <f>'PA-Détails'!T1879</f>
        <v>0</v>
      </c>
      <c r="U79" s="586">
        <f>'PA-Détails'!T1879</f>
        <v>0</v>
      </c>
    </row>
    <row r="80" spans="1:21" x14ac:dyDescent="0.2">
      <c r="A80" s="369" t="str">
        <f>'PA-Détails'!A1881</f>
        <v>2.12.2 Formation en informatique et communication</v>
      </c>
      <c r="B80" s="446"/>
      <c r="C80" s="386" t="str">
        <f>'PA-Détails'!C1881</f>
        <v>En 2025, tous les directeurs sont formés à l'utilisation de l'informatique</v>
      </c>
      <c r="D80" s="168">
        <f>'PA-Détails'!D1881</f>
        <v>0</v>
      </c>
      <c r="E80" s="168">
        <f>'PA-Détails'!E1881</f>
        <v>99</v>
      </c>
      <c r="F80" s="168">
        <f>'PA-Détails'!F1881</f>
        <v>99</v>
      </c>
      <c r="G80" s="168">
        <f>'PA-Détails'!G1881</f>
        <v>99</v>
      </c>
      <c r="H80" s="168">
        <f>'PA-Détails'!H1881</f>
        <v>99</v>
      </c>
      <c r="I80" s="168">
        <f>'PA-Détails'!I1881</f>
        <v>396</v>
      </c>
      <c r="J80" s="447">
        <f>'PA-Détails'!J1881</f>
        <v>0</v>
      </c>
      <c r="K80" s="36">
        <f>'PA-Détails'!K1881</f>
        <v>0</v>
      </c>
      <c r="L80" s="36">
        <f>'PA-Détails'!L1881</f>
        <v>0</v>
      </c>
      <c r="M80" s="36">
        <f>'PA-Détails'!M1881</f>
        <v>99000</v>
      </c>
      <c r="N80" s="36">
        <f>'PA-Détails'!N1881</f>
        <v>99000</v>
      </c>
      <c r="O80" s="36">
        <f>'PA-Détails'!O1881</f>
        <v>99000</v>
      </c>
      <c r="P80" s="36">
        <f>'PA-Détails'!P1881</f>
        <v>99000</v>
      </c>
      <c r="Q80" s="429">
        <f>'PA-Détails'!Q1881</f>
        <v>396000</v>
      </c>
      <c r="R80" s="570"/>
      <c r="S80" s="591">
        <f>'PA-Détails'!S1881</f>
        <v>0</v>
      </c>
      <c r="T80" s="597">
        <f>'PA-Détails'!T1881</f>
        <v>0</v>
      </c>
      <c r="U80" s="586">
        <f>'PA-Détails'!T1881</f>
        <v>0</v>
      </c>
    </row>
    <row r="81" spans="1:21" x14ac:dyDescent="0.2">
      <c r="A81" s="441" t="str">
        <f>'PA-Détails'!A1883</f>
        <v>3. Éducation non formelle : Permettre aux personnes non scolarisées d'acquérir les savoirs de base</v>
      </c>
      <c r="B81" s="442"/>
      <c r="C81" s="391">
        <f>'PA-Détails'!C1883</f>
        <v>0</v>
      </c>
      <c r="D81" s="339">
        <f>'PA-Détails'!D1883</f>
        <v>10084.908015983425</v>
      </c>
      <c r="E81" s="339">
        <f>'PA-Détails'!E1883</f>
        <v>11951.512872319972</v>
      </c>
      <c r="F81" s="339">
        <f>'PA-Détails'!F1883</f>
        <v>15355.068047269218</v>
      </c>
      <c r="G81" s="339">
        <f>'PA-Détails'!G1883</f>
        <v>16499.717302845682</v>
      </c>
      <c r="H81" s="339">
        <f>'PA-Détails'!H1883</f>
        <v>16061.804711646975</v>
      </c>
      <c r="I81" s="339">
        <f>'PA-Détails'!I1883</f>
        <v>69953.010950065276</v>
      </c>
      <c r="J81" s="451">
        <f>'PA-Détails'!J1883</f>
        <v>0</v>
      </c>
      <c r="K81" s="29">
        <f>'PA-Détails'!K1883</f>
        <v>0</v>
      </c>
      <c r="L81" s="29">
        <f>'PA-Détails'!L1883</f>
        <v>10084908.015983425</v>
      </c>
      <c r="M81" s="29">
        <f>'PA-Détails'!M1883</f>
        <v>11951512.872319972</v>
      </c>
      <c r="N81" s="29">
        <f>'PA-Détails'!N1883</f>
        <v>15355068.047269218</v>
      </c>
      <c r="O81" s="29">
        <f>'PA-Détails'!O1883</f>
        <v>16499717.302845683</v>
      </c>
      <c r="P81" s="29">
        <f>'PA-Détails'!P1883</f>
        <v>16061804.711646976</v>
      </c>
      <c r="Q81" s="430">
        <f>'PA-Détails'!Q1883</f>
        <v>69953010.95006527</v>
      </c>
      <c r="R81" s="570"/>
      <c r="S81" s="579">
        <f>'PA-Détails'!S1883</f>
        <v>0</v>
      </c>
      <c r="T81" s="589">
        <f>'PA-Détails'!T1883</f>
        <v>0</v>
      </c>
      <c r="U81" s="580">
        <f>'PA-Détails'!T1883</f>
        <v>0</v>
      </c>
    </row>
    <row r="82" spans="1:21" x14ac:dyDescent="0.2">
      <c r="A82" s="368" t="str">
        <f>'PA-Détails'!A1884</f>
        <v>3.1. Amélioration de l’accès aux offres de formation : Diversifier l’offre en développant les partenariats pour satisfaire la demande plurielle d’AENF provenant des provinces sous-scolarisées et des groupes marginalisés d’éducation pour</v>
      </c>
      <c r="B82" s="444"/>
      <c r="C82" s="385">
        <f>'PA-Détails'!C1884</f>
        <v>0</v>
      </c>
      <c r="D82" s="217">
        <f>'PA-Détails'!D1884</f>
        <v>414.63</v>
      </c>
      <c r="E82" s="217">
        <f>'PA-Détails'!E1884</f>
        <v>1530.78</v>
      </c>
      <c r="F82" s="217">
        <f>'PA-Détails'!F1884</f>
        <v>1499.28</v>
      </c>
      <c r="G82" s="217">
        <f>'PA-Détails'!G1884</f>
        <v>1350</v>
      </c>
      <c r="H82" s="217">
        <f>'PA-Détails'!H1884</f>
        <v>150</v>
      </c>
      <c r="I82" s="217">
        <f>'PA-Détails'!I1884</f>
        <v>4944.6899999999996</v>
      </c>
      <c r="J82" s="449">
        <f>'PA-Détails'!J1884</f>
        <v>0</v>
      </c>
      <c r="K82" s="32">
        <f>'PA-Détails'!K1884</f>
        <v>0</v>
      </c>
      <c r="L82" s="32">
        <f>'PA-Détails'!L1884</f>
        <v>414630</v>
      </c>
      <c r="M82" s="32">
        <f>'PA-Détails'!M1884</f>
        <v>1530780</v>
      </c>
      <c r="N82" s="32">
        <f>'PA-Détails'!N1884</f>
        <v>1499280</v>
      </c>
      <c r="O82" s="32">
        <f>'PA-Détails'!O1884</f>
        <v>1350000</v>
      </c>
      <c r="P82" s="32">
        <f>'PA-Détails'!P1884</f>
        <v>150000</v>
      </c>
      <c r="Q82" s="428">
        <f>'PA-Détails'!Q1884</f>
        <v>4944690</v>
      </c>
      <c r="R82" s="570"/>
      <c r="S82" s="581">
        <f>'PA-Détails'!S1884</f>
        <v>0</v>
      </c>
      <c r="T82" s="582">
        <f>'PA-Détails'!T1884</f>
        <v>1</v>
      </c>
      <c r="U82" s="583">
        <f>'PA-Détails'!T1884</f>
        <v>1</v>
      </c>
    </row>
    <row r="83" spans="1:21" x14ac:dyDescent="0.2">
      <c r="A83" s="369" t="str">
        <f>'PA-Détails'!A1885</f>
        <v>3.1.1 Implication des communautés locales et renforcement des capacités des organisations et des facilitateurs communautaires qui serviront de relais pour la mobilisation et la sensibilisation</v>
      </c>
      <c r="B83" s="446"/>
      <c r="C83" s="386" t="str">
        <f>'PA-Détails'!C1885</f>
        <v>Des campagnes de sensibilisation des communautés sont menées dans chaque province administrative</v>
      </c>
      <c r="D83" s="168">
        <f>'PA-Détails'!D1885</f>
        <v>218.5</v>
      </c>
      <c r="E83" s="168">
        <f>'PA-Détails'!E1885</f>
        <v>132.9</v>
      </c>
      <c r="F83" s="168">
        <f>'PA-Détails'!F1885</f>
        <v>132.9</v>
      </c>
      <c r="G83" s="168">
        <f>'PA-Détails'!G1885</f>
        <v>0</v>
      </c>
      <c r="H83" s="168">
        <f>'PA-Détails'!H1885</f>
        <v>0</v>
      </c>
      <c r="I83" s="168">
        <f>'PA-Détails'!I1885</f>
        <v>484.3</v>
      </c>
      <c r="J83" s="447">
        <f>'PA-Détails'!J1885</f>
        <v>0</v>
      </c>
      <c r="K83" s="36">
        <f>'PA-Détails'!K1885</f>
        <v>0</v>
      </c>
      <c r="L83" s="36">
        <f>'PA-Détails'!L1885</f>
        <v>218500</v>
      </c>
      <c r="M83" s="36">
        <f>'PA-Détails'!M1885</f>
        <v>132900</v>
      </c>
      <c r="N83" s="36">
        <f>'PA-Détails'!N1885</f>
        <v>132900</v>
      </c>
      <c r="O83" s="36">
        <f>'PA-Détails'!O1885</f>
        <v>0</v>
      </c>
      <c r="P83" s="36">
        <f>'PA-Détails'!P1885</f>
        <v>0</v>
      </c>
      <c r="Q83" s="429">
        <f>'PA-Détails'!Q1885</f>
        <v>484300</v>
      </c>
      <c r="R83" s="570"/>
      <c r="S83" s="584">
        <f>'PA-Détails'!S1885</f>
        <v>0</v>
      </c>
      <c r="T83" s="585">
        <f>'PA-Détails'!T1885</f>
        <v>0</v>
      </c>
      <c r="U83" s="586">
        <f>'PA-Détails'!T1885</f>
        <v>0</v>
      </c>
    </row>
    <row r="84" spans="1:21" x14ac:dyDescent="0.2">
      <c r="A84" s="369" t="str">
        <f>'PA-Détails'!A1889</f>
        <v>3.1.2 Ouverture de centres, réhabilitation et construction, équipements des centres, identification des écoles primaires qui serviront en même temps des centres de rattrapage scolaire et d’alphabétisation</v>
      </c>
      <c r="B84" s="446"/>
      <c r="C84" s="386" t="str">
        <f>'PA-Détails'!C1889</f>
        <v>La capacité des centres d'AENF est doublée entre 2016 et 2025</v>
      </c>
      <c r="D84" s="168">
        <f>'PA-Détails'!D1889</f>
        <v>16.38</v>
      </c>
      <c r="E84" s="168">
        <f>'PA-Détails'!E1889</f>
        <v>1216.3800000000001</v>
      </c>
      <c r="F84" s="168">
        <f>'PA-Détails'!F1889</f>
        <v>1216.3800000000001</v>
      </c>
      <c r="G84" s="168">
        <f>'PA-Détails'!G1889</f>
        <v>1200</v>
      </c>
      <c r="H84" s="168">
        <f>'PA-Détails'!H1889</f>
        <v>0</v>
      </c>
      <c r="I84" s="168">
        <f>'PA-Détails'!I1889</f>
        <v>3649.14</v>
      </c>
      <c r="J84" s="447">
        <f>'PA-Détails'!J1889</f>
        <v>0</v>
      </c>
      <c r="K84" s="36">
        <f>'PA-Détails'!K1889</f>
        <v>0</v>
      </c>
      <c r="L84" s="36">
        <f>'PA-Détails'!L1889</f>
        <v>16380</v>
      </c>
      <c r="M84" s="36">
        <f>'PA-Détails'!M1889</f>
        <v>1216380</v>
      </c>
      <c r="N84" s="36">
        <f>'PA-Détails'!N1889</f>
        <v>1216380</v>
      </c>
      <c r="O84" s="36">
        <f>'PA-Détails'!O1889</f>
        <v>1200000</v>
      </c>
      <c r="P84" s="36">
        <f>'PA-Détails'!P1889</f>
        <v>0</v>
      </c>
      <c r="Q84" s="429">
        <f>'PA-Détails'!Q1889</f>
        <v>3649140</v>
      </c>
      <c r="R84" s="570"/>
      <c r="S84" s="584">
        <f>'PA-Détails'!S1889</f>
        <v>0</v>
      </c>
      <c r="T84" s="585">
        <f>'PA-Détails'!T1889</f>
        <v>0</v>
      </c>
      <c r="U84" s="586">
        <f>'PA-Détails'!T1889</f>
        <v>0</v>
      </c>
    </row>
    <row r="85" spans="1:21" x14ac:dyDescent="0.2">
      <c r="A85" s="369" t="str">
        <f>'PA-Détails'!A1893</f>
        <v>3.1.3 Prise de mesures pour la réduction des disparités d’accès liées au genre, l’âge, à la localité, aux handicaps, à la pauvreté, etc. (ciblage et intégration des enfants et jeunes hors du système éducatif formel)</v>
      </c>
      <c r="B85" s="446"/>
      <c r="C85" s="386" t="str">
        <f>'PA-Détails'!C1893</f>
        <v>La proportion de filles/femmes augmente parmi les apprenants</v>
      </c>
      <c r="D85" s="168">
        <f>'PA-Détails'!D1893</f>
        <v>0</v>
      </c>
      <c r="E85" s="168">
        <f>'PA-Détails'!E1893</f>
        <v>11.5</v>
      </c>
      <c r="F85" s="168">
        <f>'PA-Détails'!F1893</f>
        <v>0</v>
      </c>
      <c r="G85" s="168">
        <f>'PA-Détails'!G1893</f>
        <v>0</v>
      </c>
      <c r="H85" s="168">
        <f>'PA-Détails'!H1893</f>
        <v>0</v>
      </c>
      <c r="I85" s="168">
        <f>'PA-Détails'!I1893</f>
        <v>11.5</v>
      </c>
      <c r="J85" s="447">
        <f>'PA-Détails'!J1893</f>
        <v>0</v>
      </c>
      <c r="K85" s="36">
        <f>'PA-Détails'!K1893</f>
        <v>0</v>
      </c>
      <c r="L85" s="36">
        <f>'PA-Détails'!L1893</f>
        <v>0</v>
      </c>
      <c r="M85" s="36">
        <f>'PA-Détails'!M1893</f>
        <v>11500</v>
      </c>
      <c r="N85" s="36">
        <f>'PA-Détails'!N1893</f>
        <v>0</v>
      </c>
      <c r="O85" s="36">
        <f>'PA-Détails'!O1893</f>
        <v>0</v>
      </c>
      <c r="P85" s="36">
        <f>'PA-Détails'!P1893</f>
        <v>0</v>
      </c>
      <c r="Q85" s="429">
        <f>'PA-Détails'!Q1893</f>
        <v>11500</v>
      </c>
      <c r="R85" s="570"/>
      <c r="S85" s="591">
        <f>'PA-Détails'!S1893</f>
        <v>0</v>
      </c>
      <c r="T85" s="585">
        <f>'PA-Détails'!T1893</f>
        <v>0</v>
      </c>
      <c r="U85" s="586">
        <f>'PA-Détails'!T1893</f>
        <v>0</v>
      </c>
    </row>
    <row r="86" spans="1:21" x14ac:dyDescent="0.2">
      <c r="A86" s="369" t="str">
        <f>'PA-Détails'!A1895</f>
        <v>3.1.4 Identification et réinsertion scolaire des enfants déscolarisés</v>
      </c>
      <c r="B86" s="446"/>
      <c r="C86" s="387" t="str">
        <f>'PA-Détails'!C1895</f>
        <v xml:space="preserve">En 2020, les enfants déscolarisés sont identifiés et en majorité insérés/réinsérés dans le système formel </v>
      </c>
      <c r="D86" s="168">
        <f>'PA-Détails'!D1895</f>
        <v>179.75</v>
      </c>
      <c r="E86" s="168">
        <f>'PA-Détails'!E1895</f>
        <v>170</v>
      </c>
      <c r="F86" s="168">
        <f>'PA-Détails'!F1895</f>
        <v>150</v>
      </c>
      <c r="G86" s="168">
        <f>'PA-Détails'!G1895</f>
        <v>150</v>
      </c>
      <c r="H86" s="168">
        <f>'PA-Détails'!H1895</f>
        <v>150</v>
      </c>
      <c r="I86" s="168">
        <f>'PA-Détails'!I1895</f>
        <v>799.75</v>
      </c>
      <c r="J86" s="447">
        <f>'PA-Détails'!J1895</f>
        <v>0</v>
      </c>
      <c r="K86" s="36">
        <f>'PA-Détails'!K1895</f>
        <v>0</v>
      </c>
      <c r="L86" s="36">
        <f>'PA-Détails'!L1895</f>
        <v>179750</v>
      </c>
      <c r="M86" s="36">
        <f>'PA-Détails'!M1895</f>
        <v>170000</v>
      </c>
      <c r="N86" s="36">
        <f>'PA-Détails'!N1895</f>
        <v>150000</v>
      </c>
      <c r="O86" s="36">
        <f>'PA-Détails'!O1895</f>
        <v>150000</v>
      </c>
      <c r="P86" s="36">
        <f>'PA-Détails'!P1895</f>
        <v>150000</v>
      </c>
      <c r="Q86" s="429">
        <f>'PA-Détails'!Q1895</f>
        <v>799750</v>
      </c>
      <c r="R86" s="570"/>
      <c r="S86" s="584">
        <f>'PA-Détails'!S1895</f>
        <v>0</v>
      </c>
      <c r="T86" s="585">
        <f>'PA-Détails'!T1895</f>
        <v>0</v>
      </c>
      <c r="U86" s="586">
        <f>'PA-Détails'!T1895</f>
        <v>0</v>
      </c>
    </row>
    <row r="87" spans="1:21" x14ac:dyDescent="0.2">
      <c r="A87" s="368" t="str">
        <f>'PA-Détails'!A1899</f>
        <v>3.2. Protection sociale : renforcer les capacités des communautés et des familles</v>
      </c>
      <c r="B87" s="444"/>
      <c r="C87" s="385">
        <f>'PA-Détails'!C1899</f>
        <v>0</v>
      </c>
      <c r="D87" s="217">
        <f>'PA-Détails'!D1899</f>
        <v>19.399999999999999</v>
      </c>
      <c r="E87" s="217">
        <f>'PA-Détails'!E1899</f>
        <v>249.66</v>
      </c>
      <c r="F87" s="217">
        <f>'PA-Détails'!F1899</f>
        <v>127</v>
      </c>
      <c r="G87" s="217">
        <f>'PA-Détails'!G1899</f>
        <v>127</v>
      </c>
      <c r="H87" s="217">
        <f>'PA-Détails'!H1899</f>
        <v>127</v>
      </c>
      <c r="I87" s="217">
        <f>'PA-Détails'!I1899</f>
        <v>650.05999999999995</v>
      </c>
      <c r="J87" s="449">
        <f>'PA-Détails'!J1899</f>
        <v>0</v>
      </c>
      <c r="K87" s="32">
        <f>'PA-Détails'!K1899</f>
        <v>0</v>
      </c>
      <c r="L87" s="32">
        <f>'PA-Détails'!L1899</f>
        <v>19400</v>
      </c>
      <c r="M87" s="32">
        <f>'PA-Détails'!M1899</f>
        <v>249660</v>
      </c>
      <c r="N87" s="32">
        <f>'PA-Détails'!N1899</f>
        <v>127000</v>
      </c>
      <c r="O87" s="32">
        <f>'PA-Détails'!O1899</f>
        <v>127000</v>
      </c>
      <c r="P87" s="32">
        <f>'PA-Détails'!P1899</f>
        <v>127000</v>
      </c>
      <c r="Q87" s="428">
        <f>'PA-Détails'!Q1899</f>
        <v>650060</v>
      </c>
      <c r="R87" s="570"/>
      <c r="S87" s="581">
        <f>'PA-Détails'!S1899</f>
        <v>0</v>
      </c>
      <c r="T87" s="582">
        <f>'PA-Détails'!T1899</f>
        <v>1</v>
      </c>
      <c r="U87" s="583">
        <f>'PA-Détails'!T1899</f>
        <v>1</v>
      </c>
    </row>
    <row r="88" spans="1:21" x14ac:dyDescent="0.2">
      <c r="A88" s="369" t="str">
        <f>'PA-Détails'!A1900</f>
        <v>3.2.1 Identifier les communautés de base et les structures de référencement (écoles, centres de formation,…)</v>
      </c>
      <c r="B88" s="446"/>
      <c r="C88" s="387" t="str">
        <f>'PA-Détails'!C1900</f>
        <v>Identification par les services de l'AENF</v>
      </c>
      <c r="D88" s="168">
        <f>'PA-Détails'!D1900</f>
        <v>8.4</v>
      </c>
      <c r="E88" s="168">
        <f>'PA-Détails'!E1900</f>
        <v>0</v>
      </c>
      <c r="F88" s="168">
        <f>'PA-Détails'!F1900</f>
        <v>0</v>
      </c>
      <c r="G88" s="168">
        <f>'PA-Détails'!G1900</f>
        <v>0</v>
      </c>
      <c r="H88" s="168">
        <f>'PA-Détails'!H1900</f>
        <v>0</v>
      </c>
      <c r="I88" s="168">
        <f>'PA-Détails'!I1900</f>
        <v>8.4</v>
      </c>
      <c r="J88" s="447">
        <f>'PA-Détails'!J1900</f>
        <v>0</v>
      </c>
      <c r="K88" s="36">
        <f>'PA-Détails'!K1900</f>
        <v>0</v>
      </c>
      <c r="L88" s="36">
        <f>'PA-Détails'!L1900</f>
        <v>8400</v>
      </c>
      <c r="M88" s="36">
        <f>'PA-Détails'!M1900</f>
        <v>0</v>
      </c>
      <c r="N88" s="36">
        <f>'PA-Détails'!N1900</f>
        <v>0</v>
      </c>
      <c r="O88" s="36">
        <f>'PA-Détails'!O1900</f>
        <v>0</v>
      </c>
      <c r="P88" s="36">
        <f>'PA-Détails'!P1900</f>
        <v>0</v>
      </c>
      <c r="Q88" s="429">
        <f>'PA-Détails'!Q1900</f>
        <v>8400</v>
      </c>
      <c r="R88" s="570"/>
      <c r="S88" s="584">
        <f>'PA-Détails'!S1900</f>
        <v>0</v>
      </c>
      <c r="T88" s="585">
        <f>'PA-Détails'!T1900</f>
        <v>0</v>
      </c>
      <c r="U88" s="586">
        <f>'PA-Détails'!T1900</f>
        <v>0</v>
      </c>
    </row>
    <row r="89" spans="1:21" x14ac:dyDescent="0.2">
      <c r="A89" s="369" t="str">
        <f>'PA-Détails'!A1902</f>
        <v>3.2.2 Identifier les apprenants les plus vulnérables dans les offres de l’AENF</v>
      </c>
      <c r="B89" s="446"/>
      <c r="C89" s="387" t="str">
        <f>'PA-Détails'!C1902</f>
        <v>Les enfants vulnérables sont protégés et référés</v>
      </c>
      <c r="D89" s="168">
        <f>'PA-Détails'!D1902</f>
        <v>3</v>
      </c>
      <c r="E89" s="168">
        <f>'PA-Détails'!E1902</f>
        <v>122.66</v>
      </c>
      <c r="F89" s="168">
        <f>'PA-Détails'!F1902</f>
        <v>0</v>
      </c>
      <c r="G89" s="168">
        <f>'PA-Détails'!G1902</f>
        <v>0</v>
      </c>
      <c r="H89" s="168">
        <f>'PA-Détails'!H1902</f>
        <v>0</v>
      </c>
      <c r="I89" s="168">
        <f>'PA-Détails'!I1902</f>
        <v>125.66</v>
      </c>
      <c r="J89" s="447">
        <f>'PA-Détails'!J1902</f>
        <v>0</v>
      </c>
      <c r="K89" s="36">
        <f>'PA-Détails'!K1902</f>
        <v>0</v>
      </c>
      <c r="L89" s="36">
        <f>'PA-Détails'!L1902</f>
        <v>3000</v>
      </c>
      <c r="M89" s="36">
        <f>'PA-Détails'!M1902</f>
        <v>122660</v>
      </c>
      <c r="N89" s="36">
        <f>'PA-Détails'!N1902</f>
        <v>0</v>
      </c>
      <c r="O89" s="36">
        <f>'PA-Détails'!O1902</f>
        <v>0</v>
      </c>
      <c r="P89" s="36">
        <f>'PA-Détails'!P1902</f>
        <v>0</v>
      </c>
      <c r="Q89" s="429">
        <f>'PA-Détails'!Q1902</f>
        <v>125660</v>
      </c>
      <c r="R89" s="570"/>
      <c r="S89" s="584">
        <f>'PA-Détails'!S1902</f>
        <v>0</v>
      </c>
      <c r="T89" s="585">
        <f>'PA-Détails'!T1902</f>
        <v>0</v>
      </c>
      <c r="U89" s="586">
        <f>'PA-Détails'!T1902</f>
        <v>0</v>
      </c>
    </row>
    <row r="90" spans="1:21" x14ac:dyDescent="0.2">
      <c r="A90" s="454" t="str">
        <f>'PA-Détails'!A1904</f>
        <v>3.2.3 Accorder l’appui institutionnel aux structures d’accueil</v>
      </c>
      <c r="B90" s="452"/>
      <c r="C90" s="388" t="str">
        <f>'PA-Détails'!C1904</f>
        <v>Tous les centres reçoivent un soutien sous formes d'outils et matériels pédagogiques</v>
      </c>
      <c r="D90" s="168">
        <f>'PA-Détails'!D1904</f>
        <v>8</v>
      </c>
      <c r="E90" s="168">
        <f>'PA-Détails'!E1904</f>
        <v>50</v>
      </c>
      <c r="F90" s="168">
        <f>'PA-Détails'!F1904</f>
        <v>50</v>
      </c>
      <c r="G90" s="168">
        <f>'PA-Détails'!G1904</f>
        <v>50</v>
      </c>
      <c r="H90" s="168">
        <f>'PA-Détails'!H1904</f>
        <v>50</v>
      </c>
      <c r="I90" s="168">
        <f>'PA-Détails'!I1904</f>
        <v>208</v>
      </c>
      <c r="J90" s="447">
        <f>'PA-Détails'!J1904</f>
        <v>0</v>
      </c>
      <c r="K90" s="168">
        <f>'PA-Détails'!K1904</f>
        <v>0</v>
      </c>
      <c r="L90" s="36">
        <f>'PA-Détails'!L1904</f>
        <v>8000</v>
      </c>
      <c r="M90" s="36">
        <f>'PA-Détails'!M1904</f>
        <v>50000</v>
      </c>
      <c r="N90" s="36">
        <f>'PA-Détails'!N1904</f>
        <v>50000</v>
      </c>
      <c r="O90" s="36">
        <f>'PA-Détails'!O1904</f>
        <v>50000</v>
      </c>
      <c r="P90" s="36">
        <f>'PA-Détails'!P1904</f>
        <v>50000</v>
      </c>
      <c r="Q90" s="429">
        <f>'PA-Détails'!Q1904</f>
        <v>208000</v>
      </c>
      <c r="R90" s="570"/>
      <c r="S90" s="584">
        <f>'PA-Détails'!S1904</f>
        <v>0</v>
      </c>
      <c r="T90" s="585">
        <f>'PA-Détails'!T1904</f>
        <v>0</v>
      </c>
      <c r="U90" s="586">
        <f>'PA-Détails'!T1904</f>
        <v>0</v>
      </c>
    </row>
    <row r="91" spans="1:21" x14ac:dyDescent="0.2">
      <c r="A91" s="370" t="str">
        <f>'PA-Détails'!A1908</f>
        <v>3.2.4 Former les bénéficiaires à des Activités Génératrices de Revenus</v>
      </c>
      <c r="B91" s="452"/>
      <c r="C91" s="390" t="str">
        <f>'PA-Détails'!C1908</f>
        <v>Chaque année, 10% des animateurs reçoivent une formation d'une semaine</v>
      </c>
      <c r="D91" s="168">
        <f>'PA-Détails'!D1908</f>
        <v>0</v>
      </c>
      <c r="E91" s="168">
        <f>'PA-Détails'!E1908</f>
        <v>77</v>
      </c>
      <c r="F91" s="168">
        <f>'PA-Détails'!F1908</f>
        <v>77</v>
      </c>
      <c r="G91" s="168">
        <f>'PA-Détails'!G1908</f>
        <v>77</v>
      </c>
      <c r="H91" s="168">
        <f>'PA-Détails'!H1908</f>
        <v>77</v>
      </c>
      <c r="I91" s="168">
        <f>'PA-Détails'!I1908</f>
        <v>308</v>
      </c>
      <c r="J91" s="447">
        <f>'PA-Détails'!J1908</f>
        <v>0</v>
      </c>
      <c r="K91" s="168">
        <f>'PA-Détails'!K1908</f>
        <v>0</v>
      </c>
      <c r="L91" s="36">
        <f>'PA-Détails'!L1908</f>
        <v>0</v>
      </c>
      <c r="M91" s="36">
        <f>'PA-Détails'!M1908</f>
        <v>77000</v>
      </c>
      <c r="N91" s="36">
        <f>'PA-Détails'!N1908</f>
        <v>77000</v>
      </c>
      <c r="O91" s="36">
        <f>'PA-Détails'!O1908</f>
        <v>77000</v>
      </c>
      <c r="P91" s="36">
        <f>'PA-Détails'!P1908</f>
        <v>77000</v>
      </c>
      <c r="Q91" s="429">
        <f>'PA-Détails'!Q1908</f>
        <v>308000</v>
      </c>
      <c r="R91" s="570"/>
      <c r="S91" s="584">
        <f>'PA-Détails'!S1908</f>
        <v>0</v>
      </c>
      <c r="T91" s="585">
        <f>'PA-Détails'!T1908</f>
        <v>0</v>
      </c>
      <c r="U91" s="586">
        <f>'PA-Détails'!T1908</f>
        <v>0</v>
      </c>
    </row>
    <row r="92" spans="1:21" x14ac:dyDescent="0.2">
      <c r="A92" s="368" t="str">
        <f>'PA-Détails'!A1910</f>
        <v>3.3. Programmes de l'AENF : Harmoniser les programmes et les adapter aux besoins des bénéficiaires</v>
      </c>
      <c r="B92" s="444"/>
      <c r="C92" s="385">
        <f>'PA-Détails'!C1910</f>
        <v>0</v>
      </c>
      <c r="D92" s="217">
        <f>'PA-Détails'!D1910</f>
        <v>16</v>
      </c>
      <c r="E92" s="217">
        <f>'PA-Détails'!E1910</f>
        <v>12.5</v>
      </c>
      <c r="F92" s="217">
        <f>'PA-Détails'!F1910</f>
        <v>21</v>
      </c>
      <c r="G92" s="217">
        <f>'PA-Détails'!G1910</f>
        <v>96</v>
      </c>
      <c r="H92" s="217">
        <f>'PA-Détails'!H1910</f>
        <v>96</v>
      </c>
      <c r="I92" s="217">
        <f>'PA-Détails'!I1910</f>
        <v>241.5</v>
      </c>
      <c r="J92" s="449">
        <f>'PA-Détails'!J1910</f>
        <v>0</v>
      </c>
      <c r="K92" s="32">
        <f>'PA-Détails'!K1910</f>
        <v>0</v>
      </c>
      <c r="L92" s="32">
        <f>'PA-Détails'!L1910</f>
        <v>16000</v>
      </c>
      <c r="M92" s="32">
        <f>'PA-Détails'!M1910</f>
        <v>12500</v>
      </c>
      <c r="N92" s="32">
        <f>'PA-Détails'!N1910</f>
        <v>21000</v>
      </c>
      <c r="O92" s="32">
        <f>'PA-Détails'!O1910</f>
        <v>96000</v>
      </c>
      <c r="P92" s="32">
        <f>'PA-Détails'!P1910</f>
        <v>96000</v>
      </c>
      <c r="Q92" s="428">
        <f>'PA-Détails'!Q1910</f>
        <v>241500</v>
      </c>
      <c r="R92" s="570"/>
      <c r="S92" s="592">
        <f>'PA-Détails'!S1910</f>
        <v>0</v>
      </c>
      <c r="T92" s="593">
        <f>'PA-Détails'!T1910</f>
        <v>2</v>
      </c>
      <c r="U92" s="588">
        <f>'PA-Détails'!T1910</f>
        <v>2</v>
      </c>
    </row>
    <row r="93" spans="1:21" x14ac:dyDescent="0.2">
      <c r="A93" s="369" t="str">
        <f>'PA-Détails'!A1911</f>
        <v>3.3.1 Ateliers nationaux de révision et de validation des programmes, normes et standards de qualité</v>
      </c>
      <c r="B93" s="446"/>
      <c r="C93" s="386" t="str">
        <f>'PA-Détails'!C1911</f>
        <v>Les programmes sont révisés en 2018</v>
      </c>
      <c r="D93" s="168">
        <f>'PA-Détails'!D1911</f>
        <v>16</v>
      </c>
      <c r="E93" s="168">
        <f>'PA-Détails'!E1911</f>
        <v>12.5</v>
      </c>
      <c r="F93" s="168">
        <f>'PA-Détails'!F1911</f>
        <v>0</v>
      </c>
      <c r="G93" s="168">
        <f>'PA-Détails'!G1911</f>
        <v>0</v>
      </c>
      <c r="H93" s="168">
        <f>'PA-Détails'!H1911</f>
        <v>0</v>
      </c>
      <c r="I93" s="168">
        <f>'PA-Détails'!I1911</f>
        <v>28.5</v>
      </c>
      <c r="J93" s="447">
        <f>'PA-Détails'!J1911</f>
        <v>0</v>
      </c>
      <c r="K93" s="36">
        <f>'PA-Détails'!K1911</f>
        <v>0</v>
      </c>
      <c r="L93" s="36">
        <f>'PA-Détails'!L1911</f>
        <v>16000</v>
      </c>
      <c r="M93" s="36">
        <f>'PA-Détails'!M1911</f>
        <v>12500</v>
      </c>
      <c r="N93" s="36">
        <f>'PA-Détails'!N1911</f>
        <v>0</v>
      </c>
      <c r="O93" s="36">
        <f>'PA-Détails'!O1911</f>
        <v>0</v>
      </c>
      <c r="P93" s="36">
        <f>'PA-Détails'!P1911</f>
        <v>0</v>
      </c>
      <c r="Q93" s="429">
        <f>'PA-Détails'!Q1911</f>
        <v>28500</v>
      </c>
      <c r="R93" s="570"/>
      <c r="S93" s="594">
        <f>'PA-Détails'!S1911</f>
        <v>0</v>
      </c>
      <c r="T93" s="595">
        <f>'PA-Détails'!T1911</f>
        <v>0</v>
      </c>
      <c r="U93" s="586">
        <f>'PA-Détails'!T1911</f>
        <v>0</v>
      </c>
    </row>
    <row r="94" spans="1:21" x14ac:dyDescent="0.2">
      <c r="A94" s="369" t="str">
        <f>'PA-Détails'!A1913</f>
        <v xml:space="preserve">3.3.2 Formation de animateurs (MAS.AH.SN, société civile) à l'utilisation et la gestion des programmes </v>
      </c>
      <c r="B94" s="446"/>
      <c r="C94" s="386" t="str">
        <f>'PA-Détails'!C1913</f>
        <v>10 000 animateurs formés en 2019 et 2020</v>
      </c>
      <c r="D94" s="168">
        <f>'PA-Détails'!D1913</f>
        <v>0</v>
      </c>
      <c r="E94" s="168">
        <f>'PA-Détails'!E1913</f>
        <v>0</v>
      </c>
      <c r="F94" s="168">
        <f>'PA-Détails'!F1913</f>
        <v>21</v>
      </c>
      <c r="G94" s="168">
        <f>'PA-Détails'!G1913</f>
        <v>96</v>
      </c>
      <c r="H94" s="168">
        <f>'PA-Détails'!H1913</f>
        <v>96</v>
      </c>
      <c r="I94" s="168">
        <f>'PA-Détails'!I1913</f>
        <v>213</v>
      </c>
      <c r="J94" s="447">
        <f>'PA-Détails'!J1913</f>
        <v>0</v>
      </c>
      <c r="K94" s="36">
        <f>'PA-Détails'!K1913</f>
        <v>0</v>
      </c>
      <c r="L94" s="36">
        <f>'PA-Détails'!L1913</f>
        <v>0</v>
      </c>
      <c r="M94" s="36">
        <f>'PA-Détails'!M1913</f>
        <v>0</v>
      </c>
      <c r="N94" s="36">
        <f>'PA-Détails'!N1913</f>
        <v>21000</v>
      </c>
      <c r="O94" s="36">
        <f>'PA-Détails'!O1913</f>
        <v>96000</v>
      </c>
      <c r="P94" s="36">
        <f>'PA-Détails'!P1913</f>
        <v>96000</v>
      </c>
      <c r="Q94" s="429">
        <f>'PA-Détails'!Q1913</f>
        <v>213000</v>
      </c>
      <c r="R94" s="570"/>
      <c r="S94" s="594">
        <f>'PA-Détails'!S1913</f>
        <v>0</v>
      </c>
      <c r="T94" s="595">
        <f>'PA-Détails'!T1913</f>
        <v>0</v>
      </c>
      <c r="U94" s="586">
        <f>'PA-Détails'!T1913</f>
        <v>0</v>
      </c>
    </row>
    <row r="95" spans="1:21" x14ac:dyDescent="0.2">
      <c r="A95" s="368" t="str">
        <f>'PA-Détails'!A1915</f>
        <v>3.4 Supports et matériels andragogiques : équiper les centres en supports andragogiques rénovés</v>
      </c>
      <c r="B95" s="444"/>
      <c r="C95" s="385">
        <f>'PA-Détails'!C1915</f>
        <v>0</v>
      </c>
      <c r="D95" s="217">
        <f>'PA-Détails'!D1915</f>
        <v>60.5</v>
      </c>
      <c r="E95" s="217">
        <f>'PA-Détails'!E1915</f>
        <v>258.5</v>
      </c>
      <c r="F95" s="217">
        <f>'PA-Détails'!F1915</f>
        <v>2692.3339999999998</v>
      </c>
      <c r="G95" s="217">
        <f>'PA-Détails'!G1915</f>
        <v>3193.4769999999999</v>
      </c>
      <c r="H95" s="217">
        <f>'PA-Détails'!H1915</f>
        <v>2902.3339999999998</v>
      </c>
      <c r="I95" s="217">
        <f>'PA-Détails'!I1915</f>
        <v>9107.1450000000004</v>
      </c>
      <c r="J95" s="449">
        <f>'PA-Détails'!J1915</f>
        <v>0</v>
      </c>
      <c r="K95" s="32">
        <f>'PA-Détails'!K1915</f>
        <v>0</v>
      </c>
      <c r="L95" s="32">
        <f>'PA-Détails'!L1915</f>
        <v>60500</v>
      </c>
      <c r="M95" s="32">
        <f>'PA-Détails'!M1915</f>
        <v>258500</v>
      </c>
      <c r="N95" s="32">
        <f>'PA-Détails'!N1915</f>
        <v>2692334</v>
      </c>
      <c r="O95" s="32">
        <f>'PA-Détails'!O1915</f>
        <v>3193477</v>
      </c>
      <c r="P95" s="32">
        <f>'PA-Détails'!P1915</f>
        <v>2902334</v>
      </c>
      <c r="Q95" s="428">
        <f>'PA-Détails'!Q1915</f>
        <v>9107145</v>
      </c>
      <c r="R95" s="570"/>
      <c r="S95" s="592">
        <f>'PA-Détails'!S1915</f>
        <v>0</v>
      </c>
      <c r="T95" s="593">
        <f>'PA-Détails'!T1915</f>
        <v>2</v>
      </c>
      <c r="U95" s="588">
        <f>'PA-Détails'!T1915</f>
        <v>2</v>
      </c>
    </row>
    <row r="96" spans="1:21" x14ac:dyDescent="0.2">
      <c r="A96" s="369" t="str">
        <f>'PA-Détails'!A1916</f>
        <v>3.4.1 Ateliers d'élaboration et de production</v>
      </c>
      <c r="B96" s="446"/>
      <c r="C96" s="386" t="str">
        <f>'PA-Détails'!C1916</f>
        <v xml:space="preserve">Ateliers organisés en 2017, après la révision des programmes </v>
      </c>
      <c r="D96" s="168">
        <f>'PA-Détails'!D1916</f>
        <v>33.5</v>
      </c>
      <c r="E96" s="168">
        <f>'PA-Détails'!E1916</f>
        <v>17.5</v>
      </c>
      <c r="F96" s="168">
        <f>'PA-Détails'!F1916</f>
        <v>0</v>
      </c>
      <c r="G96" s="168">
        <f>'PA-Détails'!G1916</f>
        <v>0</v>
      </c>
      <c r="H96" s="168">
        <f>'PA-Détails'!H1916</f>
        <v>0</v>
      </c>
      <c r="I96" s="168">
        <f>'PA-Détails'!I1916</f>
        <v>51</v>
      </c>
      <c r="J96" s="447">
        <f>'PA-Détails'!J1916</f>
        <v>0</v>
      </c>
      <c r="K96" s="36">
        <f>'PA-Détails'!K1916</f>
        <v>0</v>
      </c>
      <c r="L96" s="36">
        <f>'PA-Détails'!L1916</f>
        <v>33500</v>
      </c>
      <c r="M96" s="36">
        <f>'PA-Détails'!M1916</f>
        <v>17500</v>
      </c>
      <c r="N96" s="36">
        <f>'PA-Détails'!N1916</f>
        <v>0</v>
      </c>
      <c r="O96" s="36">
        <f>'PA-Détails'!O1916</f>
        <v>0</v>
      </c>
      <c r="P96" s="36">
        <f>'PA-Détails'!P1916</f>
        <v>0</v>
      </c>
      <c r="Q96" s="429">
        <f>'PA-Détails'!Q1916</f>
        <v>51000</v>
      </c>
      <c r="R96" s="570"/>
      <c r="S96" s="594">
        <f>'PA-Détails'!S1916</f>
        <v>0</v>
      </c>
      <c r="T96" s="595">
        <f>'PA-Détails'!T1916</f>
        <v>0</v>
      </c>
      <c r="U96" s="586">
        <f>'PA-Détails'!T1916</f>
        <v>0</v>
      </c>
    </row>
    <row r="97" spans="1:21" x14ac:dyDescent="0.2">
      <c r="A97" s="369" t="str">
        <f>'PA-Détails'!A1923</f>
        <v>3.4.2 Élaboration de manuels de rattrapage scolaire</v>
      </c>
      <c r="B97" s="446"/>
      <c r="C97" s="386" t="str">
        <f>'PA-Détails'!C1923</f>
        <v>En 2020, tous les centres sont équipés en matériels andragogiques</v>
      </c>
      <c r="D97" s="168">
        <f>'PA-Détails'!D1923</f>
        <v>27</v>
      </c>
      <c r="E97" s="168">
        <f>'PA-Détails'!E1923</f>
        <v>241</v>
      </c>
      <c r="F97" s="168">
        <f>'PA-Détails'!F1923</f>
        <v>241</v>
      </c>
      <c r="G97" s="168">
        <f>'PA-Détails'!G1923</f>
        <v>214</v>
      </c>
      <c r="H97" s="168">
        <f>'PA-Détails'!H1923</f>
        <v>0</v>
      </c>
      <c r="I97" s="168">
        <f>'PA-Détails'!I1923</f>
        <v>723</v>
      </c>
      <c r="J97" s="447">
        <f>'PA-Détails'!J1923</f>
        <v>0</v>
      </c>
      <c r="K97" s="36">
        <f>'PA-Détails'!K1923</f>
        <v>0</v>
      </c>
      <c r="L97" s="36">
        <f>'PA-Détails'!L1923</f>
        <v>27000</v>
      </c>
      <c r="M97" s="36">
        <f>'PA-Détails'!M1923</f>
        <v>241000</v>
      </c>
      <c r="N97" s="36">
        <f>'PA-Détails'!N1923</f>
        <v>241000</v>
      </c>
      <c r="O97" s="36">
        <f>'PA-Détails'!O1923</f>
        <v>214000</v>
      </c>
      <c r="P97" s="36">
        <f>'PA-Détails'!P1923</f>
        <v>0</v>
      </c>
      <c r="Q97" s="429">
        <f>'PA-Détails'!Q1923</f>
        <v>723000</v>
      </c>
      <c r="R97" s="570"/>
      <c r="S97" s="594">
        <f>'PA-Détails'!S1923</f>
        <v>0</v>
      </c>
      <c r="T97" s="595">
        <f>'PA-Détails'!T1923</f>
        <v>0</v>
      </c>
      <c r="U97" s="586">
        <f>'PA-Détails'!T1923</f>
        <v>0</v>
      </c>
    </row>
    <row r="98" spans="1:21" x14ac:dyDescent="0.2">
      <c r="A98" s="369" t="str">
        <f>'PA-Détails'!A1926</f>
        <v>3.4.3 Uniformisation des manuels d'alphabétisation et d'apprentissage professionnel</v>
      </c>
      <c r="B98" s="446"/>
      <c r="C98" s="386">
        <f>'PA-Détails'!C1926</f>
        <v>0</v>
      </c>
      <c r="D98" s="168">
        <f>'PA-Détails'!D1926</f>
        <v>0</v>
      </c>
      <c r="E98" s="168">
        <f>'PA-Détails'!E1926</f>
        <v>0</v>
      </c>
      <c r="F98" s="168">
        <f>'PA-Détails'!F1926</f>
        <v>44</v>
      </c>
      <c r="G98" s="168">
        <f>'PA-Détails'!G1926</f>
        <v>572.14300000000003</v>
      </c>
      <c r="H98" s="168">
        <f>'PA-Détails'!H1926</f>
        <v>495</v>
      </c>
      <c r="I98" s="168">
        <f>'PA-Détails'!I1926</f>
        <v>1111.143</v>
      </c>
      <c r="J98" s="447">
        <f>'PA-Détails'!J1926</f>
        <v>0</v>
      </c>
      <c r="K98" s="36">
        <f>'PA-Détails'!K1926</f>
        <v>0</v>
      </c>
      <c r="L98" s="36">
        <f>'PA-Détails'!L1926</f>
        <v>0</v>
      </c>
      <c r="M98" s="36">
        <f>'PA-Détails'!M1926</f>
        <v>0</v>
      </c>
      <c r="N98" s="36">
        <f>'PA-Détails'!N1926</f>
        <v>44000</v>
      </c>
      <c r="O98" s="36">
        <f>'PA-Détails'!O1926</f>
        <v>572143</v>
      </c>
      <c r="P98" s="36">
        <f>'PA-Détails'!P1926</f>
        <v>495000</v>
      </c>
      <c r="Q98" s="429">
        <f>'PA-Détails'!Q1926</f>
        <v>1111143</v>
      </c>
      <c r="R98" s="570"/>
      <c r="S98" s="594">
        <f>'PA-Détails'!S1926</f>
        <v>0</v>
      </c>
      <c r="T98" s="595">
        <f>'PA-Détails'!T1926</f>
        <v>0</v>
      </c>
      <c r="U98" s="586">
        <f>'PA-Détails'!T1926</f>
        <v>0</v>
      </c>
    </row>
    <row r="99" spans="1:21" x14ac:dyDescent="0.2">
      <c r="A99" s="369" t="str">
        <f>'PA-Détails'!A1929</f>
        <v>3.4.4 Équipement des centres</v>
      </c>
      <c r="B99" s="446"/>
      <c r="C99" s="386" t="str">
        <f>'PA-Détails'!C1929</f>
        <v>En 2020, tous les centres sont équipés en matériels andragogiques</v>
      </c>
      <c r="D99" s="168">
        <f>'PA-Détails'!D1929</f>
        <v>0</v>
      </c>
      <c r="E99" s="168">
        <f>'PA-Détails'!E1929</f>
        <v>0</v>
      </c>
      <c r="F99" s="168">
        <f>'PA-Détails'!F1929</f>
        <v>2407.3339999999998</v>
      </c>
      <c r="G99" s="168">
        <f>'PA-Détails'!G1929</f>
        <v>2407.3339999999998</v>
      </c>
      <c r="H99" s="168">
        <f>'PA-Détails'!H1929</f>
        <v>2407.3339999999998</v>
      </c>
      <c r="I99" s="168">
        <f>'PA-Détails'!I1929</f>
        <v>7222.0020000000004</v>
      </c>
      <c r="J99" s="447">
        <f>'PA-Détails'!J1929</f>
        <v>0</v>
      </c>
      <c r="K99" s="36">
        <f>'PA-Détails'!K1929</f>
        <v>0</v>
      </c>
      <c r="L99" s="36">
        <f>'PA-Détails'!L1929</f>
        <v>0</v>
      </c>
      <c r="M99" s="36">
        <f>'PA-Détails'!M1929</f>
        <v>0</v>
      </c>
      <c r="N99" s="36">
        <f>'PA-Détails'!N1929</f>
        <v>2407334</v>
      </c>
      <c r="O99" s="36">
        <f>'PA-Détails'!O1929</f>
        <v>2407334</v>
      </c>
      <c r="P99" s="36">
        <f>'PA-Détails'!P1929</f>
        <v>2407334</v>
      </c>
      <c r="Q99" s="429">
        <f>'PA-Détails'!Q1929</f>
        <v>7222002</v>
      </c>
      <c r="R99" s="570"/>
      <c r="S99" s="594">
        <f>'PA-Détails'!S1929</f>
        <v>0</v>
      </c>
      <c r="T99" s="595">
        <f>'PA-Détails'!T1929</f>
        <v>0</v>
      </c>
      <c r="U99" s="586">
        <f>'PA-Détails'!T1929</f>
        <v>0</v>
      </c>
    </row>
    <row r="100" spans="1:21" x14ac:dyDescent="0.2">
      <c r="A100" s="368" t="str">
        <f>'PA-Détails'!A1933</f>
        <v>3.5 Utilisation des langues locales : codifier les langues locales utilisées pour l'alphabétisation et promouvoir leur utilisation</v>
      </c>
      <c r="B100" s="444"/>
      <c r="C100" s="385">
        <f>'PA-Détails'!C1933</f>
        <v>0</v>
      </c>
      <c r="D100" s="217">
        <f>'PA-Détails'!D1933</f>
        <v>0</v>
      </c>
      <c r="E100" s="217">
        <f>'PA-Détails'!E1933</f>
        <v>21</v>
      </c>
      <c r="F100" s="217">
        <f>'PA-Détails'!F1933</f>
        <v>0</v>
      </c>
      <c r="G100" s="217">
        <f>'PA-Détails'!G1933</f>
        <v>1431.941</v>
      </c>
      <c r="H100" s="217">
        <f>'PA-Détails'!H1933</f>
        <v>1431.941</v>
      </c>
      <c r="I100" s="217">
        <f>'PA-Détails'!I1933</f>
        <v>2884.8820000000001</v>
      </c>
      <c r="J100" s="449">
        <f>'PA-Détails'!J1933</f>
        <v>0</v>
      </c>
      <c r="K100" s="32">
        <f>'PA-Détails'!K1933</f>
        <v>0</v>
      </c>
      <c r="L100" s="32">
        <f>'PA-Détails'!L1933</f>
        <v>0</v>
      </c>
      <c r="M100" s="32">
        <f>'PA-Détails'!M1933</f>
        <v>21000</v>
      </c>
      <c r="N100" s="32">
        <f>'PA-Détails'!N1933</f>
        <v>0</v>
      </c>
      <c r="O100" s="32">
        <f>'PA-Détails'!O1933</f>
        <v>1431941</v>
      </c>
      <c r="P100" s="32">
        <f>'PA-Détails'!P1933</f>
        <v>1431941</v>
      </c>
      <c r="Q100" s="428">
        <f>'PA-Détails'!Q1933</f>
        <v>2884882</v>
      </c>
      <c r="R100" s="570"/>
      <c r="S100" s="592">
        <f>'PA-Détails'!S1933</f>
        <v>0</v>
      </c>
      <c r="T100" s="593">
        <f>'PA-Détails'!T1933</f>
        <v>2</v>
      </c>
      <c r="U100" s="588">
        <f>'PA-Détails'!T1933</f>
        <v>2</v>
      </c>
    </row>
    <row r="101" spans="1:21" x14ac:dyDescent="0.2">
      <c r="A101" s="369" t="str">
        <f>'PA-Détails'!A1934</f>
        <v>3.5.1 Ateliers de codification des langues locales</v>
      </c>
      <c r="B101" s="446"/>
      <c r="C101" s="386" t="str">
        <f>'PA-Détails'!C1934</f>
        <v>Plusieurs ateliers menés chaque année à partir de 2016</v>
      </c>
      <c r="D101" s="168">
        <f>'PA-Détails'!D1934</f>
        <v>0</v>
      </c>
      <c r="E101" s="168">
        <f>'PA-Détails'!E1934</f>
        <v>15</v>
      </c>
      <c r="F101" s="168">
        <f>'PA-Détails'!F1934</f>
        <v>0</v>
      </c>
      <c r="G101" s="168">
        <f>'PA-Détails'!G1934</f>
        <v>0</v>
      </c>
      <c r="H101" s="168">
        <f>'PA-Détails'!H1934</f>
        <v>0</v>
      </c>
      <c r="I101" s="168">
        <f>'PA-Détails'!I1934</f>
        <v>15</v>
      </c>
      <c r="J101" s="447">
        <f>'PA-Détails'!J1934</f>
        <v>0</v>
      </c>
      <c r="K101" s="36">
        <f>'PA-Détails'!K1934</f>
        <v>0</v>
      </c>
      <c r="L101" s="36">
        <f>'PA-Détails'!L1934</f>
        <v>0</v>
      </c>
      <c r="M101" s="36">
        <f>'PA-Détails'!M1934</f>
        <v>15000</v>
      </c>
      <c r="N101" s="36">
        <f>'PA-Détails'!N1934</f>
        <v>0</v>
      </c>
      <c r="O101" s="36">
        <f>'PA-Détails'!O1934</f>
        <v>0</v>
      </c>
      <c r="P101" s="36">
        <f>'PA-Détails'!P1934</f>
        <v>0</v>
      </c>
      <c r="Q101" s="429">
        <f>'PA-Détails'!Q1934</f>
        <v>15000</v>
      </c>
      <c r="R101" s="570"/>
      <c r="S101" s="594">
        <f>'PA-Détails'!S1934</f>
        <v>0</v>
      </c>
      <c r="T101" s="595">
        <f>'PA-Détails'!T1934</f>
        <v>0</v>
      </c>
      <c r="U101" s="586">
        <f>'PA-Détails'!T1934</f>
        <v>0</v>
      </c>
    </row>
    <row r="102" spans="1:21" x14ac:dyDescent="0.2">
      <c r="A102" s="369" t="str">
        <f>'PA-Détails'!A1936</f>
        <v>3.5.2 Aide à la production des manuels et guides en langue locale d'alphabétisation et post alphabétisation</v>
      </c>
      <c r="B102" s="446"/>
      <c r="C102" s="386" t="str">
        <f>'PA-Détails'!C1936</f>
        <v>Un budget annuel de 50 000 $ pour des subventions accordées aux auteurs et éditeurs</v>
      </c>
      <c r="D102" s="168">
        <f>'PA-Détails'!D1936</f>
        <v>0</v>
      </c>
      <c r="E102" s="168">
        <f>'PA-Détails'!E1936</f>
        <v>6</v>
      </c>
      <c r="F102" s="168">
        <f>'PA-Détails'!F1936</f>
        <v>0</v>
      </c>
      <c r="G102" s="168">
        <f>'PA-Détails'!G1936</f>
        <v>1184.441</v>
      </c>
      <c r="H102" s="168">
        <f>'PA-Détails'!H1936</f>
        <v>1184.441</v>
      </c>
      <c r="I102" s="168">
        <f>'PA-Détails'!I1936</f>
        <v>2374.8820000000001</v>
      </c>
      <c r="J102" s="447">
        <f>'PA-Détails'!J1936</f>
        <v>0</v>
      </c>
      <c r="K102" s="36">
        <f>'PA-Détails'!K1936</f>
        <v>0</v>
      </c>
      <c r="L102" s="36">
        <f>'PA-Détails'!L1936</f>
        <v>0</v>
      </c>
      <c r="M102" s="36">
        <f>'PA-Détails'!M1936</f>
        <v>6000</v>
      </c>
      <c r="N102" s="36">
        <f>'PA-Détails'!N1936</f>
        <v>0</v>
      </c>
      <c r="O102" s="36">
        <f>'PA-Détails'!O1936</f>
        <v>1184441</v>
      </c>
      <c r="P102" s="36">
        <f>'PA-Détails'!P1936</f>
        <v>1184441</v>
      </c>
      <c r="Q102" s="429">
        <f>'PA-Détails'!Q1936</f>
        <v>2374882</v>
      </c>
      <c r="R102" s="570"/>
      <c r="S102" s="591">
        <f>'PA-Détails'!S1936</f>
        <v>0</v>
      </c>
      <c r="T102" s="595">
        <f>'PA-Détails'!T1936</f>
        <v>0</v>
      </c>
      <c r="U102" s="586">
        <f>'PA-Détails'!T1936</f>
        <v>0</v>
      </c>
    </row>
    <row r="103" spans="1:21" x14ac:dyDescent="0.2">
      <c r="A103" s="369" t="str">
        <f>'PA-Détails'!A1939</f>
        <v>3.5.3 Campagnes de vulgarisation des manuels et guides</v>
      </c>
      <c r="B103" s="446"/>
      <c r="C103" s="386" t="str">
        <f>'PA-Détails'!C1939</f>
        <v>une campagne est menée dans chaque sous division après la mise au point des guides dans chaque langue</v>
      </c>
      <c r="D103" s="168">
        <f>'PA-Détails'!D1939</f>
        <v>0</v>
      </c>
      <c r="E103" s="168">
        <f>'PA-Détails'!E1939</f>
        <v>0</v>
      </c>
      <c r="F103" s="168">
        <f>'PA-Détails'!F1939</f>
        <v>0</v>
      </c>
      <c r="G103" s="168">
        <f>'PA-Détails'!G1939</f>
        <v>247.5</v>
      </c>
      <c r="H103" s="168">
        <f>'PA-Détails'!H1939</f>
        <v>247.5</v>
      </c>
      <c r="I103" s="168">
        <f>'PA-Détails'!I1939</f>
        <v>495</v>
      </c>
      <c r="J103" s="447">
        <f>'PA-Détails'!J1939</f>
        <v>0</v>
      </c>
      <c r="K103" s="36">
        <f>'PA-Détails'!K1939</f>
        <v>0</v>
      </c>
      <c r="L103" s="36">
        <f>'PA-Détails'!L1939</f>
        <v>0</v>
      </c>
      <c r="M103" s="36">
        <f>'PA-Détails'!M1939</f>
        <v>0</v>
      </c>
      <c r="N103" s="36">
        <f>'PA-Détails'!N1939</f>
        <v>0</v>
      </c>
      <c r="O103" s="36">
        <f>'PA-Détails'!O1939</f>
        <v>247500</v>
      </c>
      <c r="P103" s="36">
        <f>'PA-Détails'!P1939</f>
        <v>247500</v>
      </c>
      <c r="Q103" s="429">
        <f>'PA-Détails'!Q1939</f>
        <v>495000</v>
      </c>
      <c r="R103" s="570"/>
      <c r="S103" s="591">
        <f>'PA-Détails'!S1939</f>
        <v>0</v>
      </c>
      <c r="T103" s="595">
        <f>'PA-Détails'!T1939</f>
        <v>0</v>
      </c>
      <c r="U103" s="586">
        <f>'PA-Détails'!T1939</f>
        <v>0</v>
      </c>
    </row>
    <row r="104" spans="1:21" x14ac:dyDescent="0.2">
      <c r="A104" s="368" t="str">
        <f>'PA-Détails'!A1941</f>
        <v xml:space="preserve">3.6. Évaluation et certification : mettre en place un système de suivi, d’évaluation et de certification des acquis des apprenants </v>
      </c>
      <c r="B104" s="444"/>
      <c r="C104" s="385">
        <f>'PA-Détails'!C1941</f>
        <v>0</v>
      </c>
      <c r="D104" s="217">
        <f>'PA-Détails'!D1941</f>
        <v>22</v>
      </c>
      <c r="E104" s="217">
        <f>'PA-Détails'!E1941</f>
        <v>277.2</v>
      </c>
      <c r="F104" s="217">
        <f>'PA-Détails'!F1941</f>
        <v>277.2</v>
      </c>
      <c r="G104" s="217">
        <f>'PA-Détails'!G1941</f>
        <v>0</v>
      </c>
      <c r="H104" s="217">
        <f>'PA-Détails'!H1941</f>
        <v>0</v>
      </c>
      <c r="I104" s="217">
        <f>'PA-Détails'!I1941</f>
        <v>576.4</v>
      </c>
      <c r="J104" s="449">
        <f>'PA-Détails'!J1941</f>
        <v>0</v>
      </c>
      <c r="K104" s="32">
        <f>'PA-Détails'!K1941</f>
        <v>0</v>
      </c>
      <c r="L104" s="32">
        <f>'PA-Détails'!L1941</f>
        <v>22000</v>
      </c>
      <c r="M104" s="32">
        <f>'PA-Détails'!M1941</f>
        <v>277200</v>
      </c>
      <c r="N104" s="32">
        <f>'PA-Détails'!N1941</f>
        <v>277200</v>
      </c>
      <c r="O104" s="32">
        <f>'PA-Détails'!O1941</f>
        <v>0</v>
      </c>
      <c r="P104" s="32">
        <f>'PA-Détails'!P1941</f>
        <v>0</v>
      </c>
      <c r="Q104" s="428">
        <f>'PA-Détails'!Q1941</f>
        <v>576400</v>
      </c>
      <c r="R104" s="570"/>
      <c r="S104" s="592">
        <f>'PA-Détails'!S1941</f>
        <v>0</v>
      </c>
      <c r="T104" s="593">
        <f>'PA-Détails'!T1941</f>
        <v>2</v>
      </c>
      <c r="U104" s="588">
        <f>'PA-Détails'!T1941</f>
        <v>2</v>
      </c>
    </row>
    <row r="105" spans="1:21" x14ac:dyDescent="0.2">
      <c r="A105" s="369" t="str">
        <f>'PA-Détails'!A1942</f>
        <v>3.6.1 Harmonisation des outils de suivi et d'évaluation des apprenants</v>
      </c>
      <c r="B105" s="446"/>
      <c r="C105" s="386" t="str">
        <f>'PA-Détails'!C1942</f>
        <v>Outils élaborés et opérationnels en 2017</v>
      </c>
      <c r="D105" s="168">
        <f>'PA-Détails'!D1942</f>
        <v>11</v>
      </c>
      <c r="E105" s="168">
        <f>'PA-Détails'!E1942</f>
        <v>0</v>
      </c>
      <c r="F105" s="168">
        <f>'PA-Détails'!F1942</f>
        <v>0</v>
      </c>
      <c r="G105" s="168">
        <f>'PA-Détails'!G1942</f>
        <v>0</v>
      </c>
      <c r="H105" s="168">
        <f>'PA-Détails'!H1942</f>
        <v>0</v>
      </c>
      <c r="I105" s="168">
        <f>'PA-Détails'!I1942</f>
        <v>11</v>
      </c>
      <c r="J105" s="447">
        <f>'PA-Détails'!J1942</f>
        <v>0</v>
      </c>
      <c r="K105" s="36">
        <f>'PA-Détails'!K1942</f>
        <v>0</v>
      </c>
      <c r="L105" s="36">
        <f>'PA-Détails'!L1942</f>
        <v>11000</v>
      </c>
      <c r="M105" s="36">
        <f>'PA-Détails'!M1942</f>
        <v>0</v>
      </c>
      <c r="N105" s="36">
        <f>'PA-Détails'!N1942</f>
        <v>0</v>
      </c>
      <c r="O105" s="36">
        <f>'PA-Détails'!O1942</f>
        <v>0</v>
      </c>
      <c r="P105" s="36">
        <f>'PA-Détails'!P1942</f>
        <v>0</v>
      </c>
      <c r="Q105" s="429">
        <f>'PA-Détails'!Q1942</f>
        <v>11000</v>
      </c>
      <c r="R105" s="570"/>
      <c r="S105" s="594">
        <f>'PA-Détails'!S1942</f>
        <v>0</v>
      </c>
      <c r="T105" s="595">
        <f>'PA-Détails'!T1942</f>
        <v>0</v>
      </c>
      <c r="U105" s="586">
        <f>'PA-Détails'!T1942</f>
        <v>0</v>
      </c>
    </row>
    <row r="106" spans="1:21" x14ac:dyDescent="0.2">
      <c r="A106" s="369" t="str">
        <f>'PA-Détails'!A1944</f>
        <v>3.6.2 Document de certification, en concertation avec les parties concernées</v>
      </c>
      <c r="B106" s="446"/>
      <c r="C106" s="386" t="str">
        <f>'PA-Détails'!C1944</f>
        <v>Un document de certification opérationnel en 2017</v>
      </c>
      <c r="D106" s="168">
        <f>'PA-Détails'!D1944</f>
        <v>11</v>
      </c>
      <c r="E106" s="168">
        <f>'PA-Détails'!E1944</f>
        <v>0</v>
      </c>
      <c r="F106" s="168">
        <f>'PA-Détails'!F1944</f>
        <v>0</v>
      </c>
      <c r="G106" s="168">
        <f>'PA-Détails'!G1944</f>
        <v>0</v>
      </c>
      <c r="H106" s="168">
        <f>'PA-Détails'!H1944</f>
        <v>0</v>
      </c>
      <c r="I106" s="168">
        <f>'PA-Détails'!I1944</f>
        <v>11</v>
      </c>
      <c r="J106" s="447">
        <f>'PA-Détails'!J1944</f>
        <v>0</v>
      </c>
      <c r="K106" s="36">
        <f>'PA-Détails'!K1944</f>
        <v>0</v>
      </c>
      <c r="L106" s="36">
        <f>'PA-Détails'!L1944</f>
        <v>11000</v>
      </c>
      <c r="M106" s="36">
        <f>'PA-Détails'!M1944</f>
        <v>0</v>
      </c>
      <c r="N106" s="36">
        <f>'PA-Détails'!N1944</f>
        <v>0</v>
      </c>
      <c r="O106" s="36">
        <f>'PA-Détails'!O1944</f>
        <v>0</v>
      </c>
      <c r="P106" s="36">
        <f>'PA-Détails'!P1944</f>
        <v>0</v>
      </c>
      <c r="Q106" s="429">
        <f>'PA-Détails'!Q1944</f>
        <v>11000</v>
      </c>
      <c r="R106" s="570"/>
      <c r="S106" s="594">
        <f>'PA-Détails'!S1944</f>
        <v>0</v>
      </c>
      <c r="T106" s="595">
        <f>'PA-Détails'!T1944</f>
        <v>0</v>
      </c>
      <c r="U106" s="586">
        <f>'PA-Détails'!T1944</f>
        <v>0</v>
      </c>
    </row>
    <row r="107" spans="1:21" x14ac:dyDescent="0.2">
      <c r="A107" s="369" t="str">
        <f>'PA-Détails'!A1946</f>
        <v>3.6.3 Formation des inspecteurs aux outils de suivi et d'évaluation aux documents de certification</v>
      </c>
      <c r="B107" s="446"/>
      <c r="C107" s="386" t="str">
        <f>'PA-Détails'!C1946</f>
        <v>Modules de formation mis au point en 2017</v>
      </c>
      <c r="D107" s="168">
        <f>'PA-Détails'!D1946</f>
        <v>0</v>
      </c>
      <c r="E107" s="168">
        <f>'PA-Détails'!E1946</f>
        <v>277.2</v>
      </c>
      <c r="F107" s="168">
        <f>'PA-Détails'!F1946</f>
        <v>277.2</v>
      </c>
      <c r="G107" s="168">
        <f>'PA-Détails'!G1946</f>
        <v>0</v>
      </c>
      <c r="H107" s="168">
        <f>'PA-Détails'!H1946</f>
        <v>0</v>
      </c>
      <c r="I107" s="168">
        <f>'PA-Détails'!I1946</f>
        <v>554.4</v>
      </c>
      <c r="J107" s="447">
        <f>'PA-Détails'!J1946</f>
        <v>0</v>
      </c>
      <c r="K107" s="36">
        <f>'PA-Détails'!K1946</f>
        <v>0</v>
      </c>
      <c r="L107" s="36">
        <f>'PA-Détails'!L1946</f>
        <v>0</v>
      </c>
      <c r="M107" s="36">
        <f>'PA-Détails'!M1946</f>
        <v>277200</v>
      </c>
      <c r="N107" s="36">
        <f>'PA-Détails'!N1946</f>
        <v>277200</v>
      </c>
      <c r="O107" s="36">
        <f>'PA-Détails'!O1946</f>
        <v>0</v>
      </c>
      <c r="P107" s="36">
        <f>'PA-Détails'!P1946</f>
        <v>0</v>
      </c>
      <c r="Q107" s="429">
        <f>'PA-Détails'!Q1946</f>
        <v>554400</v>
      </c>
      <c r="R107" s="570"/>
      <c r="S107" s="594">
        <f>'PA-Détails'!S1946</f>
        <v>0</v>
      </c>
      <c r="T107" s="595">
        <f>'PA-Détails'!T1946</f>
        <v>0</v>
      </c>
      <c r="U107" s="586">
        <f>'PA-Détails'!T1946</f>
        <v>0</v>
      </c>
    </row>
    <row r="108" spans="1:21" x14ac:dyDescent="0.2">
      <c r="A108" s="368" t="str">
        <f>'PA-Détails'!A1949</f>
        <v>3.7 Formation et rémunération des animateurs : former les enseignants et assurer leur rémunération</v>
      </c>
      <c r="B108" s="444"/>
      <c r="C108" s="385">
        <f>'PA-Détails'!C1949</f>
        <v>0</v>
      </c>
      <c r="D108" s="217">
        <f>'PA-Détails'!D1949</f>
        <v>9456.1780159834252</v>
      </c>
      <c r="E108" s="217">
        <f>'PA-Détails'!E1949</f>
        <v>9223.832872319972</v>
      </c>
      <c r="F108" s="217">
        <f>'PA-Détails'!F1949</f>
        <v>10434.144047269217</v>
      </c>
      <c r="G108" s="217">
        <f>'PA-Détails'!G1949</f>
        <v>10124.819302845683</v>
      </c>
      <c r="H108" s="217">
        <f>'PA-Détails'!H1949</f>
        <v>11177.679711646975</v>
      </c>
      <c r="I108" s="217">
        <f>'PA-Détails'!I1949</f>
        <v>50416.653950065273</v>
      </c>
      <c r="J108" s="449">
        <f>'PA-Détails'!J1949</f>
        <v>0</v>
      </c>
      <c r="K108" s="32">
        <f>'PA-Détails'!K1949</f>
        <v>0</v>
      </c>
      <c r="L108" s="32">
        <f>'PA-Détails'!L1949</f>
        <v>9456178.0159834251</v>
      </c>
      <c r="M108" s="32">
        <f>'PA-Détails'!M1949</f>
        <v>9223832.8723199721</v>
      </c>
      <c r="N108" s="32">
        <f>'PA-Détails'!N1949</f>
        <v>10434144.047269218</v>
      </c>
      <c r="O108" s="32">
        <f>'PA-Détails'!O1949</f>
        <v>10124819.302845683</v>
      </c>
      <c r="P108" s="32">
        <f>'PA-Détails'!P1949</f>
        <v>11177679.711646976</v>
      </c>
      <c r="Q108" s="428">
        <f>'PA-Détails'!Q1949</f>
        <v>50416653.95006527</v>
      </c>
      <c r="R108" s="570"/>
      <c r="S108" s="592">
        <f>'PA-Détails'!S1949</f>
        <v>0</v>
      </c>
      <c r="T108" s="593">
        <f>'PA-Détails'!T1949</f>
        <v>0</v>
      </c>
      <c r="U108" s="588">
        <f>'PA-Détails'!T1949</f>
        <v>0</v>
      </c>
    </row>
    <row r="109" spans="1:21" x14ac:dyDescent="0.2">
      <c r="A109" s="369" t="str">
        <f>'PA-Détails'!A1950</f>
        <v>3.7.1 Actualisation des modules de formation</v>
      </c>
      <c r="B109" s="446"/>
      <c r="C109" s="386" t="str">
        <f>'PA-Détails'!C1950</f>
        <v>Tous les enseignants reçoivent une semaine de formation tous les deux ans</v>
      </c>
      <c r="D109" s="168">
        <f>'PA-Détails'!D1950</f>
        <v>20</v>
      </c>
      <c r="E109" s="168">
        <f>'PA-Détails'!E1950</f>
        <v>10</v>
      </c>
      <c r="F109" s="168">
        <f>'PA-Détails'!F1950</f>
        <v>0</v>
      </c>
      <c r="G109" s="168">
        <f>'PA-Détails'!G1950</f>
        <v>0</v>
      </c>
      <c r="H109" s="168">
        <f>'PA-Détails'!H1950</f>
        <v>0</v>
      </c>
      <c r="I109" s="168">
        <f>'PA-Détails'!I1950</f>
        <v>30</v>
      </c>
      <c r="J109" s="447">
        <f>'PA-Détails'!J1950</f>
        <v>0</v>
      </c>
      <c r="K109" s="36">
        <f>'PA-Détails'!K1950</f>
        <v>0</v>
      </c>
      <c r="L109" s="36">
        <f>'PA-Détails'!L1950</f>
        <v>20000</v>
      </c>
      <c r="M109" s="36">
        <f>'PA-Détails'!M1950</f>
        <v>10000</v>
      </c>
      <c r="N109" s="36">
        <f>'PA-Détails'!N1950</f>
        <v>0</v>
      </c>
      <c r="O109" s="36">
        <f>'PA-Détails'!O1950</f>
        <v>0</v>
      </c>
      <c r="P109" s="36">
        <f>'PA-Détails'!P1950</f>
        <v>0</v>
      </c>
      <c r="Q109" s="429">
        <f>'PA-Détails'!Q1950</f>
        <v>30000</v>
      </c>
      <c r="R109" s="570"/>
      <c r="S109" s="594">
        <f>'PA-Détails'!S1950</f>
        <v>0</v>
      </c>
      <c r="T109" s="595">
        <f>'PA-Détails'!T1950</f>
        <v>2</v>
      </c>
      <c r="U109" s="586">
        <f>'PA-Détails'!T1950</f>
        <v>2</v>
      </c>
    </row>
    <row r="110" spans="1:21" x14ac:dyDescent="0.2">
      <c r="A110" s="369" t="str">
        <f>'PA-Détails'!A1954</f>
        <v>3.7.2 Formation des éducateurs sociaux</v>
      </c>
      <c r="B110" s="446"/>
      <c r="C110" s="386" t="str">
        <f>'PA-Détails'!C1954</f>
        <v>Tous les enseignants reçoivent une semaine de formation tous les deux ans</v>
      </c>
      <c r="D110" s="168">
        <f>'PA-Détails'!D1954</f>
        <v>726</v>
      </c>
      <c r="E110" s="168">
        <f>'PA-Détails'!E1954</f>
        <v>0</v>
      </c>
      <c r="F110" s="168">
        <f>'PA-Détails'!F1954</f>
        <v>726</v>
      </c>
      <c r="G110" s="168">
        <f>'PA-Détails'!G1954</f>
        <v>0</v>
      </c>
      <c r="H110" s="168">
        <f>'PA-Détails'!H1954</f>
        <v>726</v>
      </c>
      <c r="I110" s="168">
        <f>'PA-Détails'!I1954</f>
        <v>2178</v>
      </c>
      <c r="J110" s="447">
        <f>'PA-Détails'!J1954</f>
        <v>0</v>
      </c>
      <c r="K110" s="36">
        <f>'PA-Détails'!K1954</f>
        <v>0</v>
      </c>
      <c r="L110" s="36">
        <f>'PA-Détails'!L1954</f>
        <v>726000</v>
      </c>
      <c r="M110" s="36">
        <f>'PA-Détails'!M1954</f>
        <v>0</v>
      </c>
      <c r="N110" s="36">
        <f>'PA-Détails'!N1954</f>
        <v>726000</v>
      </c>
      <c r="O110" s="36">
        <f>'PA-Détails'!O1954</f>
        <v>0</v>
      </c>
      <c r="P110" s="36">
        <f>'PA-Détails'!P1954</f>
        <v>726000</v>
      </c>
      <c r="Q110" s="429">
        <f>'PA-Détails'!Q1954</f>
        <v>2178000</v>
      </c>
      <c r="R110" s="570"/>
      <c r="S110" s="591">
        <f>'PA-Détails'!S1954</f>
        <v>0</v>
      </c>
      <c r="T110" s="595">
        <f>'PA-Détails'!T1954</f>
        <v>2</v>
      </c>
      <c r="U110" s="586">
        <f>'PA-Détails'!T1954</f>
        <v>2</v>
      </c>
    </row>
    <row r="111" spans="1:21" x14ac:dyDescent="0.2">
      <c r="A111" s="369" t="str">
        <f>'PA-Détails'!A1956</f>
        <v>3.7.3 Rémunérer les enseignants</v>
      </c>
      <c r="B111" s="446"/>
      <c r="C111" s="386" t="str">
        <f>'PA-Détails'!C1956</f>
        <v>Tous les enseignants reçoivent une semaine de formation tous les deux ans</v>
      </c>
      <c r="D111" s="168">
        <f>'PA-Détails'!D1956</f>
        <v>8710.1780159834252</v>
      </c>
      <c r="E111" s="168">
        <f>'PA-Détails'!E1956</f>
        <v>9213.832872319972</v>
      </c>
      <c r="F111" s="168">
        <f>'PA-Détails'!F1956</f>
        <v>9708.1440472692175</v>
      </c>
      <c r="G111" s="168">
        <f>'PA-Détails'!G1956</f>
        <v>10124.819302845683</v>
      </c>
      <c r="H111" s="168">
        <f>'PA-Détails'!H1956</f>
        <v>10451.679711646975</v>
      </c>
      <c r="I111" s="168">
        <f>'PA-Détails'!I1956</f>
        <v>48208.653950065273</v>
      </c>
      <c r="J111" s="447">
        <f>'PA-Détails'!J1956</f>
        <v>0</v>
      </c>
      <c r="K111" s="36">
        <f>'PA-Détails'!K1956</f>
        <v>0</v>
      </c>
      <c r="L111" s="36">
        <f>'PA-Détails'!L1956</f>
        <v>8710178.0159834251</v>
      </c>
      <c r="M111" s="36">
        <f>'PA-Détails'!M1956</f>
        <v>9213832.8723199721</v>
      </c>
      <c r="N111" s="36">
        <f>'PA-Détails'!N1956</f>
        <v>9708144.0472692177</v>
      </c>
      <c r="O111" s="36">
        <f>'PA-Détails'!O1956</f>
        <v>10124819.302845683</v>
      </c>
      <c r="P111" s="36">
        <f>'PA-Détails'!P1956</f>
        <v>10451679.711646976</v>
      </c>
      <c r="Q111" s="429">
        <f>'PA-Détails'!Q1956</f>
        <v>48208653.95006527</v>
      </c>
      <c r="R111" s="570"/>
      <c r="S111" s="591">
        <f>'PA-Détails'!S1956</f>
        <v>0</v>
      </c>
      <c r="T111" s="595">
        <f>'PA-Détails'!T1956</f>
        <v>1</v>
      </c>
      <c r="U111" s="586">
        <f>'PA-Détails'!T1956</f>
        <v>1</v>
      </c>
    </row>
    <row r="112" spans="1:21" x14ac:dyDescent="0.2">
      <c r="A112" s="368" t="str">
        <f>'PA-Détails'!A1958</f>
        <v>3.8. Organes de conseil et coordination : dynamiser les instances de conseil et de coordination</v>
      </c>
      <c r="B112" s="444"/>
      <c r="C112" s="385">
        <f>'PA-Détails'!C1958</f>
        <v>0</v>
      </c>
      <c r="D112" s="217">
        <f>'PA-Détails'!D1958</f>
        <v>14</v>
      </c>
      <c r="E112" s="217">
        <f>'PA-Détails'!E1958</f>
        <v>14</v>
      </c>
      <c r="F112" s="217">
        <f>'PA-Détails'!F1958</f>
        <v>14</v>
      </c>
      <c r="G112" s="217">
        <f>'PA-Détails'!G1958</f>
        <v>14</v>
      </c>
      <c r="H112" s="217">
        <f>'PA-Détails'!H1958</f>
        <v>14</v>
      </c>
      <c r="I112" s="217">
        <f>'PA-Détails'!I1958</f>
        <v>70</v>
      </c>
      <c r="J112" s="449">
        <f>'PA-Détails'!J1958</f>
        <v>0</v>
      </c>
      <c r="K112" s="32">
        <f>'PA-Détails'!K1958</f>
        <v>0</v>
      </c>
      <c r="L112" s="32">
        <f>'PA-Détails'!L1958</f>
        <v>14000</v>
      </c>
      <c r="M112" s="32">
        <f>'PA-Détails'!M1958</f>
        <v>14000</v>
      </c>
      <c r="N112" s="32">
        <f>'PA-Détails'!N1958</f>
        <v>14000</v>
      </c>
      <c r="O112" s="32">
        <f>'PA-Détails'!O1958</f>
        <v>14000</v>
      </c>
      <c r="P112" s="32">
        <f>'PA-Détails'!P1958</f>
        <v>14000</v>
      </c>
      <c r="Q112" s="428">
        <f>'PA-Détails'!Q1958</f>
        <v>70000</v>
      </c>
      <c r="R112" s="570"/>
      <c r="S112" s="590">
        <f>'PA-Détails'!S1958</f>
        <v>0</v>
      </c>
      <c r="T112" s="596">
        <f>'PA-Détails'!T1958</f>
        <v>3</v>
      </c>
      <c r="U112" s="583">
        <f>'PA-Détails'!T1958</f>
        <v>3</v>
      </c>
    </row>
    <row r="113" spans="1:21" x14ac:dyDescent="0.2">
      <c r="A113" s="369" t="str">
        <f>'PA-Détails'!A1959</f>
        <v>3.8.1 Réunions du Comité de Concertation COMCON</v>
      </c>
      <c r="B113" s="446"/>
      <c r="C113" s="386" t="str">
        <f>'PA-Détails'!C1959</f>
        <v>Les instances de conseil et de coordination se réunissent de manière régulière</v>
      </c>
      <c r="D113" s="168">
        <f>'PA-Détails'!D1959</f>
        <v>14</v>
      </c>
      <c r="E113" s="168">
        <f>'PA-Détails'!E1959</f>
        <v>14</v>
      </c>
      <c r="F113" s="168">
        <f>'PA-Détails'!F1959</f>
        <v>14</v>
      </c>
      <c r="G113" s="168">
        <f>'PA-Détails'!G1959</f>
        <v>14</v>
      </c>
      <c r="H113" s="168">
        <f>'PA-Détails'!H1959</f>
        <v>14</v>
      </c>
      <c r="I113" s="168">
        <f>'PA-Détails'!I1959</f>
        <v>70</v>
      </c>
      <c r="J113" s="447">
        <f>'PA-Détails'!J1959</f>
        <v>0</v>
      </c>
      <c r="K113" s="36">
        <f>'PA-Détails'!K1959</f>
        <v>0</v>
      </c>
      <c r="L113" s="36">
        <f>'PA-Détails'!L1959</f>
        <v>14000</v>
      </c>
      <c r="M113" s="36">
        <f>'PA-Détails'!M1959</f>
        <v>14000</v>
      </c>
      <c r="N113" s="36">
        <f>'PA-Détails'!N1959</f>
        <v>14000</v>
      </c>
      <c r="O113" s="36">
        <f>'PA-Détails'!O1959</f>
        <v>14000</v>
      </c>
      <c r="P113" s="36">
        <f>'PA-Détails'!P1959</f>
        <v>14000</v>
      </c>
      <c r="Q113" s="429">
        <f>'PA-Détails'!Q1959</f>
        <v>70000</v>
      </c>
      <c r="R113" s="570"/>
      <c r="S113" s="591">
        <f>'PA-Détails'!S1959</f>
        <v>0</v>
      </c>
      <c r="T113" s="597">
        <f>'PA-Détails'!T1959</f>
        <v>0</v>
      </c>
      <c r="U113" s="586">
        <f>'PA-Détails'!T1959</f>
        <v>0</v>
      </c>
    </row>
    <row r="114" spans="1:21" x14ac:dyDescent="0.2">
      <c r="A114" s="368" t="str">
        <f>'PA-Détails'!A1961</f>
        <v>3.9. DGENF et structures déconcentrées : opérationnaliser les structures de supervision et de pilotage de l'AENF</v>
      </c>
      <c r="B114" s="444"/>
      <c r="C114" s="385">
        <f>'PA-Détails'!C1961</f>
        <v>0</v>
      </c>
      <c r="D114" s="217">
        <f>'PA-Détails'!D1961</f>
        <v>20</v>
      </c>
      <c r="E114" s="217">
        <f>'PA-Détails'!E1961</f>
        <v>245.74</v>
      </c>
      <c r="F114" s="217">
        <f>'PA-Détails'!F1961</f>
        <v>186.11</v>
      </c>
      <c r="G114" s="217">
        <f>'PA-Détails'!G1961</f>
        <v>58.48</v>
      </c>
      <c r="H114" s="217">
        <f>'PA-Détails'!H1961</f>
        <v>58.85</v>
      </c>
      <c r="I114" s="217">
        <f>'PA-Détails'!I1961</f>
        <v>569.17999999999995</v>
      </c>
      <c r="J114" s="449">
        <f>'PA-Détails'!J1961</f>
        <v>0</v>
      </c>
      <c r="K114" s="32">
        <f>'PA-Détails'!K1961</f>
        <v>0</v>
      </c>
      <c r="L114" s="32">
        <f>'PA-Détails'!L1961</f>
        <v>20000</v>
      </c>
      <c r="M114" s="32">
        <f>'PA-Détails'!M1961</f>
        <v>245740</v>
      </c>
      <c r="N114" s="32">
        <f>'PA-Détails'!N1961</f>
        <v>186110</v>
      </c>
      <c r="O114" s="32">
        <f>'PA-Détails'!O1961</f>
        <v>58480</v>
      </c>
      <c r="P114" s="32">
        <f>'PA-Détails'!P1961</f>
        <v>58850</v>
      </c>
      <c r="Q114" s="428">
        <f>'PA-Détails'!Q1961</f>
        <v>569180</v>
      </c>
      <c r="R114" s="570"/>
      <c r="S114" s="590">
        <f>'PA-Détails'!S1961</f>
        <v>0</v>
      </c>
      <c r="T114" s="596">
        <f>'PA-Détails'!T1961</f>
        <v>3</v>
      </c>
      <c r="U114" s="583">
        <f>'PA-Détails'!T1961</f>
        <v>3</v>
      </c>
    </row>
    <row r="115" spans="1:21" x14ac:dyDescent="0.2">
      <c r="A115" s="369" t="str">
        <f>'PA-Détails'!A1962</f>
        <v>3.9.1 Structure et organigramme de la DGENF et des divisions provinciales</v>
      </c>
      <c r="B115" s="446"/>
      <c r="C115" s="386">
        <f>'PA-Détails'!C1962</f>
        <v>0</v>
      </c>
      <c r="D115" s="168">
        <f>'PA-Détails'!D1962</f>
        <v>11.5</v>
      </c>
      <c r="E115" s="168">
        <f>'PA-Détails'!E1962</f>
        <v>0</v>
      </c>
      <c r="F115" s="168">
        <f>'PA-Détails'!F1962</f>
        <v>0</v>
      </c>
      <c r="G115" s="168">
        <f>'PA-Détails'!G1962</f>
        <v>0</v>
      </c>
      <c r="H115" s="168">
        <f>'PA-Détails'!H1962</f>
        <v>0</v>
      </c>
      <c r="I115" s="168">
        <f>'PA-Détails'!I1962</f>
        <v>11.5</v>
      </c>
      <c r="J115" s="447">
        <f>'PA-Détails'!J1962</f>
        <v>0</v>
      </c>
      <c r="K115" s="36">
        <f>'PA-Détails'!K1962</f>
        <v>0</v>
      </c>
      <c r="L115" s="36">
        <f>'PA-Détails'!L1962</f>
        <v>11500</v>
      </c>
      <c r="M115" s="36">
        <f>'PA-Détails'!M1962</f>
        <v>0</v>
      </c>
      <c r="N115" s="36">
        <f>'PA-Détails'!N1962</f>
        <v>0</v>
      </c>
      <c r="O115" s="36">
        <f>'PA-Détails'!O1962</f>
        <v>0</v>
      </c>
      <c r="P115" s="36">
        <f>'PA-Détails'!P1962</f>
        <v>0</v>
      </c>
      <c r="Q115" s="429">
        <f>'PA-Détails'!Q1962</f>
        <v>11500</v>
      </c>
      <c r="R115" s="570"/>
      <c r="S115" s="591">
        <f>'PA-Détails'!S1962</f>
        <v>0</v>
      </c>
      <c r="T115" s="597">
        <f>'PA-Détails'!T1962</f>
        <v>0</v>
      </c>
      <c r="U115" s="586">
        <f>'PA-Détails'!T1962</f>
        <v>0</v>
      </c>
    </row>
    <row r="116" spans="1:21" x14ac:dyDescent="0.2">
      <c r="A116" s="369" t="str">
        <f>'PA-Détails'!A1964</f>
        <v>3.9.2 Moyens de la DGENF et des structures déconcentrées</v>
      </c>
      <c r="B116" s="446"/>
      <c r="C116" s="386">
        <f>'PA-Détails'!C1964</f>
        <v>0</v>
      </c>
      <c r="D116" s="168">
        <f>'PA-Détails'!D1964</f>
        <v>0</v>
      </c>
      <c r="E116" s="168">
        <f>'PA-Détails'!E1964</f>
        <v>195.74</v>
      </c>
      <c r="F116" s="168">
        <f>'PA-Détails'!F1964</f>
        <v>166.11</v>
      </c>
      <c r="G116" s="168">
        <f>'PA-Détails'!G1964</f>
        <v>38.479999999999997</v>
      </c>
      <c r="H116" s="168">
        <f>'PA-Détails'!H1964</f>
        <v>38.85</v>
      </c>
      <c r="I116" s="168">
        <f>'PA-Détails'!I1964</f>
        <v>439.18</v>
      </c>
      <c r="J116" s="447">
        <f>'PA-Détails'!J1964</f>
        <v>0</v>
      </c>
      <c r="K116" s="36">
        <f>'PA-Détails'!K1964</f>
        <v>0</v>
      </c>
      <c r="L116" s="36">
        <f>'PA-Détails'!L1964</f>
        <v>0</v>
      </c>
      <c r="M116" s="36">
        <f>'PA-Détails'!M1964</f>
        <v>195740</v>
      </c>
      <c r="N116" s="36">
        <f>'PA-Détails'!N1964</f>
        <v>166110</v>
      </c>
      <c r="O116" s="36">
        <f>'PA-Détails'!O1964</f>
        <v>38480</v>
      </c>
      <c r="P116" s="36">
        <f>'PA-Détails'!P1964</f>
        <v>38850</v>
      </c>
      <c r="Q116" s="429">
        <f>'PA-Détails'!Q1964</f>
        <v>439180</v>
      </c>
      <c r="R116" s="570"/>
      <c r="S116" s="591">
        <f>'PA-Détails'!S1964</f>
        <v>0</v>
      </c>
      <c r="T116" s="597">
        <f>'PA-Détails'!T1964</f>
        <v>0</v>
      </c>
      <c r="U116" s="586">
        <f>'PA-Détails'!T1964</f>
        <v>0</v>
      </c>
    </row>
    <row r="117" spans="1:21" x14ac:dyDescent="0.2">
      <c r="A117" s="369" t="str">
        <f>'PA-Détails'!A1967</f>
        <v>3.9.3 Transformation du Service polyvalent et d'éducation permanente en Centre de ressources</v>
      </c>
      <c r="B117" s="446"/>
      <c r="C117" s="386" t="str">
        <f>'PA-Détails'!C1967</f>
        <v>Le centre de ressources est opérationnel en 2018</v>
      </c>
      <c r="D117" s="168">
        <f>'PA-Détails'!D1967</f>
        <v>8.5</v>
      </c>
      <c r="E117" s="168">
        <f>'PA-Détails'!E1967</f>
        <v>50</v>
      </c>
      <c r="F117" s="168">
        <f>'PA-Détails'!F1967</f>
        <v>20</v>
      </c>
      <c r="G117" s="168">
        <f>'PA-Détails'!G1967</f>
        <v>20</v>
      </c>
      <c r="H117" s="168">
        <f>'PA-Détails'!H1967</f>
        <v>20</v>
      </c>
      <c r="I117" s="168">
        <f>'PA-Détails'!I1967</f>
        <v>118.5</v>
      </c>
      <c r="J117" s="447">
        <f>'PA-Détails'!J1967</f>
        <v>0</v>
      </c>
      <c r="K117" s="36">
        <f>'PA-Détails'!K1967</f>
        <v>0</v>
      </c>
      <c r="L117" s="36">
        <f>'PA-Détails'!L1967</f>
        <v>8500</v>
      </c>
      <c r="M117" s="36">
        <f>'PA-Détails'!M1967</f>
        <v>50000</v>
      </c>
      <c r="N117" s="36">
        <f>'PA-Détails'!N1967</f>
        <v>20000</v>
      </c>
      <c r="O117" s="36">
        <f>'PA-Détails'!O1967</f>
        <v>20000</v>
      </c>
      <c r="P117" s="36">
        <f>'PA-Détails'!P1967</f>
        <v>20000</v>
      </c>
      <c r="Q117" s="429">
        <f>'PA-Détails'!Q1967</f>
        <v>118500</v>
      </c>
      <c r="R117" s="570"/>
      <c r="S117" s="591">
        <f>'PA-Détails'!S1967</f>
        <v>0</v>
      </c>
      <c r="T117" s="597">
        <f>'PA-Détails'!T1967</f>
        <v>0</v>
      </c>
      <c r="U117" s="586">
        <f>'PA-Détails'!T1967</f>
        <v>0</v>
      </c>
    </row>
    <row r="118" spans="1:21" x14ac:dyDescent="0.2">
      <c r="A118" s="368" t="str">
        <f>'PA-Détails'!A1970</f>
        <v>3.10 Supervision et inspection : assurer l'encadrement pédagogique des centres</v>
      </c>
      <c r="B118" s="444"/>
      <c r="C118" s="385">
        <f>'PA-Détails'!C1970</f>
        <v>0</v>
      </c>
      <c r="D118" s="217">
        <f>'PA-Détails'!D1970</f>
        <v>45.5</v>
      </c>
      <c r="E118" s="217">
        <f>'PA-Détails'!E1970</f>
        <v>45.5</v>
      </c>
      <c r="F118" s="217">
        <f>'PA-Détails'!F1970</f>
        <v>31.2</v>
      </c>
      <c r="G118" s="217">
        <f>'PA-Détails'!G1970</f>
        <v>31.2</v>
      </c>
      <c r="H118" s="217">
        <f>'PA-Détails'!H1970</f>
        <v>31.2</v>
      </c>
      <c r="I118" s="217">
        <f>'PA-Détails'!I1970</f>
        <v>184.6</v>
      </c>
      <c r="J118" s="449">
        <f>'PA-Détails'!J1970</f>
        <v>0</v>
      </c>
      <c r="K118" s="32">
        <f>'PA-Détails'!K1970</f>
        <v>0</v>
      </c>
      <c r="L118" s="32">
        <f>'PA-Détails'!L1970</f>
        <v>45500</v>
      </c>
      <c r="M118" s="32">
        <f>'PA-Détails'!M1970</f>
        <v>45500</v>
      </c>
      <c r="N118" s="32">
        <f>'PA-Détails'!N1970</f>
        <v>31200</v>
      </c>
      <c r="O118" s="32">
        <f>'PA-Détails'!O1970</f>
        <v>31200</v>
      </c>
      <c r="P118" s="32">
        <f>'PA-Détails'!P1970</f>
        <v>31200</v>
      </c>
      <c r="Q118" s="428">
        <f>'PA-Détails'!Q1970</f>
        <v>184600</v>
      </c>
      <c r="R118" s="570"/>
      <c r="S118" s="590">
        <f>'PA-Détails'!S1970</f>
        <v>0</v>
      </c>
      <c r="T118" s="596">
        <f>'PA-Détails'!T1970</f>
        <v>3</v>
      </c>
      <c r="U118" s="583">
        <f>'PA-Détails'!T1970</f>
        <v>3</v>
      </c>
    </row>
    <row r="119" spans="1:21" x14ac:dyDescent="0.2">
      <c r="A119" s="369" t="str">
        <f>'PA-Détails'!A1971</f>
        <v>3.10.1 Encadrement de proximité par les inspecteurs du primaire</v>
      </c>
      <c r="B119" s="446"/>
      <c r="C119" s="386">
        <f>'PA-Détails'!C1971</f>
        <v>0</v>
      </c>
      <c r="D119" s="168">
        <f>'PA-Détails'!D1971</f>
        <v>45.5</v>
      </c>
      <c r="E119" s="168">
        <f>'PA-Détails'!E1971</f>
        <v>45.5</v>
      </c>
      <c r="F119" s="168">
        <f>'PA-Détails'!F1971</f>
        <v>31.2</v>
      </c>
      <c r="G119" s="168">
        <f>'PA-Détails'!G1971</f>
        <v>31.2</v>
      </c>
      <c r="H119" s="168">
        <f>'PA-Détails'!H1971</f>
        <v>31.2</v>
      </c>
      <c r="I119" s="168">
        <f>'PA-Détails'!I1971</f>
        <v>184.6</v>
      </c>
      <c r="J119" s="447">
        <f>'PA-Détails'!J1971</f>
        <v>0</v>
      </c>
      <c r="K119" s="36">
        <f>'PA-Détails'!K1971</f>
        <v>0</v>
      </c>
      <c r="L119" s="36">
        <f>'PA-Détails'!L1971</f>
        <v>45500</v>
      </c>
      <c r="M119" s="36">
        <f>'PA-Détails'!M1971</f>
        <v>45500</v>
      </c>
      <c r="N119" s="36">
        <f>'PA-Détails'!N1971</f>
        <v>31200</v>
      </c>
      <c r="O119" s="36">
        <f>'PA-Détails'!O1971</f>
        <v>31200</v>
      </c>
      <c r="P119" s="36">
        <f>'PA-Détails'!P1971</f>
        <v>31200</v>
      </c>
      <c r="Q119" s="429">
        <f>'PA-Détails'!Q1971</f>
        <v>184600</v>
      </c>
      <c r="R119" s="570"/>
      <c r="S119" s="591">
        <f>'PA-Détails'!S1971</f>
        <v>0</v>
      </c>
      <c r="T119" s="597">
        <f>'PA-Détails'!T1971</f>
        <v>0</v>
      </c>
      <c r="U119" s="586">
        <f>'PA-Détails'!T1971</f>
        <v>0</v>
      </c>
    </row>
    <row r="120" spans="1:21" x14ac:dyDescent="0.2">
      <c r="A120" s="368" t="str">
        <f>'PA-Détails'!A1974</f>
        <v>3.11. Visibilité du sous-secteur : assurer la visibilité et la crédibilité du sous-secteur</v>
      </c>
      <c r="B120" s="444"/>
      <c r="C120" s="385">
        <f>'PA-Détails'!C1974</f>
        <v>0</v>
      </c>
      <c r="D120" s="217">
        <f>'PA-Détails'!D1974</f>
        <v>16.7</v>
      </c>
      <c r="E120" s="217">
        <f>'PA-Détails'!E1974</f>
        <v>72.8</v>
      </c>
      <c r="F120" s="217">
        <f>'PA-Détails'!F1974</f>
        <v>72.8</v>
      </c>
      <c r="G120" s="217">
        <f>'PA-Détails'!G1974</f>
        <v>72.8</v>
      </c>
      <c r="H120" s="217">
        <f>'PA-Détails'!H1974</f>
        <v>72.8</v>
      </c>
      <c r="I120" s="217">
        <f>'PA-Détails'!I1974</f>
        <v>307.89999999999998</v>
      </c>
      <c r="J120" s="449">
        <f>'PA-Détails'!J1974</f>
        <v>0</v>
      </c>
      <c r="K120" s="32">
        <f>'PA-Détails'!K1974</f>
        <v>0</v>
      </c>
      <c r="L120" s="32">
        <f>'PA-Détails'!L1974</f>
        <v>16700</v>
      </c>
      <c r="M120" s="32">
        <f>'PA-Détails'!M1974</f>
        <v>72800</v>
      </c>
      <c r="N120" s="32">
        <f>'PA-Détails'!N1974</f>
        <v>72800</v>
      </c>
      <c r="O120" s="32">
        <f>'PA-Détails'!O1974</f>
        <v>72800</v>
      </c>
      <c r="P120" s="32">
        <f>'PA-Détails'!P1974</f>
        <v>72800</v>
      </c>
      <c r="Q120" s="428">
        <f>'PA-Détails'!Q1974</f>
        <v>307900</v>
      </c>
      <c r="R120" s="570"/>
      <c r="S120" s="590">
        <f>'PA-Détails'!S1974</f>
        <v>0</v>
      </c>
      <c r="T120" s="596">
        <f>'PA-Détails'!T1974</f>
        <v>3</v>
      </c>
      <c r="U120" s="583">
        <f>'PA-Détails'!T1974</f>
        <v>3</v>
      </c>
    </row>
    <row r="121" spans="1:21" x14ac:dyDescent="0.2">
      <c r="A121" s="369" t="str">
        <f>'PA-Détails'!A1975</f>
        <v>3.11.1 Plan et actions de communication</v>
      </c>
      <c r="B121" s="446"/>
      <c r="C121" s="386">
        <f>'PA-Détails'!C1975</f>
        <v>0</v>
      </c>
      <c r="D121" s="168">
        <f>'PA-Détails'!D1975</f>
        <v>12.7</v>
      </c>
      <c r="E121" s="168">
        <f>'PA-Détails'!E1975</f>
        <v>71.8</v>
      </c>
      <c r="F121" s="168">
        <f>'PA-Détails'!F1975</f>
        <v>71.8</v>
      </c>
      <c r="G121" s="168">
        <f>'PA-Détails'!G1975</f>
        <v>71.8</v>
      </c>
      <c r="H121" s="168">
        <f>'PA-Détails'!H1975</f>
        <v>71.8</v>
      </c>
      <c r="I121" s="168">
        <f>'PA-Détails'!I1975</f>
        <v>299.89999999999998</v>
      </c>
      <c r="J121" s="447">
        <f>'PA-Détails'!J1975</f>
        <v>0</v>
      </c>
      <c r="K121" s="36">
        <f>'PA-Détails'!K1975</f>
        <v>0</v>
      </c>
      <c r="L121" s="36">
        <f>'PA-Détails'!L1975</f>
        <v>12700</v>
      </c>
      <c r="M121" s="36">
        <f>'PA-Détails'!M1975</f>
        <v>71800</v>
      </c>
      <c r="N121" s="36">
        <f>'PA-Détails'!N1975</f>
        <v>71800</v>
      </c>
      <c r="O121" s="36">
        <f>'PA-Détails'!O1975</f>
        <v>71800</v>
      </c>
      <c r="P121" s="36">
        <f>'PA-Détails'!P1975</f>
        <v>71800</v>
      </c>
      <c r="Q121" s="429">
        <f>'PA-Détails'!Q1975</f>
        <v>299900</v>
      </c>
      <c r="R121" s="570"/>
      <c r="S121" s="591">
        <f>'PA-Détails'!S1975</f>
        <v>0</v>
      </c>
      <c r="T121" s="597">
        <f>'PA-Détails'!T1975</f>
        <v>0</v>
      </c>
      <c r="U121" s="586">
        <f>'PA-Détails'!T1975</f>
        <v>0</v>
      </c>
    </row>
    <row r="122" spans="1:21" x14ac:dyDescent="0.2">
      <c r="A122" s="369" t="str">
        <f>'PA-Détails'!A1978</f>
        <v>3.11.2 Site web de l'AENF</v>
      </c>
      <c r="B122" s="446"/>
      <c r="C122" s="386" t="str">
        <f>'PA-Détails'!C1978</f>
        <v>Site Web opérationnel en 2017</v>
      </c>
      <c r="D122" s="168">
        <f>'PA-Détails'!D1978</f>
        <v>4</v>
      </c>
      <c r="E122" s="168">
        <f>'PA-Détails'!E1978</f>
        <v>1</v>
      </c>
      <c r="F122" s="168">
        <f>'PA-Détails'!F1978</f>
        <v>1</v>
      </c>
      <c r="G122" s="168">
        <f>'PA-Détails'!G1978</f>
        <v>1</v>
      </c>
      <c r="H122" s="168">
        <f>'PA-Détails'!H1978</f>
        <v>1</v>
      </c>
      <c r="I122" s="168">
        <f>'PA-Détails'!I1978</f>
        <v>8</v>
      </c>
      <c r="J122" s="447">
        <f>'PA-Détails'!J1978</f>
        <v>0</v>
      </c>
      <c r="K122" s="36">
        <f>'PA-Détails'!K1978</f>
        <v>0</v>
      </c>
      <c r="L122" s="36">
        <f>'PA-Détails'!L1978</f>
        <v>4000</v>
      </c>
      <c r="M122" s="36">
        <f>'PA-Détails'!M1978</f>
        <v>1000</v>
      </c>
      <c r="N122" s="36">
        <f>'PA-Détails'!N1978</f>
        <v>1000</v>
      </c>
      <c r="O122" s="36">
        <f>'PA-Détails'!O1978</f>
        <v>1000</v>
      </c>
      <c r="P122" s="36">
        <f>'PA-Détails'!P1978</f>
        <v>1000</v>
      </c>
      <c r="Q122" s="429">
        <f>'PA-Détails'!Q1978</f>
        <v>8000</v>
      </c>
      <c r="R122" s="570"/>
      <c r="S122" s="591">
        <f>'PA-Détails'!S1978</f>
        <v>0</v>
      </c>
      <c r="T122" s="597">
        <f>'PA-Détails'!T1978</f>
        <v>0</v>
      </c>
      <c r="U122" s="586">
        <f>'PA-Détails'!T1978</f>
        <v>0</v>
      </c>
    </row>
    <row r="123" spans="1:21" x14ac:dyDescent="0.2">
      <c r="A123" s="441" t="str">
        <f>'PA-Détails'!A1980</f>
        <v>4. Enseignement du premier cycle secondaire : développer l'accès au premier cycle et préparer l'éducation de base de 8 ans</v>
      </c>
      <c r="B123" s="442"/>
      <c r="C123" s="391">
        <f>'PA-Détails'!C1980</f>
        <v>0</v>
      </c>
      <c r="D123" s="339">
        <f>'PA-Détails'!D1980</f>
        <v>139466.76568139892</v>
      </c>
      <c r="E123" s="339">
        <f>'PA-Détails'!E1980</f>
        <v>154901.79507845867</v>
      </c>
      <c r="F123" s="339">
        <f>'PA-Détails'!F1980</f>
        <v>173486.11571463221</v>
      </c>
      <c r="G123" s="339">
        <f>'PA-Détails'!G1980</f>
        <v>204836.2659192103</v>
      </c>
      <c r="H123" s="339">
        <f>'PA-Détails'!H1980</f>
        <v>223015.02759026669</v>
      </c>
      <c r="I123" s="339">
        <f>'PA-Détails'!I1980</f>
        <v>895705.96998396679</v>
      </c>
      <c r="J123" s="451">
        <f>'PA-Détails'!J1980</f>
        <v>0</v>
      </c>
      <c r="K123" s="29">
        <f>'PA-Détails'!K1980</f>
        <v>0</v>
      </c>
      <c r="L123" s="29">
        <f>'PA-Détails'!L1980</f>
        <v>139466765.68139893</v>
      </c>
      <c r="M123" s="29">
        <f>'PA-Détails'!M1980</f>
        <v>154901795.07845867</v>
      </c>
      <c r="N123" s="29">
        <f>'PA-Détails'!N1980</f>
        <v>173486115.71463221</v>
      </c>
      <c r="O123" s="29">
        <f>'PA-Détails'!O1980</f>
        <v>204836265.91921031</v>
      </c>
      <c r="P123" s="29">
        <f>'PA-Détails'!P1980</f>
        <v>223015027.5902667</v>
      </c>
      <c r="Q123" s="430">
        <f>'PA-Détails'!Q1980</f>
        <v>895705969.98396683</v>
      </c>
      <c r="R123" s="570"/>
      <c r="S123" s="579">
        <f>'PA-Détails'!S1980</f>
        <v>0</v>
      </c>
      <c r="T123" s="589">
        <f>'PA-Détails'!T1980</f>
        <v>0</v>
      </c>
      <c r="U123" s="580">
        <f>'PA-Détails'!T1980</f>
        <v>0</v>
      </c>
    </row>
    <row r="124" spans="1:21" x14ac:dyDescent="0.2">
      <c r="A124" s="368" t="str">
        <f>'PA-Détails'!A1981</f>
        <v>4.1 Mise en place de l'éducation de base de 8 ans : déterminer les contenus, les finalités et le mode d’organisation de l'éducation de base étendue à 8 ans</v>
      </c>
      <c r="B124" s="444"/>
      <c r="C124" s="385">
        <f>'PA-Détails'!C1981</f>
        <v>0</v>
      </c>
      <c r="D124" s="217">
        <f>'PA-Détails'!D1981</f>
        <v>90.5</v>
      </c>
      <c r="E124" s="217">
        <f>'PA-Détails'!E1981</f>
        <v>81.5</v>
      </c>
      <c r="F124" s="217">
        <f>'PA-Détails'!F1981</f>
        <v>265.25</v>
      </c>
      <c r="G124" s="217">
        <f>'PA-Détails'!G1981</f>
        <v>0</v>
      </c>
      <c r="H124" s="217">
        <f>'PA-Détails'!H1981</f>
        <v>0</v>
      </c>
      <c r="I124" s="217">
        <f>'PA-Détails'!I1981</f>
        <v>437.25</v>
      </c>
      <c r="J124" s="449">
        <f>'PA-Détails'!J1981</f>
        <v>0</v>
      </c>
      <c r="K124" s="32">
        <f>'PA-Détails'!K1981</f>
        <v>0</v>
      </c>
      <c r="L124" s="32">
        <f>'PA-Détails'!L1981</f>
        <v>90500</v>
      </c>
      <c r="M124" s="32">
        <f>'PA-Détails'!M1981</f>
        <v>81500</v>
      </c>
      <c r="N124" s="32">
        <f>'PA-Détails'!N1981</f>
        <v>265250</v>
      </c>
      <c r="O124" s="32">
        <f>'PA-Détails'!O1981</f>
        <v>0</v>
      </c>
      <c r="P124" s="32">
        <f>'PA-Détails'!P1981</f>
        <v>0</v>
      </c>
      <c r="Q124" s="428">
        <f>'PA-Détails'!Q1981</f>
        <v>437250</v>
      </c>
      <c r="R124" s="570"/>
      <c r="S124" s="581">
        <f>'PA-Détails'!S1981</f>
        <v>0</v>
      </c>
      <c r="T124" s="582">
        <f>'PA-Détails'!T1981</f>
        <v>1</v>
      </c>
      <c r="U124" s="583">
        <f>'PA-Détails'!T1981</f>
        <v>1</v>
      </c>
    </row>
    <row r="125" spans="1:21" x14ac:dyDescent="0.2">
      <c r="A125" s="369" t="str">
        <f>'PA-Détails'!A1982</f>
        <v>4.1.1 Étude sur les compétences de base</v>
      </c>
      <c r="B125" s="446"/>
      <c r="C125" s="386" t="str">
        <f>'PA-Détails'!C1982</f>
        <v>Étude réalisée en 2016</v>
      </c>
      <c r="D125" s="168">
        <f>'PA-Détails'!D1982</f>
        <v>73.5</v>
      </c>
      <c r="E125" s="168">
        <f>'PA-Détails'!E1982</f>
        <v>0</v>
      </c>
      <c r="F125" s="168">
        <f>'PA-Détails'!F1982</f>
        <v>0</v>
      </c>
      <c r="G125" s="168">
        <f>'PA-Détails'!G1982</f>
        <v>0</v>
      </c>
      <c r="H125" s="168">
        <f>'PA-Détails'!H1982</f>
        <v>0</v>
      </c>
      <c r="I125" s="168">
        <f>'PA-Détails'!I1982</f>
        <v>73.5</v>
      </c>
      <c r="J125" s="447">
        <f>'PA-Détails'!J1982</f>
        <v>0</v>
      </c>
      <c r="K125" s="36">
        <f>'PA-Détails'!K1982</f>
        <v>0</v>
      </c>
      <c r="L125" s="36">
        <f>'PA-Détails'!L1982</f>
        <v>73500</v>
      </c>
      <c r="M125" s="36">
        <f>'PA-Détails'!M1982</f>
        <v>0</v>
      </c>
      <c r="N125" s="36">
        <f>'PA-Détails'!N1982</f>
        <v>0</v>
      </c>
      <c r="O125" s="36">
        <f>'PA-Détails'!O1982</f>
        <v>0</v>
      </c>
      <c r="P125" s="36">
        <f>'PA-Détails'!P1982</f>
        <v>0</v>
      </c>
      <c r="Q125" s="429">
        <f>'PA-Détails'!Q1982</f>
        <v>73500</v>
      </c>
      <c r="R125" s="570"/>
      <c r="S125" s="584">
        <f>'PA-Détails'!S1982</f>
        <v>0</v>
      </c>
      <c r="T125" s="585">
        <f>'PA-Détails'!T1982</f>
        <v>0</v>
      </c>
      <c r="U125" s="586">
        <f>'PA-Détails'!T1982</f>
        <v>0</v>
      </c>
    </row>
    <row r="126" spans="1:21" x14ac:dyDescent="0.2">
      <c r="A126" s="369" t="str">
        <f>'PA-Détails'!A1984</f>
        <v>4.1.2 Étude des profils d'enseignants nécessaires</v>
      </c>
      <c r="B126" s="446"/>
      <c r="C126" s="387" t="str">
        <f>'PA-Détails'!C1984</f>
        <v>Étude réalisée en 2016</v>
      </c>
      <c r="D126" s="168">
        <f>'PA-Détails'!D1984</f>
        <v>17</v>
      </c>
      <c r="E126" s="168">
        <f>'PA-Détails'!E1984</f>
        <v>0</v>
      </c>
      <c r="F126" s="168">
        <f>'PA-Détails'!F1984</f>
        <v>0</v>
      </c>
      <c r="G126" s="168">
        <f>'PA-Détails'!G1984</f>
        <v>0</v>
      </c>
      <c r="H126" s="168">
        <f>'PA-Détails'!H1984</f>
        <v>0</v>
      </c>
      <c r="I126" s="168">
        <f>'PA-Détails'!I1984</f>
        <v>17</v>
      </c>
      <c r="J126" s="447">
        <f>'PA-Détails'!J1984</f>
        <v>0</v>
      </c>
      <c r="K126" s="36">
        <f>'PA-Détails'!K1984</f>
        <v>0</v>
      </c>
      <c r="L126" s="36">
        <f>'PA-Détails'!L1984</f>
        <v>17000</v>
      </c>
      <c r="M126" s="36">
        <f>'PA-Détails'!M1984</f>
        <v>0</v>
      </c>
      <c r="N126" s="36">
        <f>'PA-Détails'!N1984</f>
        <v>0</v>
      </c>
      <c r="O126" s="36">
        <f>'PA-Détails'!O1984</f>
        <v>0</v>
      </c>
      <c r="P126" s="36">
        <f>'PA-Détails'!P1984</f>
        <v>0</v>
      </c>
      <c r="Q126" s="429">
        <f>'PA-Détails'!Q1984</f>
        <v>17000</v>
      </c>
      <c r="R126" s="570"/>
      <c r="S126" s="584">
        <f>'PA-Détails'!S1984</f>
        <v>0</v>
      </c>
      <c r="T126" s="585">
        <f>'PA-Détails'!T1984</f>
        <v>0</v>
      </c>
      <c r="U126" s="586">
        <f>'PA-Détails'!T1984</f>
        <v>0</v>
      </c>
    </row>
    <row r="127" spans="1:21" x14ac:dyDescent="0.2">
      <c r="A127" s="369" t="str">
        <f>'PA-Détails'!A1986</f>
        <v>4.1.3 Étude infrastructures et répartition territoriale</v>
      </c>
      <c r="B127" s="446"/>
      <c r="C127" s="387" t="str">
        <f>'PA-Détails'!C1986</f>
        <v>Étude réalisée en 2017</v>
      </c>
      <c r="D127" s="168">
        <f>'PA-Détails'!D1986</f>
        <v>0</v>
      </c>
      <c r="E127" s="168">
        <f>'PA-Détails'!E1986</f>
        <v>17</v>
      </c>
      <c r="F127" s="168">
        <f>'PA-Détails'!F1986</f>
        <v>0</v>
      </c>
      <c r="G127" s="168">
        <f>'PA-Détails'!G1986</f>
        <v>0</v>
      </c>
      <c r="H127" s="168">
        <f>'PA-Détails'!H1986</f>
        <v>0</v>
      </c>
      <c r="I127" s="168">
        <f>'PA-Détails'!I1986</f>
        <v>17</v>
      </c>
      <c r="J127" s="447">
        <f>'PA-Détails'!J1986</f>
        <v>0</v>
      </c>
      <c r="K127" s="36">
        <f>'PA-Détails'!K1986</f>
        <v>0</v>
      </c>
      <c r="L127" s="36">
        <f>'PA-Détails'!L1986</f>
        <v>0</v>
      </c>
      <c r="M127" s="36">
        <f>'PA-Détails'!M1986</f>
        <v>17000</v>
      </c>
      <c r="N127" s="36">
        <f>'PA-Détails'!N1986</f>
        <v>0</v>
      </c>
      <c r="O127" s="36">
        <f>'PA-Détails'!O1986</f>
        <v>0</v>
      </c>
      <c r="P127" s="36">
        <f>'PA-Détails'!P1986</f>
        <v>0</v>
      </c>
      <c r="Q127" s="429">
        <f>'PA-Détails'!Q1986</f>
        <v>17000</v>
      </c>
      <c r="R127" s="570"/>
      <c r="S127" s="584">
        <f>'PA-Détails'!S1986</f>
        <v>0</v>
      </c>
      <c r="T127" s="585">
        <f>'PA-Détails'!T1986</f>
        <v>0</v>
      </c>
      <c r="U127" s="586">
        <f>'PA-Détails'!T1986</f>
        <v>0</v>
      </c>
    </row>
    <row r="128" spans="1:21" x14ac:dyDescent="0.2">
      <c r="A128" s="369" t="str">
        <f>'PA-Détails'!A1988</f>
        <v>4.1.4 Étude sur la gestion des flux et l'orientation scolaire</v>
      </c>
      <c r="B128" s="446"/>
      <c r="C128" s="387" t="str">
        <f>'PA-Détails'!C1988</f>
        <v>Étude réalisée en 2017</v>
      </c>
      <c r="D128" s="168">
        <f>'PA-Détails'!D1988</f>
        <v>0</v>
      </c>
      <c r="E128" s="168">
        <f>'PA-Détails'!E1988</f>
        <v>31.5</v>
      </c>
      <c r="F128" s="168">
        <f>'PA-Détails'!F1988</f>
        <v>0</v>
      </c>
      <c r="G128" s="168">
        <f>'PA-Détails'!G1988</f>
        <v>0</v>
      </c>
      <c r="H128" s="168">
        <f>'PA-Détails'!H1988</f>
        <v>0</v>
      </c>
      <c r="I128" s="168">
        <f>'PA-Détails'!I1988</f>
        <v>31.5</v>
      </c>
      <c r="J128" s="447">
        <f>'PA-Détails'!J1988</f>
        <v>0</v>
      </c>
      <c r="K128" s="36">
        <f>'PA-Détails'!K1988</f>
        <v>0</v>
      </c>
      <c r="L128" s="36">
        <f>'PA-Détails'!L1988</f>
        <v>0</v>
      </c>
      <c r="M128" s="36">
        <f>'PA-Détails'!M1988</f>
        <v>31500</v>
      </c>
      <c r="N128" s="36">
        <f>'PA-Détails'!N1988</f>
        <v>0</v>
      </c>
      <c r="O128" s="36">
        <f>'PA-Détails'!O1988</f>
        <v>0</v>
      </c>
      <c r="P128" s="36">
        <f>'PA-Détails'!P1988</f>
        <v>0</v>
      </c>
      <c r="Q128" s="429">
        <f>'PA-Détails'!Q1988</f>
        <v>31500</v>
      </c>
      <c r="R128" s="570"/>
      <c r="S128" s="584">
        <f>'PA-Détails'!S1988</f>
        <v>0</v>
      </c>
      <c r="T128" s="585">
        <f>'PA-Détails'!T1988</f>
        <v>0</v>
      </c>
      <c r="U128" s="586">
        <f>'PA-Détails'!T1988</f>
        <v>0</v>
      </c>
    </row>
    <row r="129" spans="1:21" x14ac:dyDescent="0.2">
      <c r="A129" s="369" t="str">
        <f>'PA-Détails'!A1990</f>
        <v>4.1.5 Étude gouvernance, coûts et regroupement éventuel avec primaire</v>
      </c>
      <c r="B129" s="446"/>
      <c r="C129" s="387" t="str">
        <f>'PA-Détails'!C1990</f>
        <v>Étude réalisée en 2017</v>
      </c>
      <c r="D129" s="168">
        <f>'PA-Détails'!D1990</f>
        <v>0</v>
      </c>
      <c r="E129" s="168">
        <f>'PA-Détails'!E1990</f>
        <v>33</v>
      </c>
      <c r="F129" s="168">
        <f>'PA-Détails'!F1990</f>
        <v>265.25</v>
      </c>
      <c r="G129" s="168">
        <f>'PA-Détails'!G1990</f>
        <v>0</v>
      </c>
      <c r="H129" s="168">
        <f>'PA-Détails'!H1990</f>
        <v>0</v>
      </c>
      <c r="I129" s="168">
        <f>'PA-Détails'!I1990</f>
        <v>298.25</v>
      </c>
      <c r="J129" s="447">
        <f>'PA-Détails'!J1990</f>
        <v>0</v>
      </c>
      <c r="K129" s="36">
        <f>'PA-Détails'!K1990</f>
        <v>0</v>
      </c>
      <c r="L129" s="36">
        <f>'PA-Détails'!L1990</f>
        <v>0</v>
      </c>
      <c r="M129" s="36">
        <f>'PA-Détails'!M1990</f>
        <v>33000</v>
      </c>
      <c r="N129" s="36">
        <f>'PA-Détails'!N1990</f>
        <v>265250</v>
      </c>
      <c r="O129" s="36">
        <f>'PA-Détails'!O1990</f>
        <v>0</v>
      </c>
      <c r="P129" s="36">
        <f>'PA-Détails'!P1990</f>
        <v>0</v>
      </c>
      <c r="Q129" s="429">
        <f>'PA-Détails'!Q1990</f>
        <v>298250</v>
      </c>
      <c r="R129" s="570"/>
      <c r="S129" s="584">
        <f>'PA-Détails'!S1990</f>
        <v>0</v>
      </c>
      <c r="T129" s="585">
        <f>'PA-Détails'!T1990</f>
        <v>0</v>
      </c>
      <c r="U129" s="586">
        <f>'PA-Détails'!T1990</f>
        <v>0</v>
      </c>
    </row>
    <row r="130" spans="1:21" x14ac:dyDescent="0.2">
      <c r="A130" s="368" t="str">
        <f>'PA-Détails'!A1993</f>
        <v>4.2 Accès équitable au premier cycle secondaire : apporter des infrastructures et équipements nécessaires</v>
      </c>
      <c r="B130" s="444"/>
      <c r="C130" s="385">
        <f>'PA-Détails'!C1993</f>
        <v>0</v>
      </c>
      <c r="D130" s="217">
        <f>'PA-Détails'!D1993</f>
        <v>52000</v>
      </c>
      <c r="E130" s="217">
        <f>'PA-Détails'!E1993</f>
        <v>52000</v>
      </c>
      <c r="F130" s="217">
        <f>'PA-Détails'!F1993</f>
        <v>52000</v>
      </c>
      <c r="G130" s="217">
        <f>'PA-Détails'!G1993</f>
        <v>52000</v>
      </c>
      <c r="H130" s="217">
        <f>'PA-Détails'!H1993</f>
        <v>52000</v>
      </c>
      <c r="I130" s="217">
        <f>'PA-Détails'!I1993</f>
        <v>260000</v>
      </c>
      <c r="J130" s="449">
        <f>'PA-Détails'!J1993</f>
        <v>0</v>
      </c>
      <c r="K130" s="32">
        <f>'PA-Détails'!K1993</f>
        <v>0</v>
      </c>
      <c r="L130" s="32">
        <f>'PA-Détails'!L1993</f>
        <v>52000000</v>
      </c>
      <c r="M130" s="32">
        <f>'PA-Détails'!M1993</f>
        <v>52000000</v>
      </c>
      <c r="N130" s="32">
        <f>'PA-Détails'!N1993</f>
        <v>52000000</v>
      </c>
      <c r="O130" s="32">
        <f>'PA-Détails'!O1993</f>
        <v>52000000</v>
      </c>
      <c r="P130" s="32">
        <f>'PA-Détails'!P1993</f>
        <v>52000000</v>
      </c>
      <c r="Q130" s="428">
        <f>'PA-Détails'!Q1993</f>
        <v>260000000</v>
      </c>
      <c r="R130" s="570"/>
      <c r="S130" s="581">
        <f>'PA-Détails'!S1993</f>
        <v>0</v>
      </c>
      <c r="T130" s="582">
        <f>'PA-Détails'!T1993</f>
        <v>1</v>
      </c>
      <c r="U130" s="583">
        <f>'PA-Détails'!T1993</f>
        <v>1</v>
      </c>
    </row>
    <row r="131" spans="1:21" x14ac:dyDescent="0.2">
      <c r="A131" s="369" t="str">
        <f>'PA-Détails'!A1994</f>
        <v>4.2.1 Construction et équipement</v>
      </c>
      <c r="B131" s="446"/>
      <c r="C131" s="387" t="str">
        <f>'PA-Détails'!C1994</f>
        <v>26 000 salles de classes construites entre 2016 et 2025</v>
      </c>
      <c r="D131" s="168">
        <f>'PA-Détails'!D1994</f>
        <v>52000</v>
      </c>
      <c r="E131" s="168">
        <f>'PA-Détails'!E1994</f>
        <v>52000</v>
      </c>
      <c r="F131" s="168">
        <f>'PA-Détails'!F1994</f>
        <v>52000</v>
      </c>
      <c r="G131" s="168">
        <f>'PA-Détails'!G1994</f>
        <v>52000</v>
      </c>
      <c r="H131" s="168">
        <f>'PA-Détails'!H1994</f>
        <v>52000</v>
      </c>
      <c r="I131" s="168">
        <f>'PA-Détails'!I1994</f>
        <v>260000</v>
      </c>
      <c r="J131" s="447">
        <f>'PA-Détails'!J1994</f>
        <v>0</v>
      </c>
      <c r="K131" s="36">
        <f>'PA-Détails'!K1994</f>
        <v>0</v>
      </c>
      <c r="L131" s="36">
        <f>'PA-Détails'!L1994</f>
        <v>52000000</v>
      </c>
      <c r="M131" s="36">
        <f>'PA-Détails'!M1994</f>
        <v>52000000</v>
      </c>
      <c r="N131" s="36">
        <f>'PA-Détails'!N1994</f>
        <v>52000000</v>
      </c>
      <c r="O131" s="36">
        <f>'PA-Détails'!O1994</f>
        <v>52000000</v>
      </c>
      <c r="P131" s="36">
        <f>'PA-Détails'!P1994</f>
        <v>52000000</v>
      </c>
      <c r="Q131" s="429">
        <f>'PA-Détails'!Q1994</f>
        <v>260000000</v>
      </c>
      <c r="R131" s="570"/>
      <c r="S131" s="584">
        <f>'PA-Détails'!S1994</f>
        <v>0</v>
      </c>
      <c r="T131" s="585">
        <f>'PA-Détails'!T1994</f>
        <v>0</v>
      </c>
      <c r="U131" s="586">
        <f>'PA-Détails'!T1994</f>
        <v>0</v>
      </c>
    </row>
    <row r="132" spans="1:21" x14ac:dyDescent="0.2">
      <c r="A132" s="368" t="str">
        <f>'PA-Détails'!A1996</f>
        <v>4.3 Moyens des écoles publiques : apporter un soutien fort de l'État, complété par des frais scolaires payés par les familles</v>
      </c>
      <c r="B132" s="444"/>
      <c r="C132" s="385">
        <f>'PA-Détails'!C1996</f>
        <v>0</v>
      </c>
      <c r="D132" s="217">
        <f>'PA-Détails'!D1996</f>
        <v>77818.532681398938</v>
      </c>
      <c r="E132" s="217">
        <f>'PA-Détails'!E1996</f>
        <v>86990.062078458664</v>
      </c>
      <c r="F132" s="217">
        <f>'PA-Détails'!F1996</f>
        <v>101168.6327146322</v>
      </c>
      <c r="G132" s="217">
        <f>'PA-Détails'!G1996</f>
        <v>140107.1409192103</v>
      </c>
      <c r="H132" s="217">
        <f>'PA-Détails'!H1996</f>
        <v>154997.90259026669</v>
      </c>
      <c r="I132" s="217">
        <f>'PA-Détails'!I1996</f>
        <v>561082.27098396688</v>
      </c>
      <c r="J132" s="449">
        <f>'PA-Détails'!J1996</f>
        <v>0</v>
      </c>
      <c r="K132" s="32">
        <f>'PA-Détails'!K1996</f>
        <v>0</v>
      </c>
      <c r="L132" s="32">
        <f>'PA-Détails'!L1996</f>
        <v>77818532.681398943</v>
      </c>
      <c r="M132" s="32">
        <f>'PA-Détails'!M1996</f>
        <v>86990062.078458667</v>
      </c>
      <c r="N132" s="32">
        <f>'PA-Détails'!N1996</f>
        <v>101168632.7146322</v>
      </c>
      <c r="O132" s="32">
        <f>'PA-Détails'!O1996</f>
        <v>140107140.91921031</v>
      </c>
      <c r="P132" s="32">
        <f>'PA-Détails'!P1996</f>
        <v>154997902.5902667</v>
      </c>
      <c r="Q132" s="428">
        <f>'PA-Détails'!Q1996</f>
        <v>561082270.98396683</v>
      </c>
      <c r="R132" s="570"/>
      <c r="S132" s="581">
        <f>'PA-Détails'!S1996</f>
        <v>0</v>
      </c>
      <c r="T132" s="582">
        <f>'PA-Détails'!T1996</f>
        <v>1</v>
      </c>
      <c r="U132" s="583">
        <f>'PA-Détails'!T1996</f>
        <v>1</v>
      </c>
    </row>
    <row r="133" spans="1:21" x14ac:dyDescent="0.2">
      <c r="A133" s="369" t="str">
        <f>'PA-Détails'!A1997</f>
        <v>4.3.1 Prise en charge du personnel</v>
      </c>
      <c r="B133" s="446"/>
      <c r="C133" s="387" t="str">
        <f>'PA-Détails'!C1997</f>
        <v>En 2025 tous les enseignants sont rémunérés par l'État</v>
      </c>
      <c r="D133" s="168">
        <f>'PA-Détails'!D1997</f>
        <v>77818.532681398938</v>
      </c>
      <c r="E133" s="168">
        <f>'PA-Détails'!E1997</f>
        <v>86990.062078458664</v>
      </c>
      <c r="F133" s="168">
        <f>'PA-Détails'!F1997</f>
        <v>101168.6327146322</v>
      </c>
      <c r="G133" s="168">
        <f>'PA-Détails'!G1997</f>
        <v>116107.14091921032</v>
      </c>
      <c r="H133" s="168">
        <f>'PA-Détails'!H1997</f>
        <v>130997.90259026669</v>
      </c>
      <c r="I133" s="168">
        <f>'PA-Détails'!I1997</f>
        <v>513082.27098396682</v>
      </c>
      <c r="J133" s="447">
        <f>'PA-Détails'!J1997</f>
        <v>0</v>
      </c>
      <c r="K133" s="36">
        <f>'PA-Détails'!K1997</f>
        <v>0</v>
      </c>
      <c r="L133" s="36">
        <f>'PA-Détails'!L1997</f>
        <v>77818532.681398943</v>
      </c>
      <c r="M133" s="36">
        <f>'PA-Détails'!M1997</f>
        <v>86990062.078458667</v>
      </c>
      <c r="N133" s="36">
        <f>'PA-Détails'!N1997</f>
        <v>101168632.7146322</v>
      </c>
      <c r="O133" s="36">
        <f>'PA-Détails'!O1997</f>
        <v>116107140.91921031</v>
      </c>
      <c r="P133" s="36">
        <f>'PA-Détails'!P1997</f>
        <v>130997902.59026669</v>
      </c>
      <c r="Q133" s="429">
        <f>'PA-Détails'!Q1997</f>
        <v>513082270.98396683</v>
      </c>
      <c r="R133" s="570"/>
      <c r="S133" s="584">
        <f>'PA-Détails'!S1997</f>
        <v>0</v>
      </c>
      <c r="T133" s="585">
        <f>'PA-Détails'!T1997</f>
        <v>0</v>
      </c>
      <c r="U133" s="586">
        <f>'PA-Détails'!T1997</f>
        <v>0</v>
      </c>
    </row>
    <row r="134" spans="1:21" x14ac:dyDescent="0.2">
      <c r="A134" s="369" t="str">
        <f>'PA-Détails'!A2000</f>
        <v xml:space="preserve">4.3.2 Subventions aux écoles </v>
      </c>
      <c r="B134" s="446"/>
      <c r="C134" s="387" t="str">
        <f>'PA-Détails'!C2000</f>
        <v>En 2025, toutes les écoles reçoivent une subvention pour le fonctionnement des classes 1&amp;2</v>
      </c>
      <c r="D134" s="168">
        <f>'PA-Détails'!D2000</f>
        <v>0</v>
      </c>
      <c r="E134" s="168">
        <f>'PA-Détails'!E2000</f>
        <v>0</v>
      </c>
      <c r="F134" s="168">
        <f>'PA-Détails'!F2000</f>
        <v>0</v>
      </c>
      <c r="G134" s="168">
        <f>'PA-Détails'!G2000</f>
        <v>24000</v>
      </c>
      <c r="H134" s="168">
        <f>'PA-Détails'!H2000</f>
        <v>24000</v>
      </c>
      <c r="I134" s="168">
        <f>'PA-Détails'!I2000</f>
        <v>48000</v>
      </c>
      <c r="J134" s="447">
        <f>'PA-Détails'!J2000</f>
        <v>0</v>
      </c>
      <c r="K134" s="36">
        <f>'PA-Détails'!K2000</f>
        <v>0</v>
      </c>
      <c r="L134" s="36">
        <f>'PA-Détails'!L2000</f>
        <v>0</v>
      </c>
      <c r="M134" s="36">
        <f>'PA-Détails'!M2000</f>
        <v>0</v>
      </c>
      <c r="N134" s="36">
        <f>'PA-Détails'!N2000</f>
        <v>0</v>
      </c>
      <c r="O134" s="36">
        <f>'PA-Détails'!O2000</f>
        <v>24000000</v>
      </c>
      <c r="P134" s="36">
        <f>'PA-Détails'!P2000</f>
        <v>24000000</v>
      </c>
      <c r="Q134" s="429">
        <f>'PA-Détails'!Q2000</f>
        <v>48000000</v>
      </c>
      <c r="R134" s="570"/>
      <c r="S134" s="584">
        <f>'PA-Détails'!S2000</f>
        <v>0</v>
      </c>
      <c r="T134" s="585">
        <f>'PA-Détails'!T2000</f>
        <v>0</v>
      </c>
      <c r="U134" s="586">
        <f>'PA-Détails'!T2000</f>
        <v>0</v>
      </c>
    </row>
    <row r="135" spans="1:21" x14ac:dyDescent="0.2">
      <c r="A135" s="368" t="str">
        <f>'PA-Détails'!A2002</f>
        <v>4.4 Matériels et équipements pédagogiques : apporter aux écoles les manuels et matériels didactiques nécessaires</v>
      </c>
      <c r="B135" s="444"/>
      <c r="C135" s="385">
        <f>'PA-Détails'!C2002</f>
        <v>0</v>
      </c>
      <c r="D135" s="217">
        <f>'PA-Détails'!D2002</f>
        <v>5038.0079999999998</v>
      </c>
      <c r="E135" s="217">
        <f>'PA-Détails'!E2002</f>
        <v>5012.5079999999998</v>
      </c>
      <c r="F135" s="217">
        <f>'PA-Détails'!F2002</f>
        <v>5012.5079999999998</v>
      </c>
      <c r="G135" s="217">
        <f>'PA-Détails'!G2002</f>
        <v>4914.8999999999996</v>
      </c>
      <c r="H135" s="217">
        <f>'PA-Détails'!H2002</f>
        <v>4914.8999999999996</v>
      </c>
      <c r="I135" s="217">
        <f>'PA-Détails'!I2002</f>
        <v>24892.824000000001</v>
      </c>
      <c r="J135" s="449">
        <f>'PA-Détails'!J2002</f>
        <v>0</v>
      </c>
      <c r="K135" s="32">
        <f>'PA-Détails'!K2002</f>
        <v>0</v>
      </c>
      <c r="L135" s="32">
        <f>'PA-Détails'!L2002</f>
        <v>5038008</v>
      </c>
      <c r="M135" s="32">
        <f>'PA-Détails'!M2002</f>
        <v>5012508</v>
      </c>
      <c r="N135" s="32">
        <f>'PA-Détails'!N2002</f>
        <v>5012508</v>
      </c>
      <c r="O135" s="32">
        <f>'PA-Détails'!O2002</f>
        <v>4914900</v>
      </c>
      <c r="P135" s="32">
        <f>'PA-Détails'!P2002</f>
        <v>4914900</v>
      </c>
      <c r="Q135" s="428">
        <f>'PA-Détails'!Q2002</f>
        <v>24892824</v>
      </c>
      <c r="R135" s="570"/>
      <c r="S135" s="592">
        <f>'PA-Détails'!S2002</f>
        <v>0</v>
      </c>
      <c r="T135" s="593">
        <f>'PA-Détails'!T2002</f>
        <v>2</v>
      </c>
      <c r="U135" s="588">
        <f>'PA-Détails'!T2002</f>
        <v>2</v>
      </c>
    </row>
    <row r="136" spans="1:21" x14ac:dyDescent="0.2">
      <c r="A136" s="369" t="str">
        <f>'PA-Détails'!A2003</f>
        <v>4.4.1 Équipements pédagogiques</v>
      </c>
      <c r="B136" s="446"/>
      <c r="C136" s="386" t="str">
        <f>'PA-Détails'!C2003</f>
        <v>En 2025, toutes les écoles disposent de matériels pédagogiques</v>
      </c>
      <c r="D136" s="168">
        <f>'PA-Détails'!D2003</f>
        <v>2449.5</v>
      </c>
      <c r="E136" s="168">
        <f>'PA-Détails'!E2003</f>
        <v>2445</v>
      </c>
      <c r="F136" s="168">
        <f>'PA-Détails'!F2003</f>
        <v>2445</v>
      </c>
      <c r="G136" s="168">
        <f>'PA-Détails'!G2003</f>
        <v>2445</v>
      </c>
      <c r="H136" s="168">
        <f>'PA-Détails'!H2003</f>
        <v>2445</v>
      </c>
      <c r="I136" s="168">
        <f>'PA-Détails'!I2003</f>
        <v>12229.5</v>
      </c>
      <c r="J136" s="447">
        <f>'PA-Détails'!J2003</f>
        <v>0</v>
      </c>
      <c r="K136" s="36">
        <f>'PA-Détails'!K2003</f>
        <v>0</v>
      </c>
      <c r="L136" s="36">
        <f>'PA-Détails'!L2003</f>
        <v>2449500</v>
      </c>
      <c r="M136" s="36">
        <f>'PA-Détails'!M2003</f>
        <v>2445000</v>
      </c>
      <c r="N136" s="36">
        <f>'PA-Détails'!N2003</f>
        <v>2445000</v>
      </c>
      <c r="O136" s="36">
        <f>'PA-Détails'!O2003</f>
        <v>2445000</v>
      </c>
      <c r="P136" s="36">
        <f>'PA-Détails'!P2003</f>
        <v>2445000</v>
      </c>
      <c r="Q136" s="429">
        <f>'PA-Détails'!Q2003</f>
        <v>12229500</v>
      </c>
      <c r="R136" s="570"/>
      <c r="S136" s="594">
        <f>'PA-Détails'!S2003</f>
        <v>0</v>
      </c>
      <c r="T136" s="595">
        <f>'PA-Détails'!T2003</f>
        <v>0</v>
      </c>
      <c r="U136" s="586">
        <f>'PA-Détails'!T2003</f>
        <v>0</v>
      </c>
    </row>
    <row r="137" spans="1:21" x14ac:dyDescent="0.2">
      <c r="A137" s="369" t="str">
        <f>'PA-Détails'!A2006</f>
        <v xml:space="preserve">4.4.2 Manuels scolaires </v>
      </c>
      <c r="B137" s="446"/>
      <c r="C137" s="386" t="str">
        <f>'PA-Détails'!C2006</f>
        <v xml:space="preserve">En 2025, tous les enfants disposent de 3 manuels </v>
      </c>
      <c r="D137" s="168">
        <f>'PA-Détails'!D2006</f>
        <v>2490.9</v>
      </c>
      <c r="E137" s="168">
        <f>'PA-Détails'!E2006</f>
        <v>2469.9</v>
      </c>
      <c r="F137" s="168">
        <f>'PA-Détails'!F2006</f>
        <v>2469.9</v>
      </c>
      <c r="G137" s="168">
        <f>'PA-Détails'!G2006</f>
        <v>2469.9</v>
      </c>
      <c r="H137" s="168">
        <f>'PA-Détails'!H2006</f>
        <v>2469.9</v>
      </c>
      <c r="I137" s="168">
        <f>'PA-Détails'!I2006</f>
        <v>12370.5</v>
      </c>
      <c r="J137" s="447">
        <f>'PA-Détails'!J2006</f>
        <v>0</v>
      </c>
      <c r="K137" s="36">
        <f>'PA-Détails'!K2006</f>
        <v>0</v>
      </c>
      <c r="L137" s="36">
        <f>'PA-Détails'!L2006</f>
        <v>2490900</v>
      </c>
      <c r="M137" s="36">
        <f>'PA-Détails'!M2006</f>
        <v>2469900</v>
      </c>
      <c r="N137" s="36">
        <f>'PA-Détails'!N2006</f>
        <v>2469900</v>
      </c>
      <c r="O137" s="36">
        <f>'PA-Détails'!O2006</f>
        <v>2469900</v>
      </c>
      <c r="P137" s="36">
        <f>'PA-Détails'!P2006</f>
        <v>2469900</v>
      </c>
      <c r="Q137" s="429">
        <f>'PA-Détails'!Q2006</f>
        <v>12370500</v>
      </c>
      <c r="R137" s="570"/>
      <c r="S137" s="594">
        <f>'PA-Détails'!S2006</f>
        <v>0</v>
      </c>
      <c r="T137" s="595">
        <f>'PA-Détails'!T2006</f>
        <v>0</v>
      </c>
      <c r="U137" s="586">
        <f>'PA-Détails'!T2006</f>
        <v>0</v>
      </c>
    </row>
    <row r="138" spans="1:21" x14ac:dyDescent="0.2">
      <c r="A138" s="369" t="str">
        <f>'PA-Détails'!A2010</f>
        <v>4.4.3 Guides pédagogiques pour les enseignants</v>
      </c>
      <c r="B138" s="446"/>
      <c r="C138" s="386" t="str">
        <f>'PA-Détails'!C2010</f>
        <v>En 2018, tous les enseignants du 1er cycle disposent d'un guide</v>
      </c>
      <c r="D138" s="168">
        <f>'PA-Détails'!D2010</f>
        <v>97.608000000000004</v>
      </c>
      <c r="E138" s="168">
        <f>'PA-Détails'!E2010</f>
        <v>97.608000000000004</v>
      </c>
      <c r="F138" s="168">
        <f>'PA-Détails'!F2010</f>
        <v>97.608000000000004</v>
      </c>
      <c r="G138" s="168">
        <f>'PA-Détails'!G2010</f>
        <v>0</v>
      </c>
      <c r="H138" s="168">
        <f>'PA-Détails'!H2010</f>
        <v>0</v>
      </c>
      <c r="I138" s="168">
        <f>'PA-Détails'!I2010</f>
        <v>292.82400000000001</v>
      </c>
      <c r="J138" s="447">
        <f>'PA-Détails'!J2010</f>
        <v>0</v>
      </c>
      <c r="K138" s="36">
        <f>'PA-Détails'!K2010</f>
        <v>0</v>
      </c>
      <c r="L138" s="36">
        <f>'PA-Détails'!L2010</f>
        <v>97608</v>
      </c>
      <c r="M138" s="36">
        <f>'PA-Détails'!M2010</f>
        <v>97608</v>
      </c>
      <c r="N138" s="36">
        <f>'PA-Détails'!N2010</f>
        <v>97608</v>
      </c>
      <c r="O138" s="36">
        <f>'PA-Détails'!O2010</f>
        <v>0</v>
      </c>
      <c r="P138" s="36">
        <f>'PA-Détails'!P2010</f>
        <v>0</v>
      </c>
      <c r="Q138" s="429">
        <f>'PA-Détails'!Q2010</f>
        <v>292824</v>
      </c>
      <c r="R138" s="570"/>
      <c r="S138" s="594">
        <f>'PA-Détails'!S2010</f>
        <v>0</v>
      </c>
      <c r="T138" s="595">
        <f>'PA-Détails'!T2010</f>
        <v>0</v>
      </c>
      <c r="U138" s="586">
        <f>'PA-Détails'!T2010</f>
        <v>0</v>
      </c>
    </row>
    <row r="139" spans="1:21" x14ac:dyDescent="0.2">
      <c r="A139" s="368" t="str">
        <f>'PA-Détails'!A2012</f>
        <v>4.5 Environnement éducatif : apporter aux écoles les équipements nécessaires</v>
      </c>
      <c r="B139" s="444"/>
      <c r="C139" s="385">
        <f>'PA-Détails'!C2012</f>
        <v>0</v>
      </c>
      <c r="D139" s="217">
        <f>'PA-Détails'!D2012</f>
        <v>1223.2249999999999</v>
      </c>
      <c r="E139" s="217">
        <f>'PA-Détails'!E2012</f>
        <v>5714.2250000000004</v>
      </c>
      <c r="F139" s="217">
        <f>'PA-Détails'!F2012</f>
        <v>5714.2250000000004</v>
      </c>
      <c r="G139" s="217">
        <f>'PA-Détails'!G2012</f>
        <v>5714.2250000000004</v>
      </c>
      <c r="H139" s="217">
        <f>'PA-Détails'!H2012</f>
        <v>5714.2250000000004</v>
      </c>
      <c r="I139" s="217">
        <f>'PA-Détails'!I2012</f>
        <v>24080.125</v>
      </c>
      <c r="J139" s="449">
        <f>'PA-Détails'!J2012</f>
        <v>0</v>
      </c>
      <c r="K139" s="32">
        <f>'PA-Détails'!K2012</f>
        <v>0</v>
      </c>
      <c r="L139" s="32">
        <f>'PA-Détails'!L2012</f>
        <v>1223225</v>
      </c>
      <c r="M139" s="32">
        <f>'PA-Détails'!M2012</f>
        <v>5714225</v>
      </c>
      <c r="N139" s="32">
        <f>'PA-Détails'!N2012</f>
        <v>5714225</v>
      </c>
      <c r="O139" s="32">
        <f>'PA-Détails'!O2012</f>
        <v>5714225</v>
      </c>
      <c r="P139" s="32">
        <f>'PA-Détails'!P2012</f>
        <v>5714225</v>
      </c>
      <c r="Q139" s="428">
        <f>'PA-Détails'!Q2012</f>
        <v>24080125</v>
      </c>
      <c r="R139" s="570"/>
      <c r="S139" s="592">
        <f>'PA-Détails'!S2012</f>
        <v>0</v>
      </c>
      <c r="T139" s="593">
        <f>'PA-Détails'!T2012</f>
        <v>2</v>
      </c>
      <c r="U139" s="588">
        <f>'PA-Détails'!T2012</f>
        <v>2</v>
      </c>
    </row>
    <row r="140" spans="1:21" x14ac:dyDescent="0.2">
      <c r="A140" s="369" t="str">
        <f>'PA-Détails'!A2013</f>
        <v>4.5.1 Équipement en table-bancs</v>
      </c>
      <c r="B140" s="446"/>
      <c r="C140" s="386" t="str">
        <f>'PA-Détails'!C2013</f>
        <v>En 2025, toutes les écoles sont équipées en tables-bancs</v>
      </c>
      <c r="D140" s="168">
        <f>'PA-Détails'!D2013</f>
        <v>0</v>
      </c>
      <c r="E140" s="168">
        <f>'PA-Détails'!E2013</f>
        <v>4574</v>
      </c>
      <c r="F140" s="168">
        <f>'PA-Détails'!F2013</f>
        <v>4574</v>
      </c>
      <c r="G140" s="168">
        <f>'PA-Détails'!G2013</f>
        <v>4574</v>
      </c>
      <c r="H140" s="168">
        <f>'PA-Détails'!H2013</f>
        <v>4574</v>
      </c>
      <c r="I140" s="168">
        <f>'PA-Détails'!I2013</f>
        <v>18296</v>
      </c>
      <c r="J140" s="447">
        <f>'PA-Détails'!J2013</f>
        <v>0</v>
      </c>
      <c r="K140" s="36">
        <f>'PA-Détails'!K2013</f>
        <v>0</v>
      </c>
      <c r="L140" s="36">
        <f>'PA-Détails'!L2013</f>
        <v>0</v>
      </c>
      <c r="M140" s="36">
        <f>'PA-Détails'!M2013</f>
        <v>4574000</v>
      </c>
      <c r="N140" s="36">
        <f>'PA-Détails'!N2013</f>
        <v>4574000</v>
      </c>
      <c r="O140" s="36">
        <f>'PA-Détails'!O2013</f>
        <v>4574000</v>
      </c>
      <c r="P140" s="36">
        <f>'PA-Détails'!P2013</f>
        <v>4574000</v>
      </c>
      <c r="Q140" s="429">
        <f>'PA-Détails'!Q2013</f>
        <v>18296000</v>
      </c>
      <c r="R140" s="570"/>
      <c r="S140" s="594">
        <f>'PA-Détails'!S2013</f>
        <v>0</v>
      </c>
      <c r="T140" s="595">
        <f>'PA-Détails'!T2013</f>
        <v>0</v>
      </c>
      <c r="U140" s="586">
        <f>'PA-Détails'!T2013</f>
        <v>0</v>
      </c>
    </row>
    <row r="141" spans="1:21" x14ac:dyDescent="0.2">
      <c r="A141" s="369" t="str">
        <f>'PA-Détails'!A2015</f>
        <v>4.5.2 Équipement pour activités physiques et sportives</v>
      </c>
      <c r="B141" s="446"/>
      <c r="C141" s="386" t="str">
        <f>'PA-Détails'!C2015</f>
        <v>En 2025, toutes les écoles ont accès à des équipements sportifs pour les activités d'EPS</v>
      </c>
      <c r="D141" s="168">
        <f>'PA-Détails'!D2015</f>
        <v>169.88900000000001</v>
      </c>
      <c r="E141" s="168">
        <f>'PA-Détails'!E2015</f>
        <v>162.88900000000001</v>
      </c>
      <c r="F141" s="168">
        <f>'PA-Détails'!F2015</f>
        <v>162.88900000000001</v>
      </c>
      <c r="G141" s="168">
        <f>'PA-Détails'!G2015</f>
        <v>162.88900000000001</v>
      </c>
      <c r="H141" s="168">
        <f>'PA-Détails'!H2015</f>
        <v>162.88900000000001</v>
      </c>
      <c r="I141" s="168">
        <f>'PA-Détails'!I2015</f>
        <v>821.44500000000005</v>
      </c>
      <c r="J141" s="447">
        <f>'PA-Détails'!J2015</f>
        <v>0</v>
      </c>
      <c r="K141" s="36">
        <f>'PA-Détails'!K2015</f>
        <v>0</v>
      </c>
      <c r="L141" s="36">
        <f>'PA-Détails'!L2015</f>
        <v>169889</v>
      </c>
      <c r="M141" s="36">
        <f>'PA-Détails'!M2015</f>
        <v>162889</v>
      </c>
      <c r="N141" s="36">
        <f>'PA-Détails'!N2015</f>
        <v>162889</v>
      </c>
      <c r="O141" s="36">
        <f>'PA-Détails'!O2015</f>
        <v>162889</v>
      </c>
      <c r="P141" s="36">
        <f>'PA-Détails'!P2015</f>
        <v>162889</v>
      </c>
      <c r="Q141" s="429">
        <f>'PA-Détails'!Q2015</f>
        <v>821445</v>
      </c>
      <c r="R141" s="570"/>
      <c r="S141" s="594">
        <f>'PA-Détails'!S2015</f>
        <v>0</v>
      </c>
      <c r="T141" s="595">
        <f>'PA-Détails'!T2015</f>
        <v>0</v>
      </c>
      <c r="U141" s="586">
        <f>'PA-Détails'!T2015</f>
        <v>0</v>
      </c>
    </row>
    <row r="142" spans="1:21" x14ac:dyDescent="0.2">
      <c r="A142" s="369" t="str">
        <f>'PA-Détails'!A2018</f>
        <v>4.5.3 Équipement en bibliothèques</v>
      </c>
      <c r="B142" s="446"/>
      <c r="C142" s="386" t="str">
        <f>'PA-Détails'!C2018</f>
        <v>En 2025, toutes les écoles disposent d'une bibliothèque</v>
      </c>
      <c r="D142" s="168">
        <f>'PA-Détails'!D2018</f>
        <v>1053.336</v>
      </c>
      <c r="E142" s="168">
        <f>'PA-Détails'!E2018</f>
        <v>977.33600000000001</v>
      </c>
      <c r="F142" s="168">
        <f>'PA-Détails'!F2018</f>
        <v>977.33600000000001</v>
      </c>
      <c r="G142" s="168">
        <f>'PA-Détails'!G2018</f>
        <v>977.33600000000001</v>
      </c>
      <c r="H142" s="168">
        <f>'PA-Détails'!H2018</f>
        <v>977.33600000000001</v>
      </c>
      <c r="I142" s="168">
        <f>'PA-Détails'!I2018</f>
        <v>4962.68</v>
      </c>
      <c r="J142" s="447">
        <f>'PA-Détails'!J2018</f>
        <v>0</v>
      </c>
      <c r="K142" s="36">
        <f>'PA-Détails'!K2018</f>
        <v>0</v>
      </c>
      <c r="L142" s="36">
        <f>'PA-Détails'!L2018</f>
        <v>1053336</v>
      </c>
      <c r="M142" s="36">
        <f>'PA-Détails'!M2018</f>
        <v>977336</v>
      </c>
      <c r="N142" s="36">
        <f>'PA-Détails'!N2018</f>
        <v>977336</v>
      </c>
      <c r="O142" s="36">
        <f>'PA-Détails'!O2018</f>
        <v>977336</v>
      </c>
      <c r="P142" s="36">
        <f>'PA-Détails'!P2018</f>
        <v>977336</v>
      </c>
      <c r="Q142" s="429">
        <f>'PA-Détails'!Q2018</f>
        <v>4962680</v>
      </c>
      <c r="R142" s="570"/>
      <c r="S142" s="594">
        <f>'PA-Détails'!S2018</f>
        <v>0</v>
      </c>
      <c r="T142" s="595">
        <f>'PA-Détails'!T2018</f>
        <v>0</v>
      </c>
      <c r="U142" s="586">
        <f>'PA-Détails'!T2018</f>
        <v>0</v>
      </c>
    </row>
    <row r="143" spans="1:21" x14ac:dyDescent="0.2">
      <c r="A143" s="368" t="str">
        <f>'PA-Détails'!A2022</f>
        <v>4.6 Formation des enseignants : former les enseignants</v>
      </c>
      <c r="B143" s="444"/>
      <c r="C143" s="385">
        <f>'PA-Détails'!C2022</f>
        <v>0</v>
      </c>
      <c r="D143" s="217">
        <f>'PA-Détails'!D2022</f>
        <v>3296.5</v>
      </c>
      <c r="E143" s="217">
        <f>'PA-Détails'!E2022</f>
        <v>0</v>
      </c>
      <c r="F143" s="217">
        <f>'PA-Détails'!F2022</f>
        <v>3288</v>
      </c>
      <c r="G143" s="217">
        <f>'PA-Détails'!G2022</f>
        <v>0</v>
      </c>
      <c r="H143" s="217">
        <f>'PA-Détails'!H2022</f>
        <v>3288</v>
      </c>
      <c r="I143" s="217">
        <f>'PA-Détails'!I2022</f>
        <v>9872.5</v>
      </c>
      <c r="J143" s="449">
        <f>'PA-Détails'!J2022</f>
        <v>0</v>
      </c>
      <c r="K143" s="32">
        <f>'PA-Détails'!K2022</f>
        <v>0</v>
      </c>
      <c r="L143" s="32">
        <f>'PA-Détails'!L2022</f>
        <v>3296500</v>
      </c>
      <c r="M143" s="32">
        <f>'PA-Détails'!M2022</f>
        <v>0</v>
      </c>
      <c r="N143" s="32">
        <f>'PA-Détails'!N2022</f>
        <v>3288000</v>
      </c>
      <c r="O143" s="32">
        <f>'PA-Détails'!O2022</f>
        <v>0</v>
      </c>
      <c r="P143" s="32">
        <f>'PA-Détails'!P2022</f>
        <v>3288000</v>
      </c>
      <c r="Q143" s="428">
        <f>'PA-Détails'!Q2022</f>
        <v>9872500</v>
      </c>
      <c r="R143" s="570"/>
      <c r="S143" s="592">
        <f>'PA-Détails'!S2022</f>
        <v>0</v>
      </c>
      <c r="T143" s="593">
        <f>'PA-Détails'!T2022</f>
        <v>2</v>
      </c>
      <c r="U143" s="588">
        <f>'PA-Détails'!T2022</f>
        <v>2</v>
      </c>
    </row>
    <row r="144" spans="1:21" x14ac:dyDescent="0.2">
      <c r="A144" s="369" t="str">
        <f>'PA-Détails'!A2023</f>
        <v>4.6.1 Formation continue des enseignants</v>
      </c>
      <c r="B144" s="446"/>
      <c r="C144" s="386" t="str">
        <f>'PA-Détails'!C2023</f>
        <v>Tous les enseignants reçoivent deux semaines de formation tous les deux ans</v>
      </c>
      <c r="D144" s="168">
        <f>'PA-Détails'!D2023</f>
        <v>3296.5</v>
      </c>
      <c r="E144" s="168">
        <f>'PA-Détails'!E2023</f>
        <v>0</v>
      </c>
      <c r="F144" s="168">
        <f>'PA-Détails'!F2023</f>
        <v>3288</v>
      </c>
      <c r="G144" s="168">
        <f>'PA-Détails'!G2023</f>
        <v>0</v>
      </c>
      <c r="H144" s="168">
        <f>'PA-Détails'!H2023</f>
        <v>3288</v>
      </c>
      <c r="I144" s="168">
        <f>'PA-Détails'!I2023</f>
        <v>9872.5</v>
      </c>
      <c r="J144" s="447">
        <f>'PA-Détails'!J2023</f>
        <v>0</v>
      </c>
      <c r="K144" s="36">
        <f>'PA-Détails'!K2023</f>
        <v>0</v>
      </c>
      <c r="L144" s="36">
        <f>'PA-Détails'!L2023</f>
        <v>3296500</v>
      </c>
      <c r="M144" s="36">
        <f>'PA-Détails'!M2023</f>
        <v>0</v>
      </c>
      <c r="N144" s="36">
        <f>'PA-Détails'!N2023</f>
        <v>3288000</v>
      </c>
      <c r="O144" s="36">
        <f>'PA-Détails'!O2023</f>
        <v>0</v>
      </c>
      <c r="P144" s="36">
        <f>'PA-Détails'!P2023</f>
        <v>3288000</v>
      </c>
      <c r="Q144" s="429">
        <f>'PA-Détails'!Q2023</f>
        <v>9872500</v>
      </c>
      <c r="R144" s="570"/>
      <c r="S144" s="594">
        <f>'PA-Détails'!S2023</f>
        <v>0</v>
      </c>
      <c r="T144" s="595">
        <f>'PA-Détails'!T2023</f>
        <v>0</v>
      </c>
      <c r="U144" s="586">
        <f>'PA-Détails'!T2023</f>
        <v>0</v>
      </c>
    </row>
    <row r="145" spans="1:21" x14ac:dyDescent="0.2">
      <c r="A145" s="368" t="str">
        <f>'PA-Détails'!A2026</f>
        <v>4.7 Supervision des structures et des enseignants : assurer l'encadrement pédagogique et administratif des écoles</v>
      </c>
      <c r="B145" s="444"/>
      <c r="C145" s="385">
        <f>'PA-Détails'!C2026</f>
        <v>0</v>
      </c>
      <c r="D145" s="217">
        <f>'PA-Détails'!D2026</f>
        <v>0</v>
      </c>
      <c r="E145" s="217">
        <f>'PA-Détails'!E2026</f>
        <v>5103.5</v>
      </c>
      <c r="F145" s="217">
        <f>'PA-Détails'!F2026</f>
        <v>6037.5</v>
      </c>
      <c r="G145" s="217">
        <f>'PA-Détails'!G2026</f>
        <v>2100</v>
      </c>
      <c r="H145" s="217">
        <f>'PA-Détails'!H2026</f>
        <v>2100</v>
      </c>
      <c r="I145" s="217">
        <f>'PA-Détails'!I2026</f>
        <v>15341</v>
      </c>
      <c r="J145" s="449">
        <f>'PA-Détails'!J2026</f>
        <v>0</v>
      </c>
      <c r="K145" s="32">
        <f>'PA-Détails'!K2026</f>
        <v>0</v>
      </c>
      <c r="L145" s="32">
        <f>'PA-Détails'!L2026</f>
        <v>0</v>
      </c>
      <c r="M145" s="32">
        <f>'PA-Détails'!M2026</f>
        <v>5103500</v>
      </c>
      <c r="N145" s="32">
        <f>'PA-Détails'!N2026</f>
        <v>6037500</v>
      </c>
      <c r="O145" s="32">
        <f>'PA-Détails'!O2026</f>
        <v>2100000</v>
      </c>
      <c r="P145" s="32">
        <f>'PA-Détails'!P2026</f>
        <v>2100000</v>
      </c>
      <c r="Q145" s="428">
        <f>'PA-Détails'!Q2026</f>
        <v>15341000</v>
      </c>
      <c r="R145" s="570"/>
      <c r="S145" s="590">
        <f>'PA-Détails'!S2026</f>
        <v>0</v>
      </c>
      <c r="T145" s="596">
        <f>'PA-Détails'!T2026</f>
        <v>3</v>
      </c>
      <c r="U145" s="583">
        <f>'PA-Détails'!T2026</f>
        <v>3</v>
      </c>
    </row>
    <row r="146" spans="1:21" x14ac:dyDescent="0.2">
      <c r="A146" s="369" t="str">
        <f>'PA-Détails'!A2027</f>
        <v>4.7.1 Moyens de déplacement des inspecteurs</v>
      </c>
      <c r="B146" s="446"/>
      <c r="C146" s="386">
        <f>'PA-Détails'!C2027</f>
        <v>0</v>
      </c>
      <c r="D146" s="168">
        <f>'PA-Détails'!D2027</f>
        <v>0</v>
      </c>
      <c r="E146" s="168">
        <f>'PA-Détails'!E2027</f>
        <v>3135</v>
      </c>
      <c r="F146" s="168">
        <f>'PA-Détails'!F2027</f>
        <v>2625</v>
      </c>
      <c r="G146" s="168">
        <f>'PA-Détails'!G2027</f>
        <v>0</v>
      </c>
      <c r="H146" s="168">
        <f>'PA-Détails'!H2027</f>
        <v>0</v>
      </c>
      <c r="I146" s="168">
        <f>'PA-Détails'!I2027</f>
        <v>5760</v>
      </c>
      <c r="J146" s="447">
        <f>'PA-Détails'!J2027</f>
        <v>0</v>
      </c>
      <c r="K146" s="36">
        <f>'PA-Détails'!K2027</f>
        <v>0</v>
      </c>
      <c r="L146" s="36">
        <f>'PA-Détails'!L2027</f>
        <v>0</v>
      </c>
      <c r="M146" s="36">
        <f>'PA-Détails'!M2027</f>
        <v>3135000</v>
      </c>
      <c r="N146" s="36">
        <f>'PA-Détails'!N2027</f>
        <v>2625000</v>
      </c>
      <c r="O146" s="36">
        <f>'PA-Détails'!O2027</f>
        <v>0</v>
      </c>
      <c r="P146" s="36">
        <f>'PA-Détails'!P2027</f>
        <v>0</v>
      </c>
      <c r="Q146" s="429">
        <f>'PA-Détails'!Q2027</f>
        <v>5760000</v>
      </c>
      <c r="R146" s="570"/>
      <c r="S146" s="591">
        <f>'PA-Détails'!S2027</f>
        <v>0</v>
      </c>
      <c r="T146" s="597">
        <f>'PA-Détails'!T2027</f>
        <v>0</v>
      </c>
      <c r="U146" s="586">
        <f>'PA-Détails'!T2027</f>
        <v>0</v>
      </c>
    </row>
    <row r="147" spans="1:21" x14ac:dyDescent="0.2">
      <c r="A147" s="369" t="str">
        <f>'PA-Détails'!A2029</f>
        <v>4.7.2 Primes d'itinérance</v>
      </c>
      <c r="B147" s="446"/>
      <c r="C147" s="386">
        <f>'PA-Détails'!C2029</f>
        <v>0</v>
      </c>
      <c r="D147" s="168">
        <f>'PA-Détails'!D2029</f>
        <v>0</v>
      </c>
      <c r="E147" s="168">
        <f>'PA-Détails'!E2029</f>
        <v>0</v>
      </c>
      <c r="F147" s="168">
        <f>'PA-Détails'!F2029</f>
        <v>2100</v>
      </c>
      <c r="G147" s="168">
        <f>'PA-Détails'!G2029</f>
        <v>2100</v>
      </c>
      <c r="H147" s="168">
        <f>'PA-Détails'!H2029</f>
        <v>2100</v>
      </c>
      <c r="I147" s="168">
        <f>'PA-Détails'!I2029</f>
        <v>6300</v>
      </c>
      <c r="J147" s="447">
        <f>'PA-Détails'!J2029</f>
        <v>0</v>
      </c>
      <c r="K147" s="36">
        <f>'PA-Détails'!K2029</f>
        <v>0</v>
      </c>
      <c r="L147" s="36">
        <f>'PA-Détails'!L2029</f>
        <v>0</v>
      </c>
      <c r="M147" s="36">
        <f>'PA-Détails'!M2029</f>
        <v>0</v>
      </c>
      <c r="N147" s="36">
        <f>'PA-Détails'!N2029</f>
        <v>2100000</v>
      </c>
      <c r="O147" s="36">
        <f>'PA-Détails'!O2029</f>
        <v>2100000</v>
      </c>
      <c r="P147" s="36">
        <f>'PA-Détails'!P2029</f>
        <v>2100000</v>
      </c>
      <c r="Q147" s="429">
        <f>'PA-Détails'!Q2029</f>
        <v>6300000</v>
      </c>
      <c r="R147" s="570"/>
      <c r="S147" s="591">
        <f>'PA-Détails'!S2029</f>
        <v>0</v>
      </c>
      <c r="T147" s="597">
        <f>'PA-Détails'!T2029</f>
        <v>0</v>
      </c>
      <c r="U147" s="586">
        <f>'PA-Détails'!T2029</f>
        <v>0</v>
      </c>
    </row>
    <row r="148" spans="1:21" x14ac:dyDescent="0.2">
      <c r="A148" s="369" t="str">
        <f>'PA-Détails'!A2031</f>
        <v>4.7.3 Moyens informatiques</v>
      </c>
      <c r="B148" s="446"/>
      <c r="C148" s="386">
        <f>'PA-Détails'!C2031</f>
        <v>0</v>
      </c>
      <c r="D148" s="168">
        <f>'PA-Détails'!D2031</f>
        <v>0</v>
      </c>
      <c r="E148" s="168">
        <f>'PA-Détails'!E2031</f>
        <v>1968.5</v>
      </c>
      <c r="F148" s="168">
        <f>'PA-Détails'!F2031</f>
        <v>1312.5</v>
      </c>
      <c r="G148" s="168">
        <f>'PA-Détails'!G2031</f>
        <v>0</v>
      </c>
      <c r="H148" s="168">
        <f>'PA-Détails'!H2031</f>
        <v>0</v>
      </c>
      <c r="I148" s="168">
        <f>'PA-Détails'!I2031</f>
        <v>3281</v>
      </c>
      <c r="J148" s="447">
        <f>'PA-Détails'!J2031</f>
        <v>0</v>
      </c>
      <c r="K148" s="36">
        <f>'PA-Détails'!K2031</f>
        <v>0</v>
      </c>
      <c r="L148" s="36">
        <f>'PA-Détails'!L2031</f>
        <v>0</v>
      </c>
      <c r="M148" s="36">
        <f>'PA-Détails'!M2031</f>
        <v>1968500</v>
      </c>
      <c r="N148" s="36">
        <f>'PA-Détails'!N2031</f>
        <v>1312500</v>
      </c>
      <c r="O148" s="36">
        <f>'PA-Détails'!O2031</f>
        <v>0</v>
      </c>
      <c r="P148" s="36">
        <f>'PA-Détails'!P2031</f>
        <v>0</v>
      </c>
      <c r="Q148" s="429">
        <f>'PA-Détails'!Q2031</f>
        <v>3281000</v>
      </c>
      <c r="R148" s="570"/>
      <c r="S148" s="591">
        <f>'PA-Détails'!S2031</f>
        <v>0</v>
      </c>
      <c r="T148" s="597">
        <f>'PA-Détails'!T2031</f>
        <v>0</v>
      </c>
      <c r="U148" s="586">
        <f>'PA-Détails'!T2031</f>
        <v>0</v>
      </c>
    </row>
    <row r="149" spans="1:21" x14ac:dyDescent="0.2">
      <c r="A149" s="441" t="str">
        <f>'PA-Détails'!A2033</f>
        <v>5. Enseignement du second cycle secondaire : maitriser et diversifier l'accès et préparer les élèves aux études supérieures</v>
      </c>
      <c r="B149" s="442"/>
      <c r="C149" s="391">
        <f>'PA-Détails'!C2033</f>
        <v>0</v>
      </c>
      <c r="D149" s="339">
        <f>'PA-Détails'!D2033</f>
        <v>144129.66024233619</v>
      </c>
      <c r="E149" s="339">
        <f>'PA-Détails'!E2033</f>
        <v>179446.78911333758</v>
      </c>
      <c r="F149" s="339">
        <f>'PA-Détails'!F2033</f>
        <v>192162.61850446844</v>
      </c>
      <c r="G149" s="339">
        <f>'PA-Détails'!G2033</f>
        <v>200615.02158609108</v>
      </c>
      <c r="H149" s="339">
        <f>'PA-Détails'!H2033</f>
        <v>214152.68103409512</v>
      </c>
      <c r="I149" s="339">
        <f>'PA-Détails'!I2033</f>
        <v>930506.77048032836</v>
      </c>
      <c r="J149" s="451">
        <f>'PA-Détails'!J2033</f>
        <v>0</v>
      </c>
      <c r="K149" s="29">
        <f>'PA-Détails'!K2033</f>
        <v>0</v>
      </c>
      <c r="L149" s="29">
        <f>'PA-Détails'!L2033</f>
        <v>144129660.24233618</v>
      </c>
      <c r="M149" s="29">
        <f>'PA-Détails'!M2033</f>
        <v>179446789.11333758</v>
      </c>
      <c r="N149" s="29">
        <f>'PA-Détails'!N2033</f>
        <v>192162618.50446844</v>
      </c>
      <c r="O149" s="29">
        <f>'PA-Détails'!O2033</f>
        <v>200615021.58609107</v>
      </c>
      <c r="P149" s="29">
        <f>'PA-Détails'!P2033</f>
        <v>214152681.03409511</v>
      </c>
      <c r="Q149" s="430">
        <f>'PA-Détails'!Q2033</f>
        <v>930506770.48032832</v>
      </c>
      <c r="R149" s="570"/>
      <c r="S149" s="579">
        <f>'PA-Détails'!S2033</f>
        <v>0</v>
      </c>
      <c r="T149" s="589">
        <f>'PA-Détails'!T2033</f>
        <v>0</v>
      </c>
      <c r="U149" s="580">
        <f>'PA-Détails'!T2033</f>
        <v>0</v>
      </c>
    </row>
    <row r="150" spans="1:21" x14ac:dyDescent="0.2">
      <c r="A150" s="368" t="str">
        <f>'PA-Détails'!A2034</f>
        <v>5.1 Réforme du secondaire : distinguer entre filières générales et filières professionnelles</v>
      </c>
      <c r="B150" s="444"/>
      <c r="C150" s="385">
        <f>'PA-Détails'!C2034</f>
        <v>0</v>
      </c>
      <c r="D150" s="217">
        <f>'PA-Détails'!D2034</f>
        <v>11.5</v>
      </c>
      <c r="E150" s="217">
        <f>'PA-Détails'!E2034</f>
        <v>20000</v>
      </c>
      <c r="F150" s="217">
        <f>'PA-Détails'!F2034</f>
        <v>20000</v>
      </c>
      <c r="G150" s="217">
        <f>'PA-Détails'!G2034</f>
        <v>20000</v>
      </c>
      <c r="H150" s="217">
        <f>'PA-Détails'!H2034</f>
        <v>20000</v>
      </c>
      <c r="I150" s="217">
        <f>'PA-Détails'!I2034</f>
        <v>80011.5</v>
      </c>
      <c r="J150" s="449">
        <f>'PA-Détails'!J2034</f>
        <v>0</v>
      </c>
      <c r="K150" s="32">
        <f>'PA-Détails'!K2034</f>
        <v>0</v>
      </c>
      <c r="L150" s="32">
        <f>'PA-Détails'!L2034</f>
        <v>11500</v>
      </c>
      <c r="M150" s="32">
        <f>'PA-Détails'!M2034</f>
        <v>20000000</v>
      </c>
      <c r="N150" s="32">
        <f>'PA-Détails'!N2034</f>
        <v>20000000</v>
      </c>
      <c r="O150" s="32">
        <f>'PA-Détails'!O2034</f>
        <v>20000000</v>
      </c>
      <c r="P150" s="32">
        <f>'PA-Détails'!P2034</f>
        <v>20000000</v>
      </c>
      <c r="Q150" s="428">
        <f>'PA-Détails'!Q2034</f>
        <v>80011500</v>
      </c>
      <c r="R150" s="570"/>
      <c r="S150" s="581">
        <f>'PA-Détails'!S2034</f>
        <v>0</v>
      </c>
      <c r="T150" s="582">
        <f>'PA-Détails'!T2034</f>
        <v>1</v>
      </c>
      <c r="U150" s="583">
        <f>'PA-Détails'!T2034</f>
        <v>1</v>
      </c>
    </row>
    <row r="151" spans="1:21" x14ac:dyDescent="0.2">
      <c r="A151" s="369" t="str">
        <f>'PA-Détails'!A2035</f>
        <v>5.1.1 Réforme des filières et spécialisation des écoles secondaires</v>
      </c>
      <c r="B151" s="446"/>
      <c r="C151" s="387" t="str">
        <f>'PA-Détails'!C2035</f>
        <v>Dispositions règlementaires prises en 2016</v>
      </c>
      <c r="D151" s="168">
        <f>'PA-Détails'!D2035</f>
        <v>11.5</v>
      </c>
      <c r="E151" s="168">
        <f>'PA-Détails'!E2035</f>
        <v>20000</v>
      </c>
      <c r="F151" s="168">
        <f>'PA-Détails'!F2035</f>
        <v>20000</v>
      </c>
      <c r="G151" s="168">
        <f>'PA-Détails'!G2035</f>
        <v>20000</v>
      </c>
      <c r="H151" s="168">
        <f>'PA-Détails'!H2035</f>
        <v>20000</v>
      </c>
      <c r="I151" s="168">
        <f>'PA-Détails'!I2035</f>
        <v>80011.5</v>
      </c>
      <c r="J151" s="447">
        <f>'PA-Détails'!J2035</f>
        <v>0</v>
      </c>
      <c r="K151" s="36">
        <f>'PA-Détails'!K2035</f>
        <v>0</v>
      </c>
      <c r="L151" s="36">
        <f>'PA-Détails'!L2035</f>
        <v>11500</v>
      </c>
      <c r="M151" s="36">
        <f>'PA-Détails'!M2035</f>
        <v>20000000</v>
      </c>
      <c r="N151" s="36">
        <f>'PA-Détails'!N2035</f>
        <v>20000000</v>
      </c>
      <c r="O151" s="36">
        <f>'PA-Détails'!O2035</f>
        <v>20000000</v>
      </c>
      <c r="P151" s="36">
        <f>'PA-Détails'!P2035</f>
        <v>20000000</v>
      </c>
      <c r="Q151" s="429">
        <f>'PA-Détails'!Q2035</f>
        <v>80011500</v>
      </c>
      <c r="R151" s="570"/>
      <c r="S151" s="584">
        <f>'PA-Détails'!S2035</f>
        <v>0</v>
      </c>
      <c r="T151" s="585">
        <f>'PA-Détails'!T2035</f>
        <v>0</v>
      </c>
      <c r="U151" s="586">
        <f>'PA-Détails'!T2035</f>
        <v>0</v>
      </c>
    </row>
    <row r="152" spans="1:21" x14ac:dyDescent="0.2">
      <c r="A152" s="455" t="str">
        <f>'PA-Détails'!A2038</f>
        <v>5.2 Gestion de l'accès à l'enseignement secondaire : assurer la gestion et l'orientation des élèves à la fin de l'enseignement de base</v>
      </c>
      <c r="B152" s="456"/>
      <c r="C152" s="392">
        <f>'PA-Détails'!C2038</f>
        <v>0</v>
      </c>
      <c r="D152" s="217">
        <f>'PA-Détails'!D2038</f>
        <v>34</v>
      </c>
      <c r="E152" s="217">
        <f>'PA-Détails'!E2038</f>
        <v>5000</v>
      </c>
      <c r="F152" s="217">
        <f>'PA-Détails'!F2038</f>
        <v>5000</v>
      </c>
      <c r="G152" s="217">
        <f>'PA-Détails'!G2038</f>
        <v>5000</v>
      </c>
      <c r="H152" s="217">
        <f>'PA-Détails'!H2038</f>
        <v>5000</v>
      </c>
      <c r="I152" s="217">
        <f>'PA-Détails'!I2038</f>
        <v>20034</v>
      </c>
      <c r="J152" s="457">
        <f>'PA-Détails'!J2038</f>
        <v>0</v>
      </c>
      <c r="K152" s="217">
        <f>'PA-Détails'!K2038</f>
        <v>0</v>
      </c>
      <c r="L152" s="217">
        <f>'PA-Détails'!L2038</f>
        <v>34000</v>
      </c>
      <c r="M152" s="217">
        <f>'PA-Détails'!M2038</f>
        <v>5000000</v>
      </c>
      <c r="N152" s="217">
        <f>'PA-Détails'!N2038</f>
        <v>5000000</v>
      </c>
      <c r="O152" s="217">
        <f>'PA-Détails'!O2038</f>
        <v>5000000</v>
      </c>
      <c r="P152" s="217">
        <f>'PA-Détails'!P2038</f>
        <v>5000000</v>
      </c>
      <c r="Q152" s="431">
        <f>'PA-Détails'!Q2038</f>
        <v>20034000</v>
      </c>
      <c r="R152" s="570"/>
      <c r="S152" s="581">
        <f>'PA-Détails'!S2038</f>
        <v>0</v>
      </c>
      <c r="T152" s="582">
        <f>'PA-Détails'!T2038</f>
        <v>1</v>
      </c>
      <c r="U152" s="583">
        <f>'PA-Détails'!T2038</f>
        <v>1</v>
      </c>
    </row>
    <row r="153" spans="1:21" x14ac:dyDescent="0.2">
      <c r="A153" s="370" t="str">
        <f>'PA-Détails'!A2039</f>
        <v>5.2.1 Mise en place d'un examen concours en fin de l'enseignement de base (ex fin de la 2ème année du premier cycle secondaire)</v>
      </c>
      <c r="B153" s="452"/>
      <c r="C153" s="390" t="str">
        <f>'PA-Détails'!C2039</f>
        <v>Dispositions règlementaires prises en 2017</v>
      </c>
      <c r="D153" s="168">
        <f>'PA-Détails'!D2039</f>
        <v>34</v>
      </c>
      <c r="E153" s="168">
        <f>'PA-Détails'!E2039</f>
        <v>5000</v>
      </c>
      <c r="F153" s="168">
        <f>'PA-Détails'!F2039</f>
        <v>5000</v>
      </c>
      <c r="G153" s="168">
        <f>'PA-Détails'!G2039</f>
        <v>5000</v>
      </c>
      <c r="H153" s="168">
        <f>'PA-Détails'!H2039</f>
        <v>5000</v>
      </c>
      <c r="I153" s="168">
        <f>'PA-Détails'!I2039</f>
        <v>20034</v>
      </c>
      <c r="J153" s="389">
        <f>'PA-Détails'!J2039</f>
        <v>0</v>
      </c>
      <c r="K153" s="168">
        <f>'PA-Détails'!K2039</f>
        <v>0</v>
      </c>
      <c r="L153" s="36">
        <f>'PA-Détails'!L2039</f>
        <v>34000</v>
      </c>
      <c r="M153" s="36">
        <f>'PA-Détails'!M2039</f>
        <v>5000000</v>
      </c>
      <c r="N153" s="36">
        <f>'PA-Détails'!N2039</f>
        <v>5000000</v>
      </c>
      <c r="O153" s="36">
        <f>'PA-Détails'!O2039</f>
        <v>5000000</v>
      </c>
      <c r="P153" s="36">
        <f>'PA-Détails'!P2039</f>
        <v>5000000</v>
      </c>
      <c r="Q153" s="429">
        <f>'PA-Détails'!Q2039</f>
        <v>20034000</v>
      </c>
      <c r="R153" s="570"/>
      <c r="S153" s="584">
        <f>'PA-Détails'!S2039</f>
        <v>0</v>
      </c>
      <c r="T153" s="585">
        <f>'PA-Détails'!T2039</f>
        <v>0</v>
      </c>
      <c r="U153" s="586">
        <f>'PA-Détails'!T2039</f>
        <v>0</v>
      </c>
    </row>
    <row r="154" spans="1:21" x14ac:dyDescent="0.2">
      <c r="A154" s="455" t="str">
        <f>'PA-Détails'!A2043</f>
        <v>5.3 Moyens des écoles : Apporter des ressources complétées par les frais scolaires payés par les familles</v>
      </c>
      <c r="B154" s="456"/>
      <c r="C154" s="392">
        <f>'PA-Détails'!C2043</f>
        <v>0</v>
      </c>
      <c r="D154" s="217">
        <f>'PA-Détails'!D2043</f>
        <v>84790.660242336191</v>
      </c>
      <c r="E154" s="217">
        <f>'PA-Détails'!E2043</f>
        <v>89668.289113337596</v>
      </c>
      <c r="F154" s="217">
        <f>'PA-Détails'!F2043</f>
        <v>94595.243504468439</v>
      </c>
      <c r="G154" s="217">
        <f>'PA-Détails'!G2043</f>
        <v>106357.92758609107</v>
      </c>
      <c r="H154" s="217">
        <f>'PA-Détails'!H2043</f>
        <v>118961.45803409511</v>
      </c>
      <c r="I154" s="217">
        <f>'PA-Détails'!I2043</f>
        <v>494373.57848032838</v>
      </c>
      <c r="J154" s="457">
        <f>'PA-Détails'!J2043</f>
        <v>0</v>
      </c>
      <c r="K154" s="217">
        <f>'PA-Détails'!K2043</f>
        <v>0</v>
      </c>
      <c r="L154" s="217">
        <f>'PA-Détails'!L2043</f>
        <v>84790660.242336184</v>
      </c>
      <c r="M154" s="217">
        <f>'PA-Détails'!M2043</f>
        <v>89668289.113337591</v>
      </c>
      <c r="N154" s="217">
        <f>'PA-Détails'!N2043</f>
        <v>94595243.504468441</v>
      </c>
      <c r="O154" s="217">
        <f>'PA-Détails'!O2043</f>
        <v>106357927.58609107</v>
      </c>
      <c r="P154" s="217">
        <f>'PA-Détails'!P2043</f>
        <v>118961458.03409511</v>
      </c>
      <c r="Q154" s="431">
        <f>'PA-Détails'!Q2043</f>
        <v>494373578.48032838</v>
      </c>
      <c r="R154" s="570"/>
      <c r="S154" s="581">
        <f>'PA-Détails'!S2043</f>
        <v>0</v>
      </c>
      <c r="T154" s="582">
        <f>'PA-Détails'!T2043</f>
        <v>1</v>
      </c>
      <c r="U154" s="583">
        <f>'PA-Détails'!T2043</f>
        <v>1</v>
      </c>
    </row>
    <row r="155" spans="1:21" x14ac:dyDescent="0.2">
      <c r="A155" s="370" t="str">
        <f>'PA-Détails'!A2044</f>
        <v>5.3.1 Prise en charge du personnel</v>
      </c>
      <c r="B155" s="452"/>
      <c r="C155" s="390" t="str">
        <f>'PA-Détails'!C2044</f>
        <v>101 000 personnels payés par l'État en 2025 (65 000 en 2014)</v>
      </c>
      <c r="D155" s="168">
        <f>'PA-Détails'!D2044</f>
        <v>58790.660242336191</v>
      </c>
      <c r="E155" s="168">
        <f>'PA-Détails'!E2044</f>
        <v>63668.289113337589</v>
      </c>
      <c r="F155" s="168">
        <f>'PA-Détails'!F2044</f>
        <v>68595.243504468439</v>
      </c>
      <c r="G155" s="168">
        <f>'PA-Détails'!G2044</f>
        <v>80357.927586091071</v>
      </c>
      <c r="H155" s="168">
        <f>'PA-Détails'!H2044</f>
        <v>92961.458034095107</v>
      </c>
      <c r="I155" s="168">
        <f>'PA-Détails'!I2044</f>
        <v>364373.57848032838</v>
      </c>
      <c r="J155" s="389">
        <f>'PA-Détails'!J2044</f>
        <v>0</v>
      </c>
      <c r="K155" s="168">
        <f>'PA-Détails'!K2044</f>
        <v>0</v>
      </c>
      <c r="L155" s="36">
        <f>'PA-Détails'!L2044</f>
        <v>58790660.242336191</v>
      </c>
      <c r="M155" s="36">
        <f>'PA-Détails'!M2044</f>
        <v>63668289.113337591</v>
      </c>
      <c r="N155" s="36">
        <f>'PA-Détails'!N2044</f>
        <v>68595243.504468441</v>
      </c>
      <c r="O155" s="36">
        <f>'PA-Détails'!O2044</f>
        <v>80357927.586091071</v>
      </c>
      <c r="P155" s="36">
        <f>'PA-Détails'!P2044</f>
        <v>92961458.034095109</v>
      </c>
      <c r="Q155" s="429">
        <f>'PA-Détails'!Q2044</f>
        <v>364373578.48032838</v>
      </c>
      <c r="R155" s="570"/>
      <c r="S155" s="584">
        <f>'PA-Détails'!S2044</f>
        <v>0</v>
      </c>
      <c r="T155" s="585">
        <f>'PA-Détails'!T2044</f>
        <v>0</v>
      </c>
      <c r="U155" s="586">
        <f>'PA-Détails'!T2044</f>
        <v>0</v>
      </c>
    </row>
    <row r="156" spans="1:21" x14ac:dyDescent="0.2">
      <c r="A156" s="369" t="str">
        <f>'PA-Détails'!A2046</f>
        <v>5.3.2 Construction des salles de classe</v>
      </c>
      <c r="B156" s="446"/>
      <c r="C156" s="387" t="str">
        <f>'PA-Détails'!C2046</f>
        <v>13 000 salles construites et équipées entre 2016 et 2025</v>
      </c>
      <c r="D156" s="168">
        <f>'PA-Détails'!D2046</f>
        <v>26000</v>
      </c>
      <c r="E156" s="168">
        <f>'PA-Détails'!E2046</f>
        <v>26000</v>
      </c>
      <c r="F156" s="168">
        <f>'PA-Détails'!F2046</f>
        <v>26000</v>
      </c>
      <c r="G156" s="168">
        <f>'PA-Détails'!G2046</f>
        <v>26000</v>
      </c>
      <c r="H156" s="168">
        <f>'PA-Détails'!H2046</f>
        <v>26000</v>
      </c>
      <c r="I156" s="168">
        <f>'PA-Détails'!I2046</f>
        <v>130000</v>
      </c>
      <c r="J156" s="447">
        <f>'PA-Détails'!J2046</f>
        <v>0</v>
      </c>
      <c r="K156" s="36">
        <f>'PA-Détails'!K2046</f>
        <v>0</v>
      </c>
      <c r="L156" s="36">
        <f>'PA-Détails'!L2046</f>
        <v>26000000</v>
      </c>
      <c r="M156" s="36">
        <f>'PA-Détails'!M2046</f>
        <v>26000000</v>
      </c>
      <c r="N156" s="36">
        <f>'PA-Détails'!N2046</f>
        <v>26000000</v>
      </c>
      <c r="O156" s="36">
        <f>'PA-Détails'!O2046</f>
        <v>26000000</v>
      </c>
      <c r="P156" s="36">
        <f>'PA-Détails'!P2046</f>
        <v>26000000</v>
      </c>
      <c r="Q156" s="429">
        <f>'PA-Détails'!Q2046</f>
        <v>130000000</v>
      </c>
      <c r="R156" s="570"/>
      <c r="S156" s="584">
        <f>'PA-Détails'!S2046</f>
        <v>0</v>
      </c>
      <c r="T156" s="585">
        <f>'PA-Détails'!T2046</f>
        <v>0</v>
      </c>
      <c r="U156" s="586">
        <f>'PA-Détails'!T2046</f>
        <v>0</v>
      </c>
    </row>
    <row r="157" spans="1:21" x14ac:dyDescent="0.2">
      <c r="A157" s="368" t="str">
        <f>'PA-Détails'!A2048</f>
        <v xml:space="preserve">5.4 Matériels et équipements pédagogiques : rendre accessibles et disponibles les manuels scolaires et le matériel didactique </v>
      </c>
      <c r="B157" s="444"/>
      <c r="C157" s="385">
        <f>'PA-Détails'!C2048</f>
        <v>0</v>
      </c>
      <c r="D157" s="217">
        <f>'PA-Détails'!D2048</f>
        <v>18592</v>
      </c>
      <c r="E157" s="217">
        <f>'PA-Détails'!E2048</f>
        <v>19354</v>
      </c>
      <c r="F157" s="217">
        <f>'PA-Détails'!F2048</f>
        <v>20180.875</v>
      </c>
      <c r="G157" s="217">
        <f>'PA-Détails'!G2048</f>
        <v>21049.094000000001</v>
      </c>
      <c r="H157" s="217">
        <f>'PA-Détails'!H2048</f>
        <v>21960.723000000002</v>
      </c>
      <c r="I157" s="217">
        <f>'PA-Détails'!I2048</f>
        <v>101136.692</v>
      </c>
      <c r="J157" s="449">
        <f>'PA-Détails'!J2048</f>
        <v>0</v>
      </c>
      <c r="K157" s="32">
        <f>'PA-Détails'!K2048</f>
        <v>0</v>
      </c>
      <c r="L157" s="32">
        <f>'PA-Détails'!L2048</f>
        <v>18592000</v>
      </c>
      <c r="M157" s="32">
        <f>'PA-Détails'!M2048</f>
        <v>19354000</v>
      </c>
      <c r="N157" s="32">
        <f>'PA-Détails'!N2048</f>
        <v>20180875</v>
      </c>
      <c r="O157" s="32">
        <f>'PA-Détails'!O2048</f>
        <v>21049094</v>
      </c>
      <c r="P157" s="32">
        <f>'PA-Détails'!P2048</f>
        <v>21960723</v>
      </c>
      <c r="Q157" s="428">
        <f>'PA-Détails'!Q2048</f>
        <v>101136692</v>
      </c>
      <c r="R157" s="570"/>
      <c r="S157" s="592">
        <f>'PA-Détails'!S2048</f>
        <v>0</v>
      </c>
      <c r="T157" s="593">
        <f>'PA-Détails'!T2048</f>
        <v>2</v>
      </c>
      <c r="U157" s="588">
        <f>'PA-Détails'!T2048</f>
        <v>2</v>
      </c>
    </row>
    <row r="158" spans="1:21" x14ac:dyDescent="0.2">
      <c r="A158" s="369" t="str">
        <f>'PA-Détails'!A2049</f>
        <v>5.4.1 Équipement pédagogiques</v>
      </c>
      <c r="B158" s="446"/>
      <c r="C158" s="386">
        <f>'PA-Détails'!C2049</f>
        <v>0</v>
      </c>
      <c r="D158" s="168">
        <f>'PA-Détails'!D2049</f>
        <v>15754.5</v>
      </c>
      <c r="E158" s="168">
        <f>'PA-Détails'!E2049</f>
        <v>16537.5</v>
      </c>
      <c r="F158" s="168">
        <f>'PA-Détails'!F2049</f>
        <v>17364.375</v>
      </c>
      <c r="G158" s="168">
        <f>'PA-Détails'!G2049</f>
        <v>18232.594000000001</v>
      </c>
      <c r="H158" s="168">
        <f>'PA-Détails'!H2049</f>
        <v>19144.223000000002</v>
      </c>
      <c r="I158" s="168">
        <f>'PA-Détails'!I2049</f>
        <v>87033.191999999995</v>
      </c>
      <c r="J158" s="447">
        <f>'PA-Détails'!J2049</f>
        <v>0</v>
      </c>
      <c r="K158" s="36">
        <f>'PA-Détails'!K2049</f>
        <v>0</v>
      </c>
      <c r="L158" s="36">
        <f>'PA-Détails'!L2049</f>
        <v>15754500</v>
      </c>
      <c r="M158" s="36">
        <f>'PA-Détails'!M2049</f>
        <v>16537500</v>
      </c>
      <c r="N158" s="36">
        <f>'PA-Détails'!N2049</f>
        <v>17364375</v>
      </c>
      <c r="O158" s="36">
        <f>'PA-Détails'!O2049</f>
        <v>18232594</v>
      </c>
      <c r="P158" s="36">
        <f>'PA-Détails'!P2049</f>
        <v>19144223</v>
      </c>
      <c r="Q158" s="429">
        <f>'PA-Détails'!Q2049</f>
        <v>87033192</v>
      </c>
      <c r="R158" s="570"/>
      <c r="S158" s="594">
        <f>'PA-Détails'!S2049</f>
        <v>0</v>
      </c>
      <c r="T158" s="595">
        <f>'PA-Détails'!T2049</f>
        <v>0</v>
      </c>
      <c r="U158" s="586">
        <f>'PA-Détails'!T2049</f>
        <v>0</v>
      </c>
    </row>
    <row r="159" spans="1:21" x14ac:dyDescent="0.2">
      <c r="A159" s="369" t="str">
        <f>'PA-Détails'!A2052</f>
        <v xml:space="preserve">5.4.2 Manuels scolaires </v>
      </c>
      <c r="B159" s="446"/>
      <c r="C159" s="386" t="str">
        <f>'PA-Détails'!C2052</f>
        <v xml:space="preserve">En 2025, tous les enfants disposent de 3 manuels </v>
      </c>
      <c r="D159" s="168">
        <f>'PA-Détails'!D2052</f>
        <v>2796.3</v>
      </c>
      <c r="E159" s="168">
        <f>'PA-Détails'!E2052</f>
        <v>2775.3</v>
      </c>
      <c r="F159" s="168">
        <f>'PA-Détails'!F2052</f>
        <v>2775.3</v>
      </c>
      <c r="G159" s="168">
        <f>'PA-Détails'!G2052</f>
        <v>2775.3</v>
      </c>
      <c r="H159" s="168">
        <f>'PA-Détails'!H2052</f>
        <v>2775.3</v>
      </c>
      <c r="I159" s="168">
        <f>'PA-Détails'!I2052</f>
        <v>13897.5</v>
      </c>
      <c r="J159" s="447">
        <f>'PA-Détails'!J2052</f>
        <v>0</v>
      </c>
      <c r="K159" s="36">
        <f>'PA-Détails'!K2052</f>
        <v>0</v>
      </c>
      <c r="L159" s="36">
        <f>'PA-Détails'!L2052</f>
        <v>2796300</v>
      </c>
      <c r="M159" s="36">
        <f>'PA-Détails'!M2052</f>
        <v>2775300</v>
      </c>
      <c r="N159" s="36">
        <f>'PA-Détails'!N2052</f>
        <v>2775300</v>
      </c>
      <c r="O159" s="36">
        <f>'PA-Détails'!O2052</f>
        <v>2775300</v>
      </c>
      <c r="P159" s="36">
        <f>'PA-Détails'!P2052</f>
        <v>2775300</v>
      </c>
      <c r="Q159" s="429">
        <f>'PA-Détails'!Q2052</f>
        <v>13897500</v>
      </c>
      <c r="R159" s="570"/>
      <c r="S159" s="594">
        <f>'PA-Détails'!S2052</f>
        <v>0</v>
      </c>
      <c r="T159" s="595">
        <f>'PA-Détails'!T2052</f>
        <v>0</v>
      </c>
      <c r="U159" s="586">
        <f>'PA-Détails'!T2052</f>
        <v>0</v>
      </c>
    </row>
    <row r="160" spans="1:21" x14ac:dyDescent="0.2">
      <c r="A160" s="369" t="str">
        <f>'PA-Détails'!A2056</f>
        <v>5.4.3 Guides pédagogiques pour les enseignants</v>
      </c>
      <c r="B160" s="446"/>
      <c r="C160" s="386" t="str">
        <f>'PA-Détails'!C2056</f>
        <v>En 2025, tous les enseignants disposent d'un guide</v>
      </c>
      <c r="D160" s="168">
        <f>'PA-Détails'!D2056</f>
        <v>41.2</v>
      </c>
      <c r="E160" s="168">
        <f>'PA-Détails'!E2056</f>
        <v>41.2</v>
      </c>
      <c r="F160" s="168">
        <f>'PA-Détails'!F2056</f>
        <v>41.2</v>
      </c>
      <c r="G160" s="168">
        <f>'PA-Détails'!G2056</f>
        <v>41.2</v>
      </c>
      <c r="H160" s="168">
        <f>'PA-Détails'!H2056</f>
        <v>41.2</v>
      </c>
      <c r="I160" s="168">
        <f>'PA-Détails'!I2056</f>
        <v>206</v>
      </c>
      <c r="J160" s="447">
        <f>'PA-Détails'!J2056</f>
        <v>0</v>
      </c>
      <c r="K160" s="36">
        <f>'PA-Détails'!K2056</f>
        <v>0</v>
      </c>
      <c r="L160" s="36">
        <f>'PA-Détails'!L2056</f>
        <v>41200</v>
      </c>
      <c r="M160" s="36">
        <f>'PA-Détails'!M2056</f>
        <v>41200</v>
      </c>
      <c r="N160" s="36">
        <f>'PA-Détails'!N2056</f>
        <v>41200</v>
      </c>
      <c r="O160" s="36">
        <f>'PA-Détails'!O2056</f>
        <v>41200</v>
      </c>
      <c r="P160" s="36">
        <f>'PA-Détails'!P2056</f>
        <v>41200</v>
      </c>
      <c r="Q160" s="429">
        <f>'PA-Détails'!Q2056</f>
        <v>206000</v>
      </c>
      <c r="R160" s="570"/>
      <c r="S160" s="594">
        <f>'PA-Détails'!S2056</f>
        <v>0</v>
      </c>
      <c r="T160" s="595">
        <f>'PA-Détails'!T2056</f>
        <v>0</v>
      </c>
      <c r="U160" s="586">
        <f>'PA-Détails'!T2056</f>
        <v>0</v>
      </c>
    </row>
    <row r="161" spans="1:21" x14ac:dyDescent="0.2">
      <c r="A161" s="368" t="str">
        <f>'PA-Détails'!A2058</f>
        <v>5.5 Équipement des bibliothèques et laboratoires : acquérir des fonds documentaires et matériels nécessaires aux bibliothèques, laboratoires et salles spécialisées</v>
      </c>
      <c r="B161" s="444"/>
      <c r="C161" s="385">
        <f>'PA-Détails'!C2058</f>
        <v>0</v>
      </c>
      <c r="D161" s="217">
        <f>'PA-Détails'!D2058</f>
        <v>25518</v>
      </c>
      <c r="E161" s="217">
        <f>'PA-Détails'!E2058</f>
        <v>25428</v>
      </c>
      <c r="F161" s="217">
        <f>'PA-Détails'!F2058</f>
        <v>25428</v>
      </c>
      <c r="G161" s="217">
        <f>'PA-Détails'!G2058</f>
        <v>25428</v>
      </c>
      <c r="H161" s="217">
        <f>'PA-Détails'!H2058</f>
        <v>25428</v>
      </c>
      <c r="I161" s="217">
        <f>'PA-Détails'!I2058</f>
        <v>127230</v>
      </c>
      <c r="J161" s="449">
        <f>'PA-Détails'!J2058</f>
        <v>0</v>
      </c>
      <c r="K161" s="32">
        <f>'PA-Détails'!K2058</f>
        <v>0</v>
      </c>
      <c r="L161" s="32">
        <f>'PA-Détails'!L2058</f>
        <v>25518000</v>
      </c>
      <c r="M161" s="32">
        <f>'PA-Détails'!M2058</f>
        <v>25428000</v>
      </c>
      <c r="N161" s="32">
        <f>'PA-Détails'!N2058</f>
        <v>25428000</v>
      </c>
      <c r="O161" s="32">
        <f>'PA-Détails'!O2058</f>
        <v>25428000</v>
      </c>
      <c r="P161" s="32">
        <f>'PA-Détails'!P2058</f>
        <v>25428000</v>
      </c>
      <c r="Q161" s="428">
        <f>'PA-Détails'!Q2058</f>
        <v>127230000</v>
      </c>
      <c r="R161" s="570"/>
      <c r="S161" s="592">
        <f>'PA-Détails'!S2058</f>
        <v>0</v>
      </c>
      <c r="T161" s="593">
        <f>'PA-Détails'!T2058</f>
        <v>2</v>
      </c>
      <c r="U161" s="588">
        <f>'PA-Détails'!T2058</f>
        <v>2</v>
      </c>
    </row>
    <row r="162" spans="1:21" x14ac:dyDescent="0.2">
      <c r="A162" s="369" t="str">
        <f>'PA-Détails'!A2059</f>
        <v>5.5.1 Équipement des laboratoires</v>
      </c>
      <c r="B162" s="446"/>
      <c r="C162" s="386" t="str">
        <f>'PA-Détails'!C2059</f>
        <v>En 2025 tous les établissements secondaires disposent des équipements de laboratoires nécessaires</v>
      </c>
      <c r="D162" s="168">
        <f>'PA-Détails'!D2059</f>
        <v>24464</v>
      </c>
      <c r="E162" s="168">
        <f>'PA-Détails'!E2059</f>
        <v>24450</v>
      </c>
      <c r="F162" s="168">
        <f>'PA-Détails'!F2059</f>
        <v>24450</v>
      </c>
      <c r="G162" s="168">
        <f>'PA-Détails'!G2059</f>
        <v>24450</v>
      </c>
      <c r="H162" s="168">
        <f>'PA-Détails'!H2059</f>
        <v>24450</v>
      </c>
      <c r="I162" s="168">
        <f>'PA-Détails'!I2059</f>
        <v>122264</v>
      </c>
      <c r="J162" s="447">
        <f>'PA-Détails'!J2059</f>
        <v>0</v>
      </c>
      <c r="K162" s="36">
        <f>'PA-Détails'!K2059</f>
        <v>0</v>
      </c>
      <c r="L162" s="36">
        <f>'PA-Détails'!L2059</f>
        <v>24464000</v>
      </c>
      <c r="M162" s="36">
        <f>'PA-Détails'!M2059</f>
        <v>24450000</v>
      </c>
      <c r="N162" s="36">
        <f>'PA-Détails'!N2059</f>
        <v>24450000</v>
      </c>
      <c r="O162" s="36">
        <f>'PA-Détails'!O2059</f>
        <v>24450000</v>
      </c>
      <c r="P162" s="36">
        <f>'PA-Détails'!P2059</f>
        <v>24450000</v>
      </c>
      <c r="Q162" s="429">
        <f>'PA-Détails'!Q2059</f>
        <v>122264000</v>
      </c>
      <c r="R162" s="570"/>
      <c r="S162" s="594">
        <f>'PA-Détails'!S2059</f>
        <v>0</v>
      </c>
      <c r="T162" s="595">
        <f>'PA-Détails'!T2059</f>
        <v>0</v>
      </c>
      <c r="U162" s="586">
        <f>'PA-Détails'!T2059</f>
        <v>0</v>
      </c>
    </row>
    <row r="163" spans="1:21" x14ac:dyDescent="0.2">
      <c r="A163" s="369" t="str">
        <f>'PA-Détails'!A2063</f>
        <v>5.5.2 Équipement des bibliothèques</v>
      </c>
      <c r="B163" s="446"/>
      <c r="C163" s="386" t="str">
        <f>'PA-Détails'!C2063</f>
        <v>En 2025 tous les établissements secondaires disposent d'une bibliothèque équipée</v>
      </c>
      <c r="D163" s="168">
        <f>'PA-Détails'!D2063</f>
        <v>1054</v>
      </c>
      <c r="E163" s="168">
        <f>'PA-Détails'!E2063</f>
        <v>978</v>
      </c>
      <c r="F163" s="168">
        <f>'PA-Détails'!F2063</f>
        <v>978</v>
      </c>
      <c r="G163" s="168">
        <f>'PA-Détails'!G2063</f>
        <v>978</v>
      </c>
      <c r="H163" s="168">
        <f>'PA-Détails'!H2063</f>
        <v>978</v>
      </c>
      <c r="I163" s="168">
        <f>'PA-Détails'!I2063</f>
        <v>4966</v>
      </c>
      <c r="J163" s="447">
        <f>'PA-Détails'!J2063</f>
        <v>0</v>
      </c>
      <c r="K163" s="36">
        <f>'PA-Détails'!K2063</f>
        <v>0</v>
      </c>
      <c r="L163" s="36">
        <f>'PA-Détails'!L2063</f>
        <v>1054000</v>
      </c>
      <c r="M163" s="36">
        <f>'PA-Détails'!M2063</f>
        <v>978000</v>
      </c>
      <c r="N163" s="36">
        <f>'PA-Détails'!N2063</f>
        <v>978000</v>
      </c>
      <c r="O163" s="36">
        <f>'PA-Détails'!O2063</f>
        <v>978000</v>
      </c>
      <c r="P163" s="36">
        <f>'PA-Détails'!P2063</f>
        <v>978000</v>
      </c>
      <c r="Q163" s="429">
        <f>'PA-Détails'!Q2063</f>
        <v>4966000</v>
      </c>
      <c r="R163" s="570"/>
      <c r="S163" s="594">
        <f>'PA-Détails'!S2063</f>
        <v>0</v>
      </c>
      <c r="T163" s="595">
        <f>'PA-Détails'!T2063</f>
        <v>0</v>
      </c>
      <c r="U163" s="586">
        <f>'PA-Détails'!T2063</f>
        <v>0</v>
      </c>
    </row>
    <row r="164" spans="1:21" x14ac:dyDescent="0.2">
      <c r="A164" s="368" t="str">
        <f>'PA-Détails'!A2067</f>
        <v xml:space="preserve">5.6 Environnement éducatif : apporter les équipements mobiliers </v>
      </c>
      <c r="B164" s="444"/>
      <c r="C164" s="385">
        <f>'PA-Détails'!C2067</f>
        <v>0</v>
      </c>
      <c r="D164" s="217">
        <f>'PA-Détails'!D2067</f>
        <v>8163</v>
      </c>
      <c r="E164" s="217">
        <f>'PA-Détails'!E2067</f>
        <v>8163</v>
      </c>
      <c r="F164" s="217">
        <f>'PA-Détails'!F2067</f>
        <v>8163</v>
      </c>
      <c r="G164" s="217">
        <f>'PA-Détails'!G2067</f>
        <v>8163</v>
      </c>
      <c r="H164" s="217">
        <f>'PA-Détails'!H2067</f>
        <v>8163</v>
      </c>
      <c r="I164" s="217">
        <f>'PA-Détails'!I2067</f>
        <v>40815</v>
      </c>
      <c r="J164" s="449">
        <f>'PA-Détails'!J2067</f>
        <v>0</v>
      </c>
      <c r="K164" s="32">
        <f>'PA-Détails'!K2067</f>
        <v>0</v>
      </c>
      <c r="L164" s="32">
        <f>'PA-Détails'!L2067</f>
        <v>8163000</v>
      </c>
      <c r="M164" s="32">
        <f>'PA-Détails'!M2067</f>
        <v>8163000</v>
      </c>
      <c r="N164" s="32">
        <f>'PA-Détails'!N2067</f>
        <v>8163000</v>
      </c>
      <c r="O164" s="32">
        <f>'PA-Détails'!O2067</f>
        <v>8163000</v>
      </c>
      <c r="P164" s="32">
        <f>'PA-Détails'!P2067</f>
        <v>8163000</v>
      </c>
      <c r="Q164" s="428">
        <f>'PA-Détails'!Q2067</f>
        <v>40815000</v>
      </c>
      <c r="R164" s="570"/>
      <c r="S164" s="592">
        <f>'PA-Détails'!S2067</f>
        <v>0</v>
      </c>
      <c r="T164" s="593">
        <f>'PA-Détails'!T2067</f>
        <v>2</v>
      </c>
      <c r="U164" s="588">
        <f>'PA-Détails'!T2067</f>
        <v>2</v>
      </c>
    </row>
    <row r="165" spans="1:21" x14ac:dyDescent="0.2">
      <c r="A165" s="369" t="str">
        <f>'PA-Détails'!A2068</f>
        <v>5.6.1 Équipement mobiliers</v>
      </c>
      <c r="B165" s="446"/>
      <c r="C165" s="386" t="str">
        <f>'PA-Détails'!C2068</f>
        <v xml:space="preserve">80 000 table-bancs 2 places sont achetés chaque année </v>
      </c>
      <c r="D165" s="168">
        <f>'PA-Détails'!D2068</f>
        <v>8000</v>
      </c>
      <c r="E165" s="168">
        <f>'PA-Détails'!E2068</f>
        <v>8000</v>
      </c>
      <c r="F165" s="168">
        <f>'PA-Détails'!F2068</f>
        <v>8000</v>
      </c>
      <c r="G165" s="168">
        <f>'PA-Détails'!G2068</f>
        <v>8000</v>
      </c>
      <c r="H165" s="168">
        <f>'PA-Détails'!H2068</f>
        <v>8000</v>
      </c>
      <c r="I165" s="168">
        <f>'PA-Détails'!I2068</f>
        <v>40000</v>
      </c>
      <c r="J165" s="447">
        <f>'PA-Détails'!J2068</f>
        <v>0</v>
      </c>
      <c r="K165" s="36">
        <f>'PA-Détails'!K2068</f>
        <v>0</v>
      </c>
      <c r="L165" s="36">
        <f>'PA-Détails'!L2068</f>
        <v>8000000</v>
      </c>
      <c r="M165" s="36">
        <f>'PA-Détails'!M2068</f>
        <v>8000000</v>
      </c>
      <c r="N165" s="36">
        <f>'PA-Détails'!N2068</f>
        <v>8000000</v>
      </c>
      <c r="O165" s="36">
        <f>'PA-Détails'!O2068</f>
        <v>8000000</v>
      </c>
      <c r="P165" s="36">
        <f>'PA-Détails'!P2068</f>
        <v>8000000</v>
      </c>
      <c r="Q165" s="429">
        <f>'PA-Détails'!Q2068</f>
        <v>40000000</v>
      </c>
      <c r="R165" s="570"/>
      <c r="S165" s="594">
        <f>'PA-Détails'!S2068</f>
        <v>0</v>
      </c>
      <c r="T165" s="595">
        <f>'PA-Détails'!T2068</f>
        <v>0</v>
      </c>
      <c r="U165" s="586">
        <f>'PA-Détails'!T2068</f>
        <v>0</v>
      </c>
    </row>
    <row r="166" spans="1:21" x14ac:dyDescent="0.2">
      <c r="A166" s="369" t="str">
        <f>'PA-Détails'!A2070</f>
        <v>5.6.2 Équipement pour activités physiques et sportives</v>
      </c>
      <c r="B166" s="446"/>
      <c r="C166" s="386" t="str">
        <f>'PA-Détails'!C2070</f>
        <v>En 2025, tous les établissements auront reçu un lot de matériel</v>
      </c>
      <c r="D166" s="168">
        <f>'PA-Détails'!D2070</f>
        <v>163</v>
      </c>
      <c r="E166" s="168">
        <f>'PA-Détails'!E2070</f>
        <v>163</v>
      </c>
      <c r="F166" s="168">
        <f>'PA-Détails'!F2070</f>
        <v>163</v>
      </c>
      <c r="G166" s="168">
        <f>'PA-Détails'!G2070</f>
        <v>163</v>
      </c>
      <c r="H166" s="168">
        <f>'PA-Détails'!H2070</f>
        <v>163</v>
      </c>
      <c r="I166" s="168">
        <f>'PA-Détails'!I2070</f>
        <v>815</v>
      </c>
      <c r="J166" s="447">
        <f>'PA-Détails'!J2070</f>
        <v>0</v>
      </c>
      <c r="K166" s="36">
        <f>'PA-Détails'!K2070</f>
        <v>0</v>
      </c>
      <c r="L166" s="36">
        <f>'PA-Détails'!L2070</f>
        <v>163000</v>
      </c>
      <c r="M166" s="36">
        <f>'PA-Détails'!M2070</f>
        <v>163000</v>
      </c>
      <c r="N166" s="36">
        <f>'PA-Détails'!N2070</f>
        <v>163000</v>
      </c>
      <c r="O166" s="36">
        <f>'PA-Détails'!O2070</f>
        <v>163000</v>
      </c>
      <c r="P166" s="36">
        <f>'PA-Détails'!P2070</f>
        <v>163000</v>
      </c>
      <c r="Q166" s="429">
        <f>'PA-Détails'!Q2070</f>
        <v>815000</v>
      </c>
      <c r="R166" s="570"/>
      <c r="S166" s="594">
        <f>'PA-Détails'!S2070</f>
        <v>0</v>
      </c>
      <c r="T166" s="595">
        <f>'PA-Détails'!T2070</f>
        <v>0</v>
      </c>
      <c r="U166" s="586">
        <f>'PA-Détails'!T2070</f>
        <v>0</v>
      </c>
    </row>
    <row r="167" spans="1:21" x14ac:dyDescent="0.2">
      <c r="A167" s="368" t="str">
        <f>'PA-Détails'!A2072</f>
        <v>5.7 Formation continue des enseignants : former les enseignants</v>
      </c>
      <c r="B167" s="444"/>
      <c r="C167" s="385">
        <f>'PA-Détails'!C2072</f>
        <v>0</v>
      </c>
      <c r="D167" s="217">
        <f>'PA-Détails'!D2072</f>
        <v>5031.5</v>
      </c>
      <c r="E167" s="217">
        <f>'PA-Détails'!E2072</f>
        <v>5009</v>
      </c>
      <c r="F167" s="217">
        <f>'PA-Détails'!F2072</f>
        <v>5002.5</v>
      </c>
      <c r="G167" s="217">
        <f>'PA-Détails'!G2072</f>
        <v>4980</v>
      </c>
      <c r="H167" s="217">
        <f>'PA-Détails'!H2072</f>
        <v>5002.5</v>
      </c>
      <c r="I167" s="217">
        <f>'PA-Détails'!I2072</f>
        <v>25025.5</v>
      </c>
      <c r="J167" s="449">
        <f>'PA-Détails'!J2072</f>
        <v>0</v>
      </c>
      <c r="K167" s="32">
        <f>'PA-Détails'!K2072</f>
        <v>0</v>
      </c>
      <c r="L167" s="32">
        <f>'PA-Détails'!L2072</f>
        <v>5031500</v>
      </c>
      <c r="M167" s="32">
        <f>'PA-Détails'!M2072</f>
        <v>5009000</v>
      </c>
      <c r="N167" s="32">
        <f>'PA-Détails'!N2072</f>
        <v>5002500</v>
      </c>
      <c r="O167" s="32">
        <f>'PA-Détails'!O2072</f>
        <v>4980000</v>
      </c>
      <c r="P167" s="32">
        <f>'PA-Détails'!P2072</f>
        <v>5002500</v>
      </c>
      <c r="Q167" s="428">
        <f>'PA-Détails'!Q2072</f>
        <v>25025500</v>
      </c>
      <c r="R167" s="570"/>
      <c r="S167" s="592">
        <f>'PA-Détails'!S2072</f>
        <v>0</v>
      </c>
      <c r="T167" s="593">
        <f>'PA-Détails'!T2072</f>
        <v>2</v>
      </c>
      <c r="U167" s="588">
        <f>'PA-Détails'!T2072</f>
        <v>2</v>
      </c>
    </row>
    <row r="168" spans="1:21" x14ac:dyDescent="0.2">
      <c r="A168" s="369" t="str">
        <f>'PA-Détails'!A2073</f>
        <v>5.7.1 Développer et assurer la formation continue des enseignants</v>
      </c>
      <c r="B168" s="446"/>
      <c r="C168" s="386" t="str">
        <f>'PA-Détails'!C2073</f>
        <v>Tous les enseignants reçoivent une semaine de formation tous les deux ans</v>
      </c>
      <c r="D168" s="168">
        <f>'PA-Détails'!D2073</f>
        <v>5031.5</v>
      </c>
      <c r="E168" s="168">
        <f>'PA-Détails'!E2073</f>
        <v>5009</v>
      </c>
      <c r="F168" s="168">
        <f>'PA-Détails'!F2073</f>
        <v>5002.5</v>
      </c>
      <c r="G168" s="168">
        <f>'PA-Détails'!G2073</f>
        <v>4980</v>
      </c>
      <c r="H168" s="168">
        <f>'PA-Détails'!H2073</f>
        <v>5002.5</v>
      </c>
      <c r="I168" s="168">
        <f>'PA-Détails'!I2073</f>
        <v>25025.5</v>
      </c>
      <c r="J168" s="447">
        <f>'PA-Détails'!J2073</f>
        <v>0</v>
      </c>
      <c r="K168" s="36">
        <f>'PA-Détails'!K2073</f>
        <v>0</v>
      </c>
      <c r="L168" s="36">
        <f>'PA-Détails'!L2073</f>
        <v>5031500</v>
      </c>
      <c r="M168" s="36">
        <f>'PA-Détails'!M2073</f>
        <v>5009000</v>
      </c>
      <c r="N168" s="36">
        <f>'PA-Détails'!N2073</f>
        <v>5002500</v>
      </c>
      <c r="O168" s="36">
        <f>'PA-Détails'!O2073</f>
        <v>4980000</v>
      </c>
      <c r="P168" s="36">
        <f>'PA-Détails'!P2073</f>
        <v>5002500</v>
      </c>
      <c r="Q168" s="429">
        <f>'PA-Détails'!Q2073</f>
        <v>25025500</v>
      </c>
      <c r="R168" s="570"/>
      <c r="S168" s="594">
        <f>'PA-Détails'!S2073</f>
        <v>0</v>
      </c>
      <c r="T168" s="595">
        <f>'PA-Détails'!T2073</f>
        <v>0</v>
      </c>
      <c r="U168" s="586">
        <f>'PA-Détails'!T2073</f>
        <v>0</v>
      </c>
    </row>
    <row r="169" spans="1:21" x14ac:dyDescent="0.2">
      <c r="A169" s="368" t="str">
        <f>'PA-Détails'!A2076</f>
        <v>5.8 Formation initiale des enseignants du secondaire : Professionnaliser les filières de formation</v>
      </c>
      <c r="B169" s="444"/>
      <c r="C169" s="385">
        <f>'PA-Détails'!C2076</f>
        <v>0</v>
      </c>
      <c r="D169" s="217">
        <f>'PA-Détails'!D2076</f>
        <v>1989</v>
      </c>
      <c r="E169" s="217">
        <f>'PA-Détails'!E2076</f>
        <v>2814.5</v>
      </c>
      <c r="F169" s="217">
        <f>'PA-Détails'!F2076</f>
        <v>2810</v>
      </c>
      <c r="G169" s="217">
        <f>'PA-Détails'!G2076</f>
        <v>2810</v>
      </c>
      <c r="H169" s="217">
        <f>'PA-Détails'!H2076</f>
        <v>2810</v>
      </c>
      <c r="I169" s="217">
        <f>'PA-Détails'!I2076</f>
        <v>13233.5</v>
      </c>
      <c r="J169" s="449">
        <f>'PA-Détails'!J2076</f>
        <v>0</v>
      </c>
      <c r="K169" s="32">
        <f>'PA-Détails'!K2076</f>
        <v>0</v>
      </c>
      <c r="L169" s="32">
        <f>'PA-Détails'!L2076</f>
        <v>1989000</v>
      </c>
      <c r="M169" s="32">
        <f>'PA-Détails'!M2076</f>
        <v>2814500</v>
      </c>
      <c r="N169" s="32">
        <f>'PA-Détails'!N2076</f>
        <v>2810000</v>
      </c>
      <c r="O169" s="32">
        <f>'PA-Détails'!O2076</f>
        <v>2810000</v>
      </c>
      <c r="P169" s="32">
        <f>'PA-Détails'!P2076</f>
        <v>2810000</v>
      </c>
      <c r="Q169" s="428">
        <f>'PA-Détails'!Q2076</f>
        <v>13233500</v>
      </c>
      <c r="R169" s="570"/>
      <c r="S169" s="592">
        <f>'PA-Détails'!S2076</f>
        <v>0</v>
      </c>
      <c r="T169" s="593">
        <f>'PA-Détails'!T2076</f>
        <v>0</v>
      </c>
      <c r="U169" s="588">
        <v>2</v>
      </c>
    </row>
    <row r="170" spans="1:21" x14ac:dyDescent="0.2">
      <c r="A170" s="369" t="str">
        <f>'PA-Détails'!A2077</f>
        <v>5.8.1 Spécialisation des institutions</v>
      </c>
      <c r="B170" s="446"/>
      <c r="C170" s="386" t="str">
        <f>'PA-Détails'!C2077</f>
        <v>Étude en 2016 et mise en place à partir de 2018</v>
      </c>
      <c r="D170" s="168">
        <f>'PA-Détails'!D2077</f>
        <v>42</v>
      </c>
      <c r="E170" s="168">
        <f>'PA-Détails'!E2077</f>
        <v>0</v>
      </c>
      <c r="F170" s="168">
        <f>'PA-Détails'!F2077</f>
        <v>0</v>
      </c>
      <c r="G170" s="168">
        <f>'PA-Détails'!G2077</f>
        <v>0</v>
      </c>
      <c r="H170" s="168">
        <f>'PA-Détails'!H2077</f>
        <v>0</v>
      </c>
      <c r="I170" s="168">
        <f>'PA-Détails'!I2077</f>
        <v>42</v>
      </c>
      <c r="J170" s="447">
        <f>'PA-Détails'!J2077</f>
        <v>0</v>
      </c>
      <c r="K170" s="36">
        <f>'PA-Détails'!K2077</f>
        <v>0</v>
      </c>
      <c r="L170" s="36">
        <f>'PA-Détails'!L2077</f>
        <v>42000</v>
      </c>
      <c r="M170" s="36">
        <f>'PA-Détails'!M2077</f>
        <v>0</v>
      </c>
      <c r="N170" s="36">
        <f>'PA-Détails'!N2077</f>
        <v>0</v>
      </c>
      <c r="O170" s="36">
        <f>'PA-Détails'!O2077</f>
        <v>0</v>
      </c>
      <c r="P170" s="36">
        <f>'PA-Détails'!P2077</f>
        <v>0</v>
      </c>
      <c r="Q170" s="429">
        <f>'PA-Détails'!Q2077</f>
        <v>42000</v>
      </c>
      <c r="R170" s="570"/>
      <c r="S170" s="594">
        <f>'PA-Détails'!S2077</f>
        <v>0</v>
      </c>
      <c r="T170" s="595">
        <f>'PA-Détails'!T2077</f>
        <v>0</v>
      </c>
      <c r="U170" s="586">
        <f>'PA-Détails'!T2070</f>
        <v>0</v>
      </c>
    </row>
    <row r="171" spans="1:21" x14ac:dyDescent="0.2">
      <c r="A171" s="369" t="str">
        <f>'PA-Détails'!A2079</f>
        <v>5.8.2 Réforme des ISP/ISPT/UPN</v>
      </c>
      <c r="B171" s="446"/>
      <c r="C171" s="386">
        <f>'PA-Détails'!C2079</f>
        <v>0</v>
      </c>
      <c r="D171" s="168">
        <f>'PA-Détails'!D2079</f>
        <v>42</v>
      </c>
      <c r="E171" s="168">
        <f>'PA-Détails'!E2079</f>
        <v>0</v>
      </c>
      <c r="F171" s="168">
        <f>'PA-Détails'!F2079</f>
        <v>0</v>
      </c>
      <c r="G171" s="168">
        <f>'PA-Détails'!G2079</f>
        <v>0</v>
      </c>
      <c r="H171" s="168">
        <f>'PA-Détails'!H2079</f>
        <v>0</v>
      </c>
      <c r="I171" s="168">
        <f>'PA-Détails'!I2079</f>
        <v>42</v>
      </c>
      <c r="J171" s="447">
        <f>'PA-Détails'!J2079</f>
        <v>0</v>
      </c>
      <c r="K171" s="36">
        <f>'PA-Détails'!K2079</f>
        <v>0</v>
      </c>
      <c r="L171" s="36">
        <f>'PA-Détails'!L2079</f>
        <v>42000</v>
      </c>
      <c r="M171" s="36">
        <f>'PA-Détails'!M2079</f>
        <v>0</v>
      </c>
      <c r="N171" s="36">
        <f>'PA-Détails'!N2079</f>
        <v>0</v>
      </c>
      <c r="O171" s="36">
        <f>'PA-Détails'!O2079</f>
        <v>0</v>
      </c>
      <c r="P171" s="36">
        <f>'PA-Détails'!P2079</f>
        <v>0</v>
      </c>
      <c r="Q171" s="429">
        <f>'PA-Détails'!Q2079</f>
        <v>42000</v>
      </c>
      <c r="R171" s="570"/>
      <c r="S171" s="594">
        <f>'PA-Détails'!S2079</f>
        <v>0</v>
      </c>
      <c r="T171" s="595">
        <f>'PA-Détails'!T2079</f>
        <v>0</v>
      </c>
      <c r="U171" s="586">
        <f>'PA-Détails'!T2071</f>
        <v>0</v>
      </c>
    </row>
    <row r="172" spans="1:21" x14ac:dyDescent="0.2">
      <c r="A172" s="369" t="str">
        <f>'PA-Détails'!A2081</f>
        <v>5.8.3 Révision des curricula de formation</v>
      </c>
      <c r="B172" s="446"/>
      <c r="C172" s="386">
        <f>'PA-Détails'!C2081</f>
        <v>0</v>
      </c>
      <c r="D172" s="168">
        <f>'PA-Détails'!D2081</f>
        <v>1885.5</v>
      </c>
      <c r="E172" s="168">
        <f>'PA-Détails'!E2081</f>
        <v>2800</v>
      </c>
      <c r="F172" s="168">
        <f>'PA-Détails'!F2081</f>
        <v>2800</v>
      </c>
      <c r="G172" s="168">
        <f>'PA-Détails'!G2081</f>
        <v>2800</v>
      </c>
      <c r="H172" s="168">
        <f>'PA-Détails'!H2081</f>
        <v>2800</v>
      </c>
      <c r="I172" s="168">
        <f>'PA-Détails'!I2081</f>
        <v>13085.5</v>
      </c>
      <c r="J172" s="447">
        <f>'PA-Détails'!J2081</f>
        <v>0</v>
      </c>
      <c r="K172" s="36">
        <f>'PA-Détails'!K2081</f>
        <v>0</v>
      </c>
      <c r="L172" s="36">
        <f>'PA-Détails'!L2081</f>
        <v>1885500</v>
      </c>
      <c r="M172" s="36">
        <f>'PA-Détails'!M2081</f>
        <v>2800000</v>
      </c>
      <c r="N172" s="36">
        <f>'PA-Détails'!N2081</f>
        <v>2800000</v>
      </c>
      <c r="O172" s="36">
        <f>'PA-Détails'!O2081</f>
        <v>2800000</v>
      </c>
      <c r="P172" s="36">
        <f>'PA-Détails'!P2081</f>
        <v>2800000</v>
      </c>
      <c r="Q172" s="429">
        <f>'PA-Détails'!Q2081</f>
        <v>13085500</v>
      </c>
      <c r="R172" s="570"/>
      <c r="S172" s="594">
        <f>'PA-Détails'!S2081</f>
        <v>0</v>
      </c>
      <c r="T172" s="595">
        <f>'PA-Détails'!T2081</f>
        <v>0</v>
      </c>
      <c r="U172" s="586"/>
    </row>
    <row r="173" spans="1:21" x14ac:dyDescent="0.2">
      <c r="A173" s="369" t="str">
        <f>'PA-Détails'!A2085</f>
        <v>5.8.4 Organisation de périodes de stage</v>
      </c>
      <c r="B173" s="446"/>
      <c r="C173" s="386" t="str">
        <f>'PA-Détails'!C2085</f>
        <v>A partir de 2018, tous les enseignants en formation effectuent des périodes de stage dans les écoles</v>
      </c>
      <c r="D173" s="168">
        <f>'PA-Détails'!D2085</f>
        <v>0</v>
      </c>
      <c r="E173" s="168">
        <f>'PA-Détails'!E2085</f>
        <v>4.5</v>
      </c>
      <c r="F173" s="168">
        <f>'PA-Détails'!F2085</f>
        <v>0</v>
      </c>
      <c r="G173" s="168">
        <f>'PA-Détails'!G2085</f>
        <v>0</v>
      </c>
      <c r="H173" s="168">
        <f>'PA-Détails'!H2085</f>
        <v>0</v>
      </c>
      <c r="I173" s="168">
        <f>'PA-Détails'!I2085</f>
        <v>4.5</v>
      </c>
      <c r="J173" s="447">
        <f>'PA-Détails'!J2085</f>
        <v>0</v>
      </c>
      <c r="K173" s="36">
        <f>'PA-Détails'!K2085</f>
        <v>0</v>
      </c>
      <c r="L173" s="36">
        <f>'PA-Détails'!L2085</f>
        <v>0</v>
      </c>
      <c r="M173" s="36">
        <f>'PA-Détails'!M2085</f>
        <v>4500</v>
      </c>
      <c r="N173" s="36">
        <f>'PA-Détails'!N2085</f>
        <v>0</v>
      </c>
      <c r="O173" s="36">
        <f>'PA-Détails'!O2085</f>
        <v>0</v>
      </c>
      <c r="P173" s="36">
        <f>'PA-Détails'!P2085</f>
        <v>0</v>
      </c>
      <c r="Q173" s="429">
        <f>'PA-Détails'!Q2085</f>
        <v>4500</v>
      </c>
      <c r="R173" s="570"/>
      <c r="S173" s="594">
        <f>'PA-Détails'!S2085</f>
        <v>0</v>
      </c>
      <c r="T173" s="595">
        <f>'PA-Détails'!T2085</f>
        <v>0</v>
      </c>
      <c r="U173" s="586">
        <f>'PA-Détails'!T2073</f>
        <v>0</v>
      </c>
    </row>
    <row r="174" spans="1:21" x14ac:dyDescent="0.2">
      <c r="A174" s="369" t="str">
        <f>'PA-Détails'!A2088</f>
        <v>5.8.5 Coordination entre le MEPSINC, MESU, METP et MAS</v>
      </c>
      <c r="B174" s="446"/>
      <c r="C174" s="386">
        <f>'PA-Détails'!C2088</f>
        <v>0</v>
      </c>
      <c r="D174" s="168">
        <f>'PA-Détails'!D2088</f>
        <v>19.5</v>
      </c>
      <c r="E174" s="168">
        <f>'PA-Détails'!E2088</f>
        <v>10</v>
      </c>
      <c r="F174" s="168">
        <f>'PA-Détails'!F2088</f>
        <v>10</v>
      </c>
      <c r="G174" s="168">
        <f>'PA-Détails'!G2088</f>
        <v>10</v>
      </c>
      <c r="H174" s="168">
        <f>'PA-Détails'!H2088</f>
        <v>10</v>
      </c>
      <c r="I174" s="168">
        <f>'PA-Détails'!I2088</f>
        <v>59.5</v>
      </c>
      <c r="J174" s="447">
        <f>'PA-Détails'!J2088</f>
        <v>0</v>
      </c>
      <c r="K174" s="36">
        <f>'PA-Détails'!K2088</f>
        <v>0</v>
      </c>
      <c r="L174" s="36">
        <f>'PA-Détails'!L2088</f>
        <v>19500</v>
      </c>
      <c r="M174" s="36">
        <f>'PA-Détails'!M2088</f>
        <v>10000</v>
      </c>
      <c r="N174" s="36">
        <f>'PA-Détails'!N2088</f>
        <v>10000</v>
      </c>
      <c r="O174" s="36">
        <f>'PA-Détails'!O2088</f>
        <v>10000</v>
      </c>
      <c r="P174" s="36">
        <f>'PA-Détails'!P2088</f>
        <v>10000</v>
      </c>
      <c r="Q174" s="429">
        <f>'PA-Détails'!Q2088</f>
        <v>59500</v>
      </c>
      <c r="R174" s="570"/>
      <c r="S174" s="594">
        <f>'PA-Détails'!S2088</f>
        <v>0</v>
      </c>
      <c r="T174" s="595">
        <f>'PA-Détails'!T2088</f>
        <v>0</v>
      </c>
      <c r="U174" s="586">
        <f>'PA-Détails'!T2074</f>
        <v>0</v>
      </c>
    </row>
    <row r="175" spans="1:21" x14ac:dyDescent="0.2">
      <c r="A175" s="368" t="str">
        <f>'PA-Détails'!A2091</f>
        <v>5.9 Supervision des structures et des enseignants : assurer l'encadrement pédagogique et administratif des écoles</v>
      </c>
      <c r="B175" s="444"/>
      <c r="C175" s="385">
        <f>'PA-Détails'!C2091</f>
        <v>0</v>
      </c>
      <c r="D175" s="217">
        <f>'PA-Détails'!D2091</f>
        <v>0</v>
      </c>
      <c r="E175" s="217">
        <f>'PA-Détails'!E2091</f>
        <v>4010</v>
      </c>
      <c r="F175" s="217">
        <f>'PA-Détails'!F2091</f>
        <v>5600</v>
      </c>
      <c r="G175" s="217">
        <f>'PA-Détails'!G2091</f>
        <v>2100</v>
      </c>
      <c r="H175" s="217">
        <f>'PA-Détails'!H2091</f>
        <v>2100</v>
      </c>
      <c r="I175" s="217">
        <f>'PA-Détails'!I2091</f>
        <v>13810</v>
      </c>
      <c r="J175" s="449">
        <f>'PA-Détails'!J2091</f>
        <v>0</v>
      </c>
      <c r="K175" s="32">
        <f>'PA-Détails'!K2091</f>
        <v>0</v>
      </c>
      <c r="L175" s="32">
        <f>'PA-Détails'!L2091</f>
        <v>0</v>
      </c>
      <c r="M175" s="32">
        <f>'PA-Détails'!M2091</f>
        <v>4010000</v>
      </c>
      <c r="N175" s="32">
        <f>'PA-Détails'!N2091</f>
        <v>5600000</v>
      </c>
      <c r="O175" s="32">
        <f>'PA-Détails'!O2091</f>
        <v>2100000</v>
      </c>
      <c r="P175" s="32">
        <f>'PA-Détails'!P2091</f>
        <v>2100000</v>
      </c>
      <c r="Q175" s="428">
        <f>'PA-Détails'!Q2091</f>
        <v>13810000</v>
      </c>
      <c r="R175" s="570"/>
      <c r="S175" s="590">
        <f>'PA-Détails'!S2091</f>
        <v>0</v>
      </c>
      <c r="T175" s="596">
        <f>'PA-Détails'!T2091</f>
        <v>3</v>
      </c>
      <c r="U175" s="583">
        <f>'PA-Détails'!T2091</f>
        <v>3</v>
      </c>
    </row>
    <row r="176" spans="1:21" x14ac:dyDescent="0.2">
      <c r="A176" s="369" t="str">
        <f>'PA-Détails'!A2092</f>
        <v>5.9.1 Moyens de déplacement des inspecteurs</v>
      </c>
      <c r="B176" s="446"/>
      <c r="C176" s="386">
        <f>'PA-Détails'!C2092</f>
        <v>0</v>
      </c>
      <c r="D176" s="168">
        <f>'PA-Détails'!D2092</f>
        <v>0</v>
      </c>
      <c r="E176" s="168">
        <f>'PA-Détails'!E2092</f>
        <v>3135</v>
      </c>
      <c r="F176" s="168">
        <f>'PA-Détails'!F2092</f>
        <v>2625</v>
      </c>
      <c r="G176" s="168">
        <f>'PA-Détails'!G2092</f>
        <v>0</v>
      </c>
      <c r="H176" s="168">
        <f>'PA-Détails'!H2092</f>
        <v>0</v>
      </c>
      <c r="I176" s="168">
        <f>'PA-Détails'!I2092</f>
        <v>5760</v>
      </c>
      <c r="J176" s="447">
        <f>'PA-Détails'!J2092</f>
        <v>0</v>
      </c>
      <c r="K176" s="36">
        <f>'PA-Détails'!K2092</f>
        <v>0</v>
      </c>
      <c r="L176" s="36">
        <f>'PA-Détails'!L2092</f>
        <v>0</v>
      </c>
      <c r="M176" s="36">
        <f>'PA-Détails'!M2092</f>
        <v>3135000</v>
      </c>
      <c r="N176" s="36">
        <f>'PA-Détails'!N2092</f>
        <v>2625000</v>
      </c>
      <c r="O176" s="36">
        <f>'PA-Détails'!O2092</f>
        <v>0</v>
      </c>
      <c r="P176" s="36">
        <f>'PA-Détails'!P2092</f>
        <v>0</v>
      </c>
      <c r="Q176" s="429">
        <f>'PA-Détails'!Q2092</f>
        <v>5760000</v>
      </c>
      <c r="R176" s="570"/>
      <c r="S176" s="591">
        <f>'PA-Détails'!S2092</f>
        <v>0</v>
      </c>
      <c r="T176" s="597">
        <f>'PA-Détails'!T2092</f>
        <v>0</v>
      </c>
      <c r="U176" s="586">
        <f>'PA-Détails'!T2092</f>
        <v>0</v>
      </c>
    </row>
    <row r="177" spans="1:21" x14ac:dyDescent="0.2">
      <c r="A177" s="369" t="str">
        <f>'PA-Détails'!A2094</f>
        <v>5.9.2 Primes d'itinérance</v>
      </c>
      <c r="B177" s="446"/>
      <c r="C177" s="386">
        <f>'PA-Détails'!C2094</f>
        <v>0</v>
      </c>
      <c r="D177" s="168">
        <f>'PA-Détails'!D2094</f>
        <v>0</v>
      </c>
      <c r="E177" s="168">
        <f>'PA-Détails'!E2094</f>
        <v>0</v>
      </c>
      <c r="F177" s="168">
        <f>'PA-Détails'!F2094</f>
        <v>2100</v>
      </c>
      <c r="G177" s="168">
        <f>'PA-Détails'!G2094</f>
        <v>2100</v>
      </c>
      <c r="H177" s="168">
        <f>'PA-Détails'!H2094</f>
        <v>2100</v>
      </c>
      <c r="I177" s="168">
        <f>'PA-Détails'!I2094</f>
        <v>6300</v>
      </c>
      <c r="J177" s="447">
        <f>'PA-Détails'!J2094</f>
        <v>0</v>
      </c>
      <c r="K177" s="36">
        <f>'PA-Détails'!K2094</f>
        <v>0</v>
      </c>
      <c r="L177" s="36">
        <f>'PA-Détails'!L2094</f>
        <v>0</v>
      </c>
      <c r="M177" s="36">
        <f>'PA-Détails'!M2094</f>
        <v>0</v>
      </c>
      <c r="N177" s="36">
        <f>'PA-Détails'!N2094</f>
        <v>2100000</v>
      </c>
      <c r="O177" s="36">
        <f>'PA-Détails'!O2094</f>
        <v>2100000</v>
      </c>
      <c r="P177" s="36">
        <f>'PA-Détails'!P2094</f>
        <v>2100000</v>
      </c>
      <c r="Q177" s="429">
        <f>'PA-Détails'!Q2094</f>
        <v>6300000</v>
      </c>
      <c r="R177" s="570"/>
      <c r="S177" s="591">
        <f>'PA-Détails'!S2094</f>
        <v>0</v>
      </c>
      <c r="T177" s="597">
        <f>'PA-Détails'!T2094</f>
        <v>0</v>
      </c>
      <c r="U177" s="586">
        <f>'PA-Détails'!T2094</f>
        <v>0</v>
      </c>
    </row>
    <row r="178" spans="1:21" x14ac:dyDescent="0.2">
      <c r="A178" s="369" t="str">
        <f>'PA-Détails'!A2096</f>
        <v>5.9.3 Moyens informatiques</v>
      </c>
      <c r="B178" s="446"/>
      <c r="C178" s="386">
        <f>'PA-Détails'!C2096</f>
        <v>0</v>
      </c>
      <c r="D178" s="168">
        <f>'PA-Détails'!D2096</f>
        <v>0</v>
      </c>
      <c r="E178" s="168">
        <f>'PA-Détails'!E2096</f>
        <v>875</v>
      </c>
      <c r="F178" s="168">
        <f>'PA-Détails'!F2096</f>
        <v>875</v>
      </c>
      <c r="G178" s="168">
        <f>'PA-Détails'!G2096</f>
        <v>0</v>
      </c>
      <c r="H178" s="168">
        <f>'PA-Détails'!H2096</f>
        <v>0</v>
      </c>
      <c r="I178" s="168">
        <f>'PA-Détails'!I2096</f>
        <v>1750</v>
      </c>
      <c r="J178" s="447">
        <f>'PA-Détails'!J2096</f>
        <v>0</v>
      </c>
      <c r="K178" s="36">
        <f>'PA-Détails'!K2096</f>
        <v>0</v>
      </c>
      <c r="L178" s="36">
        <f>'PA-Détails'!L2096</f>
        <v>0</v>
      </c>
      <c r="M178" s="36">
        <f>'PA-Détails'!M2096</f>
        <v>875000</v>
      </c>
      <c r="N178" s="36">
        <f>'PA-Détails'!N2096</f>
        <v>875000</v>
      </c>
      <c r="O178" s="36">
        <f>'PA-Détails'!O2096</f>
        <v>0</v>
      </c>
      <c r="P178" s="36">
        <f>'PA-Détails'!P2096</f>
        <v>0</v>
      </c>
      <c r="Q178" s="429">
        <f>'PA-Détails'!Q2096</f>
        <v>1750000</v>
      </c>
      <c r="R178" s="570"/>
      <c r="S178" s="591">
        <f>'PA-Détails'!S2096</f>
        <v>0</v>
      </c>
      <c r="T178" s="597">
        <f>'PA-Détails'!T2096</f>
        <v>0</v>
      </c>
      <c r="U178" s="586">
        <f>'PA-Détails'!T2096</f>
        <v>0</v>
      </c>
    </row>
    <row r="179" spans="1:21" x14ac:dyDescent="0.2">
      <c r="A179" s="368" t="str">
        <f>'PA-Détails'!A2098</f>
        <v>5.10 Technologies de l'information : apporter les équipements informatiques et de communication</v>
      </c>
      <c r="B179" s="444"/>
      <c r="C179" s="385">
        <f>'PA-Détails'!C2098</f>
        <v>0</v>
      </c>
      <c r="D179" s="217">
        <f>'PA-Détails'!D2098</f>
        <v>0</v>
      </c>
      <c r="E179" s="217">
        <f>'PA-Détails'!E2098</f>
        <v>0</v>
      </c>
      <c r="F179" s="217">
        <f>'PA-Détails'!F2098</f>
        <v>5383</v>
      </c>
      <c r="G179" s="217">
        <f>'PA-Détails'!G2098</f>
        <v>4727</v>
      </c>
      <c r="H179" s="217">
        <f>'PA-Détails'!H2098</f>
        <v>4727</v>
      </c>
      <c r="I179" s="217">
        <f>'PA-Détails'!I2098</f>
        <v>14837</v>
      </c>
      <c r="J179" s="449">
        <f>'PA-Détails'!J2098</f>
        <v>0</v>
      </c>
      <c r="K179" s="32">
        <f>'PA-Détails'!K2098</f>
        <v>0</v>
      </c>
      <c r="L179" s="32">
        <f>'PA-Détails'!L2098</f>
        <v>0</v>
      </c>
      <c r="M179" s="32">
        <f>'PA-Détails'!M2098</f>
        <v>0</v>
      </c>
      <c r="N179" s="32">
        <f>'PA-Détails'!N2098</f>
        <v>5383000</v>
      </c>
      <c r="O179" s="32">
        <f>'PA-Détails'!O2098</f>
        <v>4727000</v>
      </c>
      <c r="P179" s="32">
        <f>'PA-Détails'!P2098</f>
        <v>4727000</v>
      </c>
      <c r="Q179" s="428">
        <f>'PA-Détails'!Q2098</f>
        <v>14837000</v>
      </c>
      <c r="R179" s="570"/>
      <c r="S179" s="590">
        <f>'PA-Détails'!S2098</f>
        <v>0</v>
      </c>
      <c r="T179" s="596">
        <f>'PA-Détails'!T2098</f>
        <v>3</v>
      </c>
      <c r="U179" s="583">
        <f>'PA-Détails'!T2098</f>
        <v>3</v>
      </c>
    </row>
    <row r="180" spans="1:21" x14ac:dyDescent="0.2">
      <c r="A180" s="369" t="str">
        <f>'PA-Détails'!A2099</f>
        <v>5.10.1 Matériel informatique</v>
      </c>
      <c r="B180" s="446"/>
      <c r="C180" s="386">
        <f>'PA-Détails'!C2099</f>
        <v>0</v>
      </c>
      <c r="D180" s="168">
        <f>'PA-Détails'!D2099</f>
        <v>0</v>
      </c>
      <c r="E180" s="168">
        <f>'PA-Détails'!E2099</f>
        <v>0</v>
      </c>
      <c r="F180" s="168">
        <f>'PA-Détails'!F2099</f>
        <v>2445</v>
      </c>
      <c r="G180" s="168">
        <f>'PA-Détails'!G2099</f>
        <v>2445</v>
      </c>
      <c r="H180" s="168">
        <f>'PA-Détails'!H2099</f>
        <v>2445</v>
      </c>
      <c r="I180" s="168">
        <f>'PA-Détails'!I2099</f>
        <v>7335</v>
      </c>
      <c r="J180" s="447">
        <f>'PA-Détails'!J2099</f>
        <v>0</v>
      </c>
      <c r="K180" s="36">
        <f>'PA-Détails'!K2099</f>
        <v>0</v>
      </c>
      <c r="L180" s="36">
        <f>'PA-Détails'!L2099</f>
        <v>0</v>
      </c>
      <c r="M180" s="36">
        <f>'PA-Détails'!M2099</f>
        <v>0</v>
      </c>
      <c r="N180" s="36">
        <f>'PA-Détails'!N2099</f>
        <v>2445000</v>
      </c>
      <c r="O180" s="36">
        <f>'PA-Détails'!O2099</f>
        <v>2445000</v>
      </c>
      <c r="P180" s="36">
        <f>'PA-Détails'!P2099</f>
        <v>2445000</v>
      </c>
      <c r="Q180" s="429">
        <f>'PA-Détails'!Q2099</f>
        <v>7335000</v>
      </c>
      <c r="R180" s="570"/>
      <c r="S180" s="591">
        <f>'PA-Détails'!S2099</f>
        <v>0</v>
      </c>
      <c r="T180" s="597">
        <f>'PA-Détails'!T2099</f>
        <v>0</v>
      </c>
      <c r="U180" s="586">
        <f>'PA-Détails'!T2099</f>
        <v>0</v>
      </c>
    </row>
    <row r="181" spans="1:21" x14ac:dyDescent="0.2">
      <c r="A181" s="369" t="str">
        <f>'PA-Détails'!A2101</f>
        <v>5.10.2 Connexions internet</v>
      </c>
      <c r="B181" s="446"/>
      <c r="C181" s="386">
        <f>'PA-Détails'!C2101</f>
        <v>0</v>
      </c>
      <c r="D181" s="168">
        <f>'PA-Détails'!D2101</f>
        <v>0</v>
      </c>
      <c r="E181" s="168">
        <f>'PA-Détails'!E2101</f>
        <v>0</v>
      </c>
      <c r="F181" s="168">
        <f>'PA-Détails'!F2101</f>
        <v>2938</v>
      </c>
      <c r="G181" s="168">
        <f>'PA-Détails'!G2101</f>
        <v>2282</v>
      </c>
      <c r="H181" s="168">
        <f>'PA-Détails'!H2101</f>
        <v>2282</v>
      </c>
      <c r="I181" s="168">
        <f>'PA-Détails'!I2101</f>
        <v>7502</v>
      </c>
      <c r="J181" s="447">
        <f>'PA-Détails'!J2101</f>
        <v>0</v>
      </c>
      <c r="K181" s="36">
        <f>'PA-Détails'!K2101</f>
        <v>0</v>
      </c>
      <c r="L181" s="36">
        <f>'PA-Détails'!L2101</f>
        <v>0</v>
      </c>
      <c r="M181" s="36">
        <f>'PA-Détails'!M2101</f>
        <v>0</v>
      </c>
      <c r="N181" s="36">
        <f>'PA-Détails'!N2101</f>
        <v>2938000</v>
      </c>
      <c r="O181" s="36">
        <f>'PA-Détails'!O2101</f>
        <v>2282000</v>
      </c>
      <c r="P181" s="36">
        <f>'PA-Détails'!P2101</f>
        <v>2282000</v>
      </c>
      <c r="Q181" s="429">
        <f>'PA-Détails'!Q2101</f>
        <v>7502000</v>
      </c>
      <c r="R181" s="570"/>
      <c r="S181" s="591">
        <f>'PA-Détails'!S2101</f>
        <v>0</v>
      </c>
      <c r="T181" s="597">
        <f>'PA-Détails'!T2101</f>
        <v>0</v>
      </c>
      <c r="U181" s="586">
        <f>'PA-Détails'!T2101</f>
        <v>0</v>
      </c>
    </row>
    <row r="182" spans="1:21" x14ac:dyDescent="0.2">
      <c r="A182" s="441" t="str">
        <f>'PA-Détails'!A2103</f>
        <v>6. Enseignement technique et formation professionnelle : apporter les qualifications nécessaires à l'économie nationale</v>
      </c>
      <c r="B182" s="442"/>
      <c r="C182" s="391">
        <f>'PA-Détails'!C2103</f>
        <v>0</v>
      </c>
      <c r="D182" s="339">
        <f>'PA-Détails'!D2103</f>
        <v>87653.27</v>
      </c>
      <c r="E182" s="339">
        <f>'PA-Détails'!E2103</f>
        <v>80497.460000000006</v>
      </c>
      <c r="F182" s="339">
        <f>'PA-Détails'!F2103</f>
        <v>96670.97</v>
      </c>
      <c r="G182" s="339">
        <f>'PA-Détails'!G2103</f>
        <v>83354.429999999993</v>
      </c>
      <c r="H182" s="339">
        <f>'PA-Détails'!H2103</f>
        <v>102857.3</v>
      </c>
      <c r="I182" s="339">
        <f>'PA-Détails'!I2103</f>
        <v>451033.43</v>
      </c>
      <c r="J182" s="451">
        <f>'PA-Détails'!J2103</f>
        <v>0</v>
      </c>
      <c r="K182" s="29">
        <f>'PA-Détails'!K2103</f>
        <v>0</v>
      </c>
      <c r="L182" s="29">
        <f>'PA-Détails'!L2103</f>
        <v>87653270</v>
      </c>
      <c r="M182" s="29">
        <f>'PA-Détails'!M2103</f>
        <v>80497460</v>
      </c>
      <c r="N182" s="29">
        <f>'PA-Détails'!N2103</f>
        <v>96670970</v>
      </c>
      <c r="O182" s="29">
        <f>'PA-Détails'!O2103</f>
        <v>83354430</v>
      </c>
      <c r="P182" s="29">
        <f>'PA-Détails'!P2103</f>
        <v>102857300</v>
      </c>
      <c r="Q182" s="430">
        <f>'PA-Détails'!Q2103</f>
        <v>451033430</v>
      </c>
      <c r="R182" s="570"/>
      <c r="S182" s="579">
        <f>'PA-Détails'!S2103</f>
        <v>0</v>
      </c>
      <c r="T182" s="589">
        <f>'PA-Détails'!T2103</f>
        <v>0</v>
      </c>
      <c r="U182" s="580">
        <f>'PA-Détails'!T2103</f>
        <v>0</v>
      </c>
    </row>
    <row r="183" spans="1:21" x14ac:dyDescent="0.2">
      <c r="A183" s="368" t="str">
        <f>'PA-Détails'!A2104</f>
        <v>6.1 Réorganisation de l'offre de l'ETFP : améliorer et rendre plus équitable et pertinente l'offre d'ETFP</v>
      </c>
      <c r="B183" s="444"/>
      <c r="C183" s="385">
        <f>'PA-Détails'!C2104</f>
        <v>0</v>
      </c>
      <c r="D183" s="217">
        <f>'PA-Détails'!D2104</f>
        <v>12470.5</v>
      </c>
      <c r="E183" s="217">
        <f>'PA-Détails'!E2104</f>
        <v>12458.5</v>
      </c>
      <c r="F183" s="217">
        <f>'PA-Détails'!F2104</f>
        <v>12419.5</v>
      </c>
      <c r="G183" s="217">
        <f>'PA-Détails'!G2104</f>
        <v>5458.5</v>
      </c>
      <c r="H183" s="217">
        <f>'PA-Détails'!H2104</f>
        <v>5419.5</v>
      </c>
      <c r="I183" s="217">
        <f>'PA-Détails'!I2104</f>
        <v>48226.5</v>
      </c>
      <c r="J183" s="449">
        <f>'PA-Détails'!J2104</f>
        <v>0</v>
      </c>
      <c r="K183" s="32">
        <f>'PA-Détails'!K2104</f>
        <v>0</v>
      </c>
      <c r="L183" s="32">
        <f>'PA-Détails'!L2104</f>
        <v>12470500</v>
      </c>
      <c r="M183" s="32">
        <f>'PA-Détails'!M2104</f>
        <v>12458500</v>
      </c>
      <c r="N183" s="32">
        <f>'PA-Détails'!N2104</f>
        <v>12419500</v>
      </c>
      <c r="O183" s="32">
        <f>'PA-Détails'!O2104</f>
        <v>5458500</v>
      </c>
      <c r="P183" s="32">
        <f>'PA-Détails'!P2104</f>
        <v>5419500</v>
      </c>
      <c r="Q183" s="428">
        <f>'PA-Détails'!Q2104</f>
        <v>48226500</v>
      </c>
      <c r="R183" s="570"/>
      <c r="S183" s="581">
        <f>'PA-Détails'!S2104</f>
        <v>0</v>
      </c>
      <c r="T183" s="582">
        <f>'PA-Détails'!T2104</f>
        <v>1</v>
      </c>
      <c r="U183" s="583">
        <f>'PA-Détails'!T2104</f>
        <v>1</v>
      </c>
    </row>
    <row r="184" spans="1:21" x14ac:dyDescent="0.2">
      <c r="A184" s="369" t="str">
        <f>'PA-Détails'!A2105</f>
        <v>6.1.1 Identification des besoins de qualification</v>
      </c>
      <c r="B184" s="446"/>
      <c r="C184" s="387" t="str">
        <f>'PA-Détails'!C2105</f>
        <v>Les filières obsolètes et les filières à créer sont identifiées</v>
      </c>
      <c r="D184" s="168">
        <f>'PA-Détails'!D2105</f>
        <v>37</v>
      </c>
      <c r="E184" s="168">
        <f>'PA-Détails'!E2105</f>
        <v>0</v>
      </c>
      <c r="F184" s="168">
        <f>'PA-Détails'!F2105</f>
        <v>0</v>
      </c>
      <c r="G184" s="168">
        <f>'PA-Détails'!G2105</f>
        <v>0</v>
      </c>
      <c r="H184" s="168">
        <f>'PA-Détails'!H2105</f>
        <v>0</v>
      </c>
      <c r="I184" s="168">
        <f>'PA-Détails'!I2105</f>
        <v>37</v>
      </c>
      <c r="J184" s="447">
        <f>'PA-Détails'!J2105</f>
        <v>0</v>
      </c>
      <c r="K184" s="36">
        <f>'PA-Détails'!K2105</f>
        <v>0</v>
      </c>
      <c r="L184" s="36">
        <f>'PA-Détails'!L2105</f>
        <v>37000</v>
      </c>
      <c r="M184" s="36">
        <f>'PA-Détails'!M2105</f>
        <v>0</v>
      </c>
      <c r="N184" s="36">
        <f>'PA-Détails'!N2105</f>
        <v>0</v>
      </c>
      <c r="O184" s="36">
        <f>'PA-Détails'!O2105</f>
        <v>0</v>
      </c>
      <c r="P184" s="36">
        <f>'PA-Détails'!P2105</f>
        <v>0</v>
      </c>
      <c r="Q184" s="429">
        <f>'PA-Détails'!Q2105</f>
        <v>37000</v>
      </c>
      <c r="R184" s="570"/>
      <c r="S184" s="584">
        <f>'PA-Détails'!S2105</f>
        <v>0</v>
      </c>
      <c r="T184" s="585">
        <f>'PA-Détails'!T2105</f>
        <v>0</v>
      </c>
      <c r="U184" s="586">
        <f>'PA-Détails'!T2105</f>
        <v>0</v>
      </c>
    </row>
    <row r="185" spans="1:21" x14ac:dyDescent="0.2">
      <c r="A185" s="369" t="str">
        <f>'PA-Détails'!A2107</f>
        <v>6.1.2 Étude de redimensionnement des écoles et de faisabilité des nouvelles filières</v>
      </c>
      <c r="B185" s="446"/>
      <c r="C185" s="387" t="str">
        <f>'PA-Détails'!C2107</f>
        <v>études progressivement menées jusqu'en 2020,  pour déterminer les modalités de création</v>
      </c>
      <c r="D185" s="168">
        <f>'PA-Détails'!D2107</f>
        <v>0</v>
      </c>
      <c r="E185" s="168">
        <f>'PA-Détails'!E2107</f>
        <v>19.5</v>
      </c>
      <c r="F185" s="168">
        <f>'PA-Détails'!F2107</f>
        <v>0</v>
      </c>
      <c r="G185" s="168">
        <f>'PA-Détails'!G2107</f>
        <v>19.5</v>
      </c>
      <c r="H185" s="168">
        <f>'PA-Détails'!H2107</f>
        <v>0</v>
      </c>
      <c r="I185" s="168">
        <f>'PA-Détails'!I2107</f>
        <v>39</v>
      </c>
      <c r="J185" s="447">
        <f>'PA-Détails'!J2107</f>
        <v>0</v>
      </c>
      <c r="K185" s="36">
        <f>'PA-Détails'!K2107</f>
        <v>0</v>
      </c>
      <c r="L185" s="36">
        <f>'PA-Détails'!L2107</f>
        <v>0</v>
      </c>
      <c r="M185" s="36">
        <f>'PA-Détails'!M2107</f>
        <v>19500</v>
      </c>
      <c r="N185" s="36">
        <f>'PA-Détails'!N2107</f>
        <v>0</v>
      </c>
      <c r="O185" s="36">
        <f>'PA-Détails'!O2107</f>
        <v>19500</v>
      </c>
      <c r="P185" s="36">
        <f>'PA-Détails'!P2107</f>
        <v>0</v>
      </c>
      <c r="Q185" s="429">
        <f>'PA-Détails'!Q2107</f>
        <v>39000</v>
      </c>
      <c r="R185" s="570"/>
      <c r="S185" s="584">
        <f>'PA-Détails'!S2107</f>
        <v>0</v>
      </c>
      <c r="T185" s="585">
        <f>'PA-Détails'!T2107</f>
        <v>0</v>
      </c>
      <c r="U185" s="586">
        <f>'PA-Détails'!T2107</f>
        <v>0</v>
      </c>
    </row>
    <row r="186" spans="1:21" x14ac:dyDescent="0.2">
      <c r="A186" s="369" t="str">
        <f>'PA-Détails'!A2109</f>
        <v>6.1.3 Définir les critères d'ouverture des nouvelles filières et leur répartition territoriale</v>
      </c>
      <c r="B186" s="446"/>
      <c r="C186" s="387" t="str">
        <f>'PA-Détails'!C2109</f>
        <v>Critères définis et dispositions règlementaires prises  pour 2017</v>
      </c>
      <c r="D186" s="168">
        <f>'PA-Détails'!D2109</f>
        <v>0</v>
      </c>
      <c r="E186" s="168">
        <f>'PA-Détails'!E2109</f>
        <v>19.5</v>
      </c>
      <c r="F186" s="168">
        <f>'PA-Détails'!F2109</f>
        <v>0</v>
      </c>
      <c r="G186" s="168">
        <f>'PA-Détails'!G2109</f>
        <v>19.5</v>
      </c>
      <c r="H186" s="168">
        <f>'PA-Détails'!H2109</f>
        <v>0</v>
      </c>
      <c r="I186" s="168">
        <f>'PA-Détails'!I2109</f>
        <v>39</v>
      </c>
      <c r="J186" s="447">
        <f>'PA-Détails'!J2109</f>
        <v>0</v>
      </c>
      <c r="K186" s="36">
        <f>'PA-Détails'!K2109</f>
        <v>0</v>
      </c>
      <c r="L186" s="36">
        <f>'PA-Détails'!L2109</f>
        <v>0</v>
      </c>
      <c r="M186" s="36">
        <f>'PA-Détails'!M2109</f>
        <v>19500</v>
      </c>
      <c r="N186" s="36">
        <f>'PA-Détails'!N2109</f>
        <v>0</v>
      </c>
      <c r="O186" s="36">
        <f>'PA-Détails'!O2109</f>
        <v>19500</v>
      </c>
      <c r="P186" s="36">
        <f>'PA-Détails'!P2109</f>
        <v>0</v>
      </c>
      <c r="Q186" s="429">
        <f>'PA-Détails'!Q2109</f>
        <v>39000</v>
      </c>
      <c r="R186" s="570"/>
      <c r="S186" s="584">
        <f>'PA-Détails'!S2109</f>
        <v>0</v>
      </c>
      <c r="T186" s="585">
        <f>'PA-Détails'!T2109</f>
        <v>0</v>
      </c>
      <c r="U186" s="586">
        <f>'PA-Détails'!T2109</f>
        <v>0</v>
      </c>
    </row>
    <row r="187" spans="1:21" x14ac:dyDescent="0.2">
      <c r="A187" s="370" t="str">
        <f>'PA-Détails'!A2111</f>
        <v>6.1.4 Refondation, revitalisation ou actualisation des programmes selon l'approche par compétence, avec la contribution du secteur productif</v>
      </c>
      <c r="B187" s="452"/>
      <c r="C187" s="390" t="str">
        <f>'PA-Détails'!C2111</f>
        <v>Tous les programmes d'enseignement sont actualisés entre 2016 et 2020</v>
      </c>
      <c r="D187" s="168">
        <f>'PA-Détails'!D2111</f>
        <v>19.5</v>
      </c>
      <c r="E187" s="168">
        <f>'PA-Détails'!E2111</f>
        <v>19.5</v>
      </c>
      <c r="F187" s="168">
        <f>'PA-Détails'!F2111</f>
        <v>19.5</v>
      </c>
      <c r="G187" s="168">
        <f>'PA-Détails'!G2111</f>
        <v>19.5</v>
      </c>
      <c r="H187" s="168">
        <f>'PA-Détails'!H2111</f>
        <v>19.5</v>
      </c>
      <c r="I187" s="168">
        <f>'PA-Détails'!I2111</f>
        <v>97.5</v>
      </c>
      <c r="J187" s="389">
        <f>'PA-Détails'!J2111</f>
        <v>0</v>
      </c>
      <c r="K187" s="168">
        <f>'PA-Détails'!K2111</f>
        <v>0</v>
      </c>
      <c r="L187" s="36">
        <f>'PA-Détails'!L2111</f>
        <v>19500</v>
      </c>
      <c r="M187" s="36">
        <f>'PA-Détails'!M2111</f>
        <v>19500</v>
      </c>
      <c r="N187" s="36">
        <f>'PA-Détails'!N2111</f>
        <v>19500</v>
      </c>
      <c r="O187" s="36">
        <f>'PA-Détails'!O2111</f>
        <v>19500</v>
      </c>
      <c r="P187" s="36">
        <f>'PA-Détails'!P2111</f>
        <v>19500</v>
      </c>
      <c r="Q187" s="429">
        <f>'PA-Détails'!Q2111</f>
        <v>97500</v>
      </c>
      <c r="R187" s="570"/>
      <c r="S187" s="584">
        <f>'PA-Détails'!S2111</f>
        <v>0</v>
      </c>
      <c r="T187" s="585">
        <f>'PA-Détails'!T2111</f>
        <v>0</v>
      </c>
      <c r="U187" s="586">
        <f>'PA-Détails'!T2111</f>
        <v>0</v>
      </c>
    </row>
    <row r="188" spans="1:21" x14ac:dyDescent="0.2">
      <c r="A188" s="369" t="str">
        <f>'PA-Détails'!A2113</f>
        <v>6.1.5 Création de centres de ressources dans chaque Proved</v>
      </c>
      <c r="B188" s="446"/>
      <c r="C188" s="387" t="str">
        <f>'PA-Détails'!C2113</f>
        <v>En 2025, chaque province éducationnelle possède au moins un centre de ressources</v>
      </c>
      <c r="D188" s="168">
        <f>'PA-Détails'!D2113</f>
        <v>1200</v>
      </c>
      <c r="E188" s="168">
        <f>'PA-Détails'!E2113</f>
        <v>1200</v>
      </c>
      <c r="F188" s="168">
        <f>'PA-Détails'!F2113</f>
        <v>1200</v>
      </c>
      <c r="G188" s="168">
        <f>'PA-Détails'!G2113</f>
        <v>1200</v>
      </c>
      <c r="H188" s="168">
        <f>'PA-Détails'!H2113</f>
        <v>1200</v>
      </c>
      <c r="I188" s="168">
        <f>'PA-Détails'!I2113</f>
        <v>6000</v>
      </c>
      <c r="J188" s="447">
        <f>'PA-Détails'!J2113</f>
        <v>0</v>
      </c>
      <c r="K188" s="36">
        <f>'PA-Détails'!K2113</f>
        <v>0</v>
      </c>
      <c r="L188" s="36">
        <f>'PA-Détails'!L2113</f>
        <v>1200000</v>
      </c>
      <c r="M188" s="36">
        <f>'PA-Détails'!M2113</f>
        <v>1200000</v>
      </c>
      <c r="N188" s="36">
        <f>'PA-Détails'!N2113</f>
        <v>1200000</v>
      </c>
      <c r="O188" s="36">
        <f>'PA-Détails'!O2113</f>
        <v>1200000</v>
      </c>
      <c r="P188" s="36">
        <f>'PA-Détails'!P2113</f>
        <v>1200000</v>
      </c>
      <c r="Q188" s="429">
        <f>'PA-Détails'!Q2113</f>
        <v>6000000</v>
      </c>
      <c r="R188" s="570"/>
      <c r="S188" s="584">
        <f>'PA-Détails'!S2113</f>
        <v>0</v>
      </c>
      <c r="T188" s="585">
        <f>'PA-Détails'!T2113</f>
        <v>0</v>
      </c>
      <c r="U188" s="586">
        <f>'PA-Détails'!T2113</f>
        <v>0</v>
      </c>
    </row>
    <row r="189" spans="1:21" x14ac:dyDescent="0.2">
      <c r="A189" s="369" t="str">
        <f>'PA-Détails'!A2115</f>
        <v>6.1.6 Centres d'application dans chaque sous division provinciale</v>
      </c>
      <c r="B189" s="446"/>
      <c r="C189" s="387" t="str">
        <f>'PA-Détails'!C2115</f>
        <v>En 2025, toutes les sous-divisions provinciales sont munies d'un centre d'application</v>
      </c>
      <c r="D189" s="168">
        <f>'PA-Détails'!D2115</f>
        <v>1200</v>
      </c>
      <c r="E189" s="168">
        <f>'PA-Détails'!E2115</f>
        <v>1200</v>
      </c>
      <c r="F189" s="168">
        <f>'PA-Détails'!F2115</f>
        <v>1200</v>
      </c>
      <c r="G189" s="168">
        <f>'PA-Détails'!G2115</f>
        <v>1200</v>
      </c>
      <c r="H189" s="168">
        <f>'PA-Détails'!H2115</f>
        <v>1200</v>
      </c>
      <c r="I189" s="168">
        <f>'PA-Détails'!I2115</f>
        <v>6000</v>
      </c>
      <c r="J189" s="447">
        <f>'PA-Détails'!J2115</f>
        <v>0</v>
      </c>
      <c r="K189" s="36">
        <f>'PA-Détails'!K2115</f>
        <v>0</v>
      </c>
      <c r="L189" s="36">
        <f>'PA-Détails'!L2115</f>
        <v>1200000</v>
      </c>
      <c r="M189" s="36">
        <f>'PA-Détails'!M2115</f>
        <v>1200000</v>
      </c>
      <c r="N189" s="36">
        <f>'PA-Détails'!N2115</f>
        <v>1200000</v>
      </c>
      <c r="O189" s="36">
        <f>'PA-Détails'!O2115</f>
        <v>1200000</v>
      </c>
      <c r="P189" s="36">
        <f>'PA-Détails'!P2115</f>
        <v>1200000</v>
      </c>
      <c r="Q189" s="429">
        <f>'PA-Détails'!Q2115</f>
        <v>6000000</v>
      </c>
      <c r="R189" s="570"/>
      <c r="S189" s="584">
        <f>'PA-Détails'!S2115</f>
        <v>0</v>
      </c>
      <c r="T189" s="585">
        <f>'PA-Détails'!T2115</f>
        <v>0</v>
      </c>
      <c r="U189" s="586">
        <f>'PA-Détails'!T2115</f>
        <v>0</v>
      </c>
    </row>
    <row r="190" spans="1:21" x14ac:dyDescent="0.2">
      <c r="A190" s="370" t="str">
        <f>'PA-Détails'!A2117</f>
        <v>6.1.7 Équipement des établissements transformés pour ETFP (voir aussi 5.1.1.2)</v>
      </c>
      <c r="B190" s="446"/>
      <c r="C190" s="387" t="str">
        <f>'PA-Détails'!C2117</f>
        <v>En 2018, tous les établissements transformés pour l'ETP possèdent les équipements nécessaires à leurs filières</v>
      </c>
      <c r="D190" s="168">
        <f>'PA-Détails'!D2117</f>
        <v>10014</v>
      </c>
      <c r="E190" s="168">
        <f>'PA-Détails'!E2117</f>
        <v>10000</v>
      </c>
      <c r="F190" s="168">
        <f>'PA-Détails'!F2117</f>
        <v>10000</v>
      </c>
      <c r="G190" s="168">
        <f>'PA-Détails'!G2117</f>
        <v>3000</v>
      </c>
      <c r="H190" s="168">
        <f>'PA-Détails'!H2117</f>
        <v>3000</v>
      </c>
      <c r="I190" s="168">
        <f>'PA-Détails'!I2117</f>
        <v>36014</v>
      </c>
      <c r="J190" s="447">
        <f>'PA-Détails'!J2117</f>
        <v>0</v>
      </c>
      <c r="K190" s="36">
        <f>'PA-Détails'!K2117</f>
        <v>0</v>
      </c>
      <c r="L190" s="36">
        <f>'PA-Détails'!L2117</f>
        <v>10014000</v>
      </c>
      <c r="M190" s="36">
        <f>'PA-Détails'!M2117</f>
        <v>10000000</v>
      </c>
      <c r="N190" s="36">
        <f>'PA-Détails'!N2117</f>
        <v>10000000</v>
      </c>
      <c r="O190" s="36">
        <f>'PA-Détails'!O2117</f>
        <v>3000000</v>
      </c>
      <c r="P190" s="36">
        <f>'PA-Détails'!P2117</f>
        <v>3000000</v>
      </c>
      <c r="Q190" s="429">
        <f>'PA-Détails'!Q2117</f>
        <v>36014000</v>
      </c>
      <c r="R190" s="570"/>
      <c r="S190" s="584">
        <f>'PA-Détails'!S2117</f>
        <v>0</v>
      </c>
      <c r="T190" s="585">
        <f>'PA-Détails'!T2117</f>
        <v>0</v>
      </c>
      <c r="U190" s="586">
        <f>'PA-Détails'!T2117</f>
        <v>0</v>
      </c>
    </row>
    <row r="191" spans="1:21" x14ac:dyDescent="0.2">
      <c r="A191" s="368" t="str">
        <f>'PA-Détails'!A2120</f>
        <v>6.2 Réforme du système d'orientation : Rendre le système d'orientation plus équitable</v>
      </c>
      <c r="B191" s="444"/>
      <c r="C191" s="385">
        <f>'PA-Détails'!C2120</f>
        <v>0</v>
      </c>
      <c r="D191" s="217">
        <f>'PA-Détails'!D2120</f>
        <v>482.3</v>
      </c>
      <c r="E191" s="217">
        <f>'PA-Détails'!E2120</f>
        <v>432.8</v>
      </c>
      <c r="F191" s="217">
        <f>'PA-Détails'!F2120</f>
        <v>432.8</v>
      </c>
      <c r="G191" s="217">
        <f>'PA-Détails'!G2120</f>
        <v>360</v>
      </c>
      <c r="H191" s="217">
        <f>'PA-Détails'!H2120</f>
        <v>360</v>
      </c>
      <c r="I191" s="217">
        <f>'PA-Détails'!I2120</f>
        <v>2067.9</v>
      </c>
      <c r="J191" s="449">
        <f>'PA-Détails'!J2120</f>
        <v>0</v>
      </c>
      <c r="K191" s="32">
        <f>'PA-Détails'!K2120</f>
        <v>0</v>
      </c>
      <c r="L191" s="32">
        <f>'PA-Détails'!L2120</f>
        <v>482300</v>
      </c>
      <c r="M191" s="32">
        <f>'PA-Détails'!M2120</f>
        <v>432800</v>
      </c>
      <c r="N191" s="32">
        <f>'PA-Détails'!N2120</f>
        <v>432800</v>
      </c>
      <c r="O191" s="32">
        <f>'PA-Détails'!O2120</f>
        <v>360000</v>
      </c>
      <c r="P191" s="32">
        <f>'PA-Détails'!P2120</f>
        <v>360000</v>
      </c>
      <c r="Q191" s="428">
        <f>'PA-Détails'!Q2120</f>
        <v>2067900</v>
      </c>
      <c r="R191" s="570"/>
      <c r="S191" s="590">
        <f>'PA-Détails'!S2120</f>
        <v>0</v>
      </c>
      <c r="T191" s="582">
        <f>'PA-Détails'!T2120</f>
        <v>1</v>
      </c>
      <c r="U191" s="583">
        <f>'PA-Détails'!T2120</f>
        <v>1</v>
      </c>
    </row>
    <row r="192" spans="1:21" x14ac:dyDescent="0.2">
      <c r="A192" s="369" t="str">
        <f>'PA-Détails'!A2121</f>
        <v>6.2.1 Activités de sensibilisation pour encourager l'accès des filles à l'ETFP</v>
      </c>
      <c r="B192" s="446"/>
      <c r="C192" s="386" t="str">
        <f>'PA-Détails'!C2121</f>
        <v>Des actions d'information sont menées auprès des élèves du premier cycle secondaire dans chaque province</v>
      </c>
      <c r="D192" s="168">
        <f>'PA-Détails'!D2121</f>
        <v>122.3</v>
      </c>
      <c r="E192" s="168">
        <f>'PA-Détails'!E2121</f>
        <v>72.8</v>
      </c>
      <c r="F192" s="168">
        <f>'PA-Détails'!F2121</f>
        <v>72.8</v>
      </c>
      <c r="G192" s="168">
        <f>'PA-Détails'!G2121</f>
        <v>0</v>
      </c>
      <c r="H192" s="168">
        <f>'PA-Détails'!H2121</f>
        <v>0</v>
      </c>
      <c r="I192" s="168">
        <f>'PA-Détails'!I2121</f>
        <v>267.89999999999998</v>
      </c>
      <c r="J192" s="447">
        <f>'PA-Détails'!J2121</f>
        <v>0</v>
      </c>
      <c r="K192" s="36">
        <f>'PA-Détails'!K2121</f>
        <v>0</v>
      </c>
      <c r="L192" s="36">
        <f>'PA-Détails'!L2121</f>
        <v>122300</v>
      </c>
      <c r="M192" s="36">
        <f>'PA-Détails'!M2121</f>
        <v>72800</v>
      </c>
      <c r="N192" s="36">
        <f>'PA-Détails'!N2121</f>
        <v>72800</v>
      </c>
      <c r="O192" s="36">
        <f>'PA-Détails'!O2121</f>
        <v>0</v>
      </c>
      <c r="P192" s="36">
        <f>'PA-Détails'!P2121</f>
        <v>0</v>
      </c>
      <c r="Q192" s="429">
        <f>'PA-Détails'!Q2121</f>
        <v>267900</v>
      </c>
      <c r="R192" s="570"/>
      <c r="S192" s="591">
        <f>'PA-Détails'!S2121</f>
        <v>0</v>
      </c>
      <c r="T192" s="585">
        <f>'PA-Détails'!T2121</f>
        <v>0</v>
      </c>
      <c r="U192" s="586">
        <f>'PA-Détails'!T2121</f>
        <v>0</v>
      </c>
    </row>
    <row r="193" spans="1:21" x14ac:dyDescent="0.2">
      <c r="A193" s="369" t="str">
        <f>'PA-Détails'!A2125</f>
        <v>6.2.2 Bourses d'études</v>
      </c>
      <c r="B193" s="446"/>
      <c r="C193" s="386" t="str">
        <f>'PA-Détails'!C2125</f>
        <v>1000 bourses accordées chaque année pour les filles scolarisées dans des filières économiques prioritaires</v>
      </c>
      <c r="D193" s="168">
        <f>'PA-Détails'!D2125</f>
        <v>360</v>
      </c>
      <c r="E193" s="168">
        <f>'PA-Détails'!E2125</f>
        <v>360</v>
      </c>
      <c r="F193" s="168">
        <f>'PA-Détails'!F2125</f>
        <v>360</v>
      </c>
      <c r="G193" s="168">
        <f>'PA-Détails'!G2125</f>
        <v>360</v>
      </c>
      <c r="H193" s="168">
        <f>'PA-Détails'!H2125</f>
        <v>360</v>
      </c>
      <c r="I193" s="168">
        <f>'PA-Détails'!I2125</f>
        <v>1800</v>
      </c>
      <c r="J193" s="447">
        <f>'PA-Détails'!J2125</f>
        <v>0</v>
      </c>
      <c r="K193" s="36">
        <f>'PA-Détails'!K2125</f>
        <v>0</v>
      </c>
      <c r="L193" s="36">
        <f>'PA-Détails'!L2125</f>
        <v>360000</v>
      </c>
      <c r="M193" s="36">
        <f>'PA-Détails'!M2125</f>
        <v>360000</v>
      </c>
      <c r="N193" s="36">
        <f>'PA-Détails'!N2125</f>
        <v>360000</v>
      </c>
      <c r="O193" s="36">
        <f>'PA-Détails'!O2125</f>
        <v>360000</v>
      </c>
      <c r="P193" s="36">
        <f>'PA-Détails'!P2125</f>
        <v>360000</v>
      </c>
      <c r="Q193" s="429">
        <f>'PA-Détails'!Q2125</f>
        <v>1800000</v>
      </c>
      <c r="R193" s="570"/>
      <c r="S193" s="591">
        <f>'PA-Détails'!S2125</f>
        <v>0</v>
      </c>
      <c r="T193" s="585">
        <f>'PA-Détails'!T2125</f>
        <v>0</v>
      </c>
      <c r="U193" s="586">
        <f>'PA-Détails'!T2125</f>
        <v>0</v>
      </c>
    </row>
    <row r="194" spans="1:21" x14ac:dyDescent="0.2">
      <c r="A194" s="368" t="str">
        <f>'PA-Détails'!A2127</f>
        <v xml:space="preserve">6.3 Matériels et équipements pédagogiques : Rendre accessibles et disponibles les manuels scolaires et le matériel didactique </v>
      </c>
      <c r="B194" s="444"/>
      <c r="C194" s="385">
        <f>'PA-Détails'!C2127</f>
        <v>0</v>
      </c>
      <c r="D194" s="217">
        <f>'PA-Détails'!D2127</f>
        <v>14449.6</v>
      </c>
      <c r="E194" s="217">
        <f>'PA-Détails'!E2127</f>
        <v>14412.1</v>
      </c>
      <c r="F194" s="217">
        <f>'PA-Détails'!F2127</f>
        <v>14412.1</v>
      </c>
      <c r="G194" s="217">
        <f>'PA-Détails'!G2127</f>
        <v>14412.1</v>
      </c>
      <c r="H194" s="217">
        <f>'PA-Détails'!H2127</f>
        <v>14412.1</v>
      </c>
      <c r="I194" s="217">
        <f>'PA-Détails'!I2127</f>
        <v>72098</v>
      </c>
      <c r="J194" s="449">
        <f>'PA-Détails'!J2127</f>
        <v>0</v>
      </c>
      <c r="K194" s="32">
        <f>'PA-Détails'!K2127</f>
        <v>0</v>
      </c>
      <c r="L194" s="32">
        <f>'PA-Détails'!L2127</f>
        <v>14449600</v>
      </c>
      <c r="M194" s="32">
        <f>'PA-Détails'!M2127</f>
        <v>14412100</v>
      </c>
      <c r="N194" s="32">
        <f>'PA-Détails'!N2127</f>
        <v>14412100</v>
      </c>
      <c r="O194" s="32">
        <f>'PA-Détails'!O2127</f>
        <v>14412100</v>
      </c>
      <c r="P194" s="32">
        <f>'PA-Détails'!P2127</f>
        <v>14412100</v>
      </c>
      <c r="Q194" s="428">
        <f>'PA-Détails'!Q2127</f>
        <v>72098000</v>
      </c>
      <c r="R194" s="570"/>
      <c r="S194" s="592">
        <f>'PA-Détails'!S2127</f>
        <v>0</v>
      </c>
      <c r="T194" s="593">
        <f>'PA-Détails'!T2127</f>
        <v>2</v>
      </c>
      <c r="U194" s="588">
        <f>'PA-Détails'!T2127</f>
        <v>2</v>
      </c>
    </row>
    <row r="195" spans="1:21" x14ac:dyDescent="0.2">
      <c r="A195" s="369" t="str">
        <f>'PA-Détails'!A2128</f>
        <v>6.3.1 Équipement pédagogiques</v>
      </c>
      <c r="B195" s="446"/>
      <c r="C195" s="386" t="str">
        <f>'PA-Détails'!C2128</f>
        <v>En 2025, toutes les écoles disposent de matériels pédagogiques nécessaires</v>
      </c>
      <c r="D195" s="168">
        <f>'PA-Détails'!D2128</f>
        <v>13000</v>
      </c>
      <c r="E195" s="168">
        <f>'PA-Détails'!E2128</f>
        <v>13000</v>
      </c>
      <c r="F195" s="168">
        <f>'PA-Détails'!F2128</f>
        <v>13000</v>
      </c>
      <c r="G195" s="168">
        <f>'PA-Détails'!G2128</f>
        <v>13000</v>
      </c>
      <c r="H195" s="168">
        <f>'PA-Détails'!H2128</f>
        <v>13000</v>
      </c>
      <c r="I195" s="168">
        <f>'PA-Détails'!I2128</f>
        <v>65000</v>
      </c>
      <c r="J195" s="447">
        <f>'PA-Détails'!J2128</f>
        <v>0</v>
      </c>
      <c r="K195" s="36">
        <f>'PA-Détails'!K2128</f>
        <v>0</v>
      </c>
      <c r="L195" s="36">
        <f>'PA-Détails'!L2128</f>
        <v>13000000</v>
      </c>
      <c r="M195" s="36">
        <f>'PA-Détails'!M2128</f>
        <v>13000000</v>
      </c>
      <c r="N195" s="36">
        <f>'PA-Détails'!N2128</f>
        <v>13000000</v>
      </c>
      <c r="O195" s="36">
        <f>'PA-Détails'!O2128</f>
        <v>13000000</v>
      </c>
      <c r="P195" s="36">
        <f>'PA-Détails'!P2128</f>
        <v>13000000</v>
      </c>
      <c r="Q195" s="429">
        <f>'PA-Détails'!Q2128</f>
        <v>65000000</v>
      </c>
      <c r="R195" s="570"/>
      <c r="S195" s="594">
        <f>'PA-Détails'!S2128</f>
        <v>0</v>
      </c>
      <c r="T195" s="595">
        <f>'PA-Détails'!T2128</f>
        <v>0</v>
      </c>
      <c r="U195" s="586">
        <f>'PA-Détails'!T2128</f>
        <v>0</v>
      </c>
    </row>
    <row r="196" spans="1:21" x14ac:dyDescent="0.2">
      <c r="A196" s="369" t="str">
        <f>'PA-Détails'!A2130</f>
        <v>6.3.2 Manuels scolaires</v>
      </c>
      <c r="B196" s="446"/>
      <c r="C196" s="386" t="str">
        <f>'PA-Détails'!C2130</f>
        <v>En 2025, tous les élèves disposent de tous les manuels nécessaires en fonction de leurs options (moyenne 5)</v>
      </c>
      <c r="D196" s="168">
        <f>'PA-Détails'!D2130</f>
        <v>1449.6</v>
      </c>
      <c r="E196" s="168">
        <f>'PA-Détails'!E2130</f>
        <v>1412.1</v>
      </c>
      <c r="F196" s="168">
        <f>'PA-Détails'!F2130</f>
        <v>1412.1</v>
      </c>
      <c r="G196" s="168">
        <f>'PA-Détails'!G2130</f>
        <v>1412.1</v>
      </c>
      <c r="H196" s="168">
        <f>'PA-Détails'!H2130</f>
        <v>1412.1</v>
      </c>
      <c r="I196" s="168">
        <f>'PA-Détails'!I2130</f>
        <v>7098</v>
      </c>
      <c r="J196" s="447">
        <f>'PA-Détails'!J2130</f>
        <v>0</v>
      </c>
      <c r="K196" s="36">
        <f>'PA-Détails'!K2130</f>
        <v>0</v>
      </c>
      <c r="L196" s="36">
        <f>'PA-Détails'!L2130</f>
        <v>1449600</v>
      </c>
      <c r="M196" s="36">
        <f>'PA-Détails'!M2130</f>
        <v>1412100</v>
      </c>
      <c r="N196" s="36">
        <f>'PA-Détails'!N2130</f>
        <v>1412100</v>
      </c>
      <c r="O196" s="36">
        <f>'PA-Détails'!O2130</f>
        <v>1412100</v>
      </c>
      <c r="P196" s="36">
        <f>'PA-Détails'!P2130</f>
        <v>1412100</v>
      </c>
      <c r="Q196" s="429">
        <f>'PA-Détails'!Q2130</f>
        <v>7098000</v>
      </c>
      <c r="R196" s="570"/>
      <c r="S196" s="594">
        <f>'PA-Détails'!S2130</f>
        <v>0</v>
      </c>
      <c r="T196" s="595">
        <f>'PA-Détails'!T2130</f>
        <v>0</v>
      </c>
      <c r="U196" s="586">
        <f>'PA-Détails'!T2130</f>
        <v>0</v>
      </c>
    </row>
    <row r="197" spans="1:21" x14ac:dyDescent="0.2">
      <c r="A197" s="368" t="str">
        <f>'PA-Détails'!A2133</f>
        <v>6.4 Adaptation au marché du travail : Mettre en adéquation les formations avec les besoins du marché du travail</v>
      </c>
      <c r="B197" s="444"/>
      <c r="C197" s="385">
        <f>'PA-Détails'!C2133</f>
        <v>0</v>
      </c>
      <c r="D197" s="217">
        <f>'PA-Détails'!D2133</f>
        <v>451.15</v>
      </c>
      <c r="E197" s="217">
        <f>'PA-Détails'!E2133</f>
        <v>352</v>
      </c>
      <c r="F197" s="217">
        <f>'PA-Détails'!F2133</f>
        <v>352</v>
      </c>
      <c r="G197" s="217">
        <f>'PA-Détails'!G2133</f>
        <v>10</v>
      </c>
      <c r="H197" s="217">
        <f>'PA-Détails'!H2133</f>
        <v>10</v>
      </c>
      <c r="I197" s="217">
        <f>'PA-Détails'!I2133</f>
        <v>1175.1500000000001</v>
      </c>
      <c r="J197" s="449">
        <f>'PA-Détails'!J2133</f>
        <v>0</v>
      </c>
      <c r="K197" s="32">
        <f>'PA-Détails'!K2133</f>
        <v>0</v>
      </c>
      <c r="L197" s="32">
        <f>'PA-Détails'!L2133</f>
        <v>451150</v>
      </c>
      <c r="M197" s="32">
        <f>'PA-Détails'!M2133</f>
        <v>352000</v>
      </c>
      <c r="N197" s="32">
        <f>'PA-Détails'!N2133</f>
        <v>352000</v>
      </c>
      <c r="O197" s="32">
        <f>'PA-Détails'!O2133</f>
        <v>10000</v>
      </c>
      <c r="P197" s="32">
        <f>'PA-Détails'!P2133</f>
        <v>10000</v>
      </c>
      <c r="Q197" s="428">
        <f>'PA-Détails'!Q2133</f>
        <v>1175150</v>
      </c>
      <c r="R197" s="570"/>
      <c r="S197" s="592">
        <f>'PA-Détails'!S2133</f>
        <v>0</v>
      </c>
      <c r="T197" s="593">
        <f>'PA-Détails'!T2133</f>
        <v>2</v>
      </c>
      <c r="U197" s="588">
        <f>'PA-Détails'!T2133</f>
        <v>2</v>
      </c>
    </row>
    <row r="198" spans="1:21" x14ac:dyDescent="0.2">
      <c r="A198" s="369" t="str">
        <f>'PA-Détails'!A2134</f>
        <v>6.4.1 Cadre de concertation entre l'administration et secteur privé productif</v>
      </c>
      <c r="B198" s="446"/>
      <c r="C198" s="386" t="str">
        <f>'PA-Détails'!C2134</f>
        <v>Un cadre national de concertation élaboré et opérationnel</v>
      </c>
      <c r="D198" s="168">
        <f>'PA-Détails'!D2134</f>
        <v>57.95</v>
      </c>
      <c r="E198" s="168">
        <f>'PA-Détails'!E2134</f>
        <v>10</v>
      </c>
      <c r="F198" s="168">
        <f>'PA-Détails'!F2134</f>
        <v>10</v>
      </c>
      <c r="G198" s="168">
        <f>'PA-Détails'!G2134</f>
        <v>10</v>
      </c>
      <c r="H198" s="168">
        <f>'PA-Détails'!H2134</f>
        <v>10</v>
      </c>
      <c r="I198" s="168">
        <f>'PA-Détails'!I2134</f>
        <v>97.95</v>
      </c>
      <c r="J198" s="447">
        <f>'PA-Détails'!J2134</f>
        <v>0</v>
      </c>
      <c r="K198" s="36">
        <f>'PA-Détails'!K2134</f>
        <v>0</v>
      </c>
      <c r="L198" s="36">
        <f>'PA-Détails'!L2134</f>
        <v>57950</v>
      </c>
      <c r="M198" s="36">
        <f>'PA-Détails'!M2134</f>
        <v>10000</v>
      </c>
      <c r="N198" s="36">
        <f>'PA-Détails'!N2134</f>
        <v>10000</v>
      </c>
      <c r="O198" s="36">
        <f>'PA-Détails'!O2134</f>
        <v>10000</v>
      </c>
      <c r="P198" s="36">
        <f>'PA-Détails'!P2134</f>
        <v>10000</v>
      </c>
      <c r="Q198" s="429">
        <f>'PA-Détails'!Q2134</f>
        <v>97950</v>
      </c>
      <c r="R198" s="570"/>
      <c r="S198" s="594">
        <f>'PA-Détails'!S2134</f>
        <v>0</v>
      </c>
      <c r="T198" s="595">
        <f>'PA-Détails'!T2134</f>
        <v>0</v>
      </c>
      <c r="U198" s="586">
        <f>'PA-Détails'!T2134</f>
        <v>0</v>
      </c>
    </row>
    <row r="199" spans="1:21" x14ac:dyDescent="0.2">
      <c r="A199" s="369" t="str">
        <f>'PA-Détails'!A2137</f>
        <v>6.4.2 Concertations provinciales sur les filières porteuses</v>
      </c>
      <c r="B199" s="446"/>
      <c r="C199" s="386" t="str">
        <f>'PA-Détails'!C2137</f>
        <v>Des concertations sont menées dans chaque province sur les filières porteuses, entre 2016 et 2018</v>
      </c>
      <c r="D199" s="168">
        <f>'PA-Détails'!D2137</f>
        <v>351.95</v>
      </c>
      <c r="E199" s="168">
        <f>'PA-Détails'!E2137</f>
        <v>342</v>
      </c>
      <c r="F199" s="168">
        <f>'PA-Détails'!F2137</f>
        <v>342</v>
      </c>
      <c r="G199" s="168">
        <f>'PA-Détails'!G2137</f>
        <v>0</v>
      </c>
      <c r="H199" s="168">
        <f>'PA-Détails'!H2137</f>
        <v>0</v>
      </c>
      <c r="I199" s="168">
        <f>'PA-Détails'!I2137</f>
        <v>1035.95</v>
      </c>
      <c r="J199" s="447">
        <f>'PA-Détails'!J2137</f>
        <v>0</v>
      </c>
      <c r="K199" s="36">
        <f>'PA-Détails'!K2137</f>
        <v>0</v>
      </c>
      <c r="L199" s="36">
        <f>'PA-Détails'!L2137</f>
        <v>351950</v>
      </c>
      <c r="M199" s="36">
        <f>'PA-Détails'!M2137</f>
        <v>342000</v>
      </c>
      <c r="N199" s="36">
        <f>'PA-Détails'!N2137</f>
        <v>342000</v>
      </c>
      <c r="O199" s="36">
        <f>'PA-Détails'!O2137</f>
        <v>0</v>
      </c>
      <c r="P199" s="36">
        <f>'PA-Détails'!P2137</f>
        <v>0</v>
      </c>
      <c r="Q199" s="429">
        <f>'PA-Détails'!Q2137</f>
        <v>1035950</v>
      </c>
      <c r="R199" s="570"/>
      <c r="S199" s="591">
        <f>'PA-Détails'!S2137</f>
        <v>0</v>
      </c>
      <c r="T199" s="595">
        <f>'PA-Détails'!T2137</f>
        <v>0</v>
      </c>
      <c r="U199" s="586">
        <f>'PA-Détails'!T2137</f>
        <v>0</v>
      </c>
    </row>
    <row r="200" spans="1:21" x14ac:dyDescent="0.2">
      <c r="A200" s="369" t="str">
        <f>'PA-Détails'!A2140</f>
        <v>6.4.3 Promotion du partenariat avec le secteur privé</v>
      </c>
      <c r="B200" s="446"/>
      <c r="C200" s="386" t="str">
        <f>'PA-Détails'!C2140</f>
        <v>En 2020, tous les centres de ressources et d'application auront des accords de partenariat avec des entreprises</v>
      </c>
      <c r="D200" s="168">
        <f>'PA-Détails'!D2140</f>
        <v>14.5</v>
      </c>
      <c r="E200" s="168">
        <f>'PA-Détails'!E2140</f>
        <v>0</v>
      </c>
      <c r="F200" s="168">
        <f>'PA-Détails'!F2140</f>
        <v>0</v>
      </c>
      <c r="G200" s="168">
        <f>'PA-Détails'!G2140</f>
        <v>0</v>
      </c>
      <c r="H200" s="168">
        <f>'PA-Détails'!H2140</f>
        <v>0</v>
      </c>
      <c r="I200" s="168">
        <f>'PA-Détails'!I2140</f>
        <v>14.5</v>
      </c>
      <c r="J200" s="447">
        <f>'PA-Détails'!J2140</f>
        <v>0</v>
      </c>
      <c r="K200" s="36">
        <f>'PA-Détails'!K2140</f>
        <v>0</v>
      </c>
      <c r="L200" s="36">
        <f>'PA-Détails'!L2140</f>
        <v>14500</v>
      </c>
      <c r="M200" s="36">
        <f>'PA-Détails'!M2140</f>
        <v>0</v>
      </c>
      <c r="N200" s="36">
        <f>'PA-Détails'!N2140</f>
        <v>0</v>
      </c>
      <c r="O200" s="36">
        <f>'PA-Détails'!O2140</f>
        <v>0</v>
      </c>
      <c r="P200" s="36">
        <f>'PA-Détails'!P2140</f>
        <v>0</v>
      </c>
      <c r="Q200" s="429">
        <f>'PA-Détails'!Q2140</f>
        <v>14500</v>
      </c>
      <c r="R200" s="570"/>
      <c r="S200" s="591">
        <f>'PA-Détails'!S2140</f>
        <v>0</v>
      </c>
      <c r="T200" s="595">
        <f>'PA-Détails'!T2140</f>
        <v>0</v>
      </c>
      <c r="U200" s="586">
        <f>'PA-Détails'!T2140</f>
        <v>0</v>
      </c>
    </row>
    <row r="201" spans="1:21" x14ac:dyDescent="0.2">
      <c r="A201" s="369" t="str">
        <f>'PA-Détails'!A2143</f>
        <v>6.4.4 Création de Chambres des métiers et artisanat</v>
      </c>
      <c r="B201" s="458"/>
      <c r="C201" s="386">
        <f>'PA-Détails'!C2143</f>
        <v>0</v>
      </c>
      <c r="D201" s="168">
        <f>'PA-Détails'!D2143</f>
        <v>26.75</v>
      </c>
      <c r="E201" s="168">
        <f>'PA-Détails'!E2143</f>
        <v>0</v>
      </c>
      <c r="F201" s="168">
        <f>'PA-Détails'!F2143</f>
        <v>0</v>
      </c>
      <c r="G201" s="168">
        <f>'PA-Détails'!G2143</f>
        <v>0</v>
      </c>
      <c r="H201" s="168">
        <f>'PA-Détails'!H2143</f>
        <v>0</v>
      </c>
      <c r="I201" s="168">
        <f>'PA-Détails'!I2143</f>
        <v>26.75</v>
      </c>
      <c r="J201" s="447">
        <f>'PA-Détails'!J2143</f>
        <v>0</v>
      </c>
      <c r="K201" s="36">
        <f>'PA-Détails'!K2143</f>
        <v>0</v>
      </c>
      <c r="L201" s="36">
        <f>'PA-Détails'!L2143</f>
        <v>26750</v>
      </c>
      <c r="M201" s="36">
        <f>'PA-Détails'!M2143</f>
        <v>0</v>
      </c>
      <c r="N201" s="36">
        <f>'PA-Détails'!N2143</f>
        <v>0</v>
      </c>
      <c r="O201" s="36">
        <f>'PA-Détails'!O2143</f>
        <v>0</v>
      </c>
      <c r="P201" s="36">
        <f>'PA-Détails'!P2143</f>
        <v>0</v>
      </c>
      <c r="Q201" s="429">
        <f>'PA-Détails'!Q2143</f>
        <v>26750</v>
      </c>
      <c r="R201" s="570"/>
      <c r="S201" s="591">
        <f>'PA-Détails'!S2143</f>
        <v>0</v>
      </c>
      <c r="T201" s="598">
        <f>'PA-Détails'!T2143</f>
        <v>0</v>
      </c>
      <c r="U201" s="586">
        <f>'PA-Détails'!T2143</f>
        <v>0</v>
      </c>
    </row>
    <row r="202" spans="1:21" x14ac:dyDescent="0.2">
      <c r="A202" s="368" t="str">
        <f>'PA-Détails'!A2145</f>
        <v>6.5 Environnement éducatif : Apporter aux écoles les équipements nécessaires à un apprentissage de qualité</v>
      </c>
      <c r="B202" s="444"/>
      <c r="C202" s="385">
        <f>'PA-Détails'!C2145</f>
        <v>0</v>
      </c>
      <c r="D202" s="217">
        <f>'PA-Détails'!D2145</f>
        <v>9356</v>
      </c>
      <c r="E202" s="217">
        <f>'PA-Détails'!E2145</f>
        <v>9280</v>
      </c>
      <c r="F202" s="217">
        <f>'PA-Détails'!F2145</f>
        <v>9280</v>
      </c>
      <c r="G202" s="217">
        <f>'PA-Détails'!G2145</f>
        <v>9280</v>
      </c>
      <c r="H202" s="217">
        <f>'PA-Détails'!H2145</f>
        <v>9280</v>
      </c>
      <c r="I202" s="217">
        <f>'PA-Détails'!I2145</f>
        <v>46476</v>
      </c>
      <c r="J202" s="449">
        <f>'PA-Détails'!J2145</f>
        <v>0</v>
      </c>
      <c r="K202" s="32">
        <f>'PA-Détails'!K2145</f>
        <v>0</v>
      </c>
      <c r="L202" s="32">
        <f>'PA-Détails'!L2145</f>
        <v>9356000</v>
      </c>
      <c r="M202" s="32">
        <f>'PA-Détails'!M2145</f>
        <v>9280000</v>
      </c>
      <c r="N202" s="32">
        <f>'PA-Détails'!N2145</f>
        <v>9280000</v>
      </c>
      <c r="O202" s="32">
        <f>'PA-Détails'!O2145</f>
        <v>9280000</v>
      </c>
      <c r="P202" s="32">
        <f>'PA-Détails'!P2145</f>
        <v>9280000</v>
      </c>
      <c r="Q202" s="428">
        <f>'PA-Détails'!Q2145</f>
        <v>46476000</v>
      </c>
      <c r="R202" s="570"/>
      <c r="S202" s="592">
        <f>'PA-Détails'!S2145</f>
        <v>0</v>
      </c>
      <c r="T202" s="593">
        <f>'PA-Détails'!T2145</f>
        <v>2</v>
      </c>
      <c r="U202" s="588">
        <f>'PA-Détails'!T2145</f>
        <v>2</v>
      </c>
    </row>
    <row r="203" spans="1:21" x14ac:dyDescent="0.2">
      <c r="A203" s="369" t="str">
        <f>'PA-Détails'!A2146</f>
        <v>6.5.1 Équipement en mobilier scolaire</v>
      </c>
      <c r="B203" s="446"/>
      <c r="C203" s="386" t="str">
        <f>'PA-Détails'!C2146</f>
        <v>Tous les établissements sont équipés avec un mobilier suffisant à l'horizon 2020</v>
      </c>
      <c r="D203" s="168">
        <f>'PA-Détails'!D2146</f>
        <v>7380</v>
      </c>
      <c r="E203" s="168">
        <f>'PA-Détails'!E2146</f>
        <v>7380</v>
      </c>
      <c r="F203" s="168">
        <f>'PA-Détails'!F2146</f>
        <v>7380</v>
      </c>
      <c r="G203" s="168">
        <f>'PA-Détails'!G2146</f>
        <v>7380</v>
      </c>
      <c r="H203" s="168">
        <f>'PA-Détails'!H2146</f>
        <v>7380</v>
      </c>
      <c r="I203" s="168">
        <f>'PA-Détails'!I2146</f>
        <v>36900</v>
      </c>
      <c r="J203" s="447">
        <f>'PA-Détails'!J2146</f>
        <v>0</v>
      </c>
      <c r="K203" s="36">
        <f>'PA-Détails'!K2146</f>
        <v>0</v>
      </c>
      <c r="L203" s="36">
        <f>'PA-Détails'!L2146</f>
        <v>7380000</v>
      </c>
      <c r="M203" s="36">
        <f>'PA-Détails'!M2146</f>
        <v>7380000</v>
      </c>
      <c r="N203" s="36">
        <f>'PA-Détails'!N2146</f>
        <v>7380000</v>
      </c>
      <c r="O203" s="36">
        <f>'PA-Détails'!O2146</f>
        <v>7380000</v>
      </c>
      <c r="P203" s="36">
        <f>'PA-Détails'!P2146</f>
        <v>7380000</v>
      </c>
      <c r="Q203" s="429">
        <f>'PA-Détails'!Q2146</f>
        <v>36900000</v>
      </c>
      <c r="R203" s="570"/>
      <c r="S203" s="594">
        <f>'PA-Détails'!S2146</f>
        <v>0</v>
      </c>
      <c r="T203" s="595">
        <f>'PA-Détails'!T2146</f>
        <v>0</v>
      </c>
      <c r="U203" s="586">
        <f>'PA-Détails'!T2146</f>
        <v>0</v>
      </c>
    </row>
    <row r="204" spans="1:21" x14ac:dyDescent="0.2">
      <c r="A204" s="369" t="str">
        <f>'PA-Détails'!A2148</f>
        <v>6.5.2 Équipement pour activités physiques et sportives</v>
      </c>
      <c r="B204" s="446"/>
      <c r="C204" s="386" t="str">
        <f>'PA-Détails'!C2148</f>
        <v>En 2020, tous les établissements ont accès à des équipements sportifs</v>
      </c>
      <c r="D204" s="168">
        <f>'PA-Détails'!D2148</f>
        <v>200</v>
      </c>
      <c r="E204" s="168">
        <f>'PA-Détails'!E2148</f>
        <v>200</v>
      </c>
      <c r="F204" s="168">
        <f>'PA-Détails'!F2148</f>
        <v>200</v>
      </c>
      <c r="G204" s="168">
        <f>'PA-Détails'!G2148</f>
        <v>200</v>
      </c>
      <c r="H204" s="168">
        <f>'PA-Détails'!H2148</f>
        <v>200</v>
      </c>
      <c r="I204" s="168">
        <f>'PA-Détails'!I2148</f>
        <v>1000</v>
      </c>
      <c r="J204" s="447">
        <f>'PA-Détails'!J2148</f>
        <v>0</v>
      </c>
      <c r="K204" s="36">
        <f>'PA-Détails'!K2148</f>
        <v>0</v>
      </c>
      <c r="L204" s="36">
        <f>'PA-Détails'!L2148</f>
        <v>200000</v>
      </c>
      <c r="M204" s="36">
        <f>'PA-Détails'!M2148</f>
        <v>200000</v>
      </c>
      <c r="N204" s="36">
        <f>'PA-Détails'!N2148</f>
        <v>200000</v>
      </c>
      <c r="O204" s="36">
        <f>'PA-Détails'!O2148</f>
        <v>200000</v>
      </c>
      <c r="P204" s="36">
        <f>'PA-Détails'!P2148</f>
        <v>200000</v>
      </c>
      <c r="Q204" s="429">
        <f>'PA-Détails'!Q2148</f>
        <v>1000000</v>
      </c>
      <c r="R204" s="570"/>
      <c r="S204" s="594">
        <f>'PA-Détails'!S2148</f>
        <v>0</v>
      </c>
      <c r="T204" s="595">
        <f>'PA-Détails'!T2148</f>
        <v>0</v>
      </c>
      <c r="U204" s="586">
        <f>'PA-Détails'!T2148</f>
        <v>0</v>
      </c>
    </row>
    <row r="205" spans="1:21" x14ac:dyDescent="0.2">
      <c r="A205" s="369" t="str">
        <f>'PA-Détails'!A2150</f>
        <v>6.5.3 Équipement en bibliothèques</v>
      </c>
      <c r="B205" s="446"/>
      <c r="C205" s="386" t="str">
        <f>'PA-Détails'!C2150</f>
        <v>En 2020, tous les établissements possèdent une bibliothèque</v>
      </c>
      <c r="D205" s="168">
        <f>'PA-Détails'!D2150</f>
        <v>1276</v>
      </c>
      <c r="E205" s="168">
        <f>'PA-Détails'!E2150</f>
        <v>1200</v>
      </c>
      <c r="F205" s="168">
        <f>'PA-Détails'!F2150</f>
        <v>1200</v>
      </c>
      <c r="G205" s="168">
        <f>'PA-Détails'!G2150</f>
        <v>1200</v>
      </c>
      <c r="H205" s="168">
        <f>'PA-Détails'!H2150</f>
        <v>1200</v>
      </c>
      <c r="I205" s="168">
        <f>'PA-Détails'!I2150</f>
        <v>6076</v>
      </c>
      <c r="J205" s="447">
        <f>'PA-Détails'!J2150</f>
        <v>0</v>
      </c>
      <c r="K205" s="36">
        <f>'PA-Détails'!K2150</f>
        <v>0</v>
      </c>
      <c r="L205" s="36">
        <f>'PA-Détails'!L2150</f>
        <v>1276000</v>
      </c>
      <c r="M205" s="36">
        <f>'PA-Détails'!M2150</f>
        <v>1200000</v>
      </c>
      <c r="N205" s="36">
        <f>'PA-Détails'!N2150</f>
        <v>1200000</v>
      </c>
      <c r="O205" s="36">
        <f>'PA-Détails'!O2150</f>
        <v>1200000</v>
      </c>
      <c r="P205" s="36">
        <f>'PA-Détails'!P2150</f>
        <v>1200000</v>
      </c>
      <c r="Q205" s="429">
        <f>'PA-Détails'!Q2150</f>
        <v>6076000</v>
      </c>
      <c r="R205" s="570"/>
      <c r="S205" s="594">
        <f>'PA-Détails'!S2150</f>
        <v>0</v>
      </c>
      <c r="T205" s="595">
        <f>'PA-Détails'!T2150</f>
        <v>0</v>
      </c>
      <c r="U205" s="586">
        <f>'PA-Détails'!T2150</f>
        <v>0</v>
      </c>
    </row>
    <row r="206" spans="1:21" x14ac:dyDescent="0.2">
      <c r="A206" s="369" t="str">
        <f>'PA-Détails'!A2154</f>
        <v>6.5.4 Moyens informatiques</v>
      </c>
      <c r="B206" s="446"/>
      <c r="C206" s="386">
        <f>'PA-Détails'!C2154</f>
        <v>0</v>
      </c>
      <c r="D206" s="168">
        <f>'PA-Détails'!D2154</f>
        <v>500</v>
      </c>
      <c r="E206" s="168">
        <f>'PA-Détails'!E2154</f>
        <v>500</v>
      </c>
      <c r="F206" s="168">
        <f>'PA-Détails'!F2154</f>
        <v>500</v>
      </c>
      <c r="G206" s="168">
        <f>'PA-Détails'!G2154</f>
        <v>500</v>
      </c>
      <c r="H206" s="168">
        <f>'PA-Détails'!H2154</f>
        <v>500</v>
      </c>
      <c r="I206" s="168">
        <f>'PA-Détails'!I2154</f>
        <v>2500</v>
      </c>
      <c r="J206" s="447">
        <f>'PA-Détails'!J2154</f>
        <v>0</v>
      </c>
      <c r="K206" s="36">
        <f>'PA-Détails'!K2154</f>
        <v>0</v>
      </c>
      <c r="L206" s="36">
        <f>'PA-Détails'!L2154</f>
        <v>500000</v>
      </c>
      <c r="M206" s="36">
        <f>'PA-Détails'!M2154</f>
        <v>500000</v>
      </c>
      <c r="N206" s="36">
        <f>'PA-Détails'!N2154</f>
        <v>500000</v>
      </c>
      <c r="O206" s="36">
        <f>'PA-Détails'!O2154</f>
        <v>500000</v>
      </c>
      <c r="P206" s="36">
        <f>'PA-Détails'!P2154</f>
        <v>500000</v>
      </c>
      <c r="Q206" s="429">
        <f>'PA-Détails'!Q2154</f>
        <v>2500000</v>
      </c>
      <c r="R206" s="570"/>
      <c r="S206" s="591">
        <f>'PA-Détails'!S2154</f>
        <v>0</v>
      </c>
      <c r="T206" s="597">
        <f>'PA-Détails'!T2154</f>
        <v>0</v>
      </c>
      <c r="U206" s="586">
        <f>'PA-Détails'!T2154</f>
        <v>0</v>
      </c>
    </row>
    <row r="207" spans="1:21" x14ac:dyDescent="0.2">
      <c r="A207" s="368" t="str">
        <f>'PA-Détails'!A2156</f>
        <v>6.6 Formation et rémunération des enseignants : Former les enseignants et assurer leur rémunération</v>
      </c>
      <c r="B207" s="444"/>
      <c r="C207" s="385">
        <f>'PA-Détails'!C2156</f>
        <v>0</v>
      </c>
      <c r="D207" s="217">
        <f>'PA-Détails'!D2156</f>
        <v>50406.22</v>
      </c>
      <c r="E207" s="217">
        <f>'PA-Détails'!E2156</f>
        <v>43562.06</v>
      </c>
      <c r="F207" s="217">
        <f>'PA-Détails'!F2156</f>
        <v>58523.77</v>
      </c>
      <c r="G207" s="217">
        <f>'PA-Détails'!G2156</f>
        <v>53559.03</v>
      </c>
      <c r="H207" s="217">
        <f>'PA-Détails'!H2156</f>
        <v>73100.899999999994</v>
      </c>
      <c r="I207" s="217">
        <f>'PA-Détails'!I2156</f>
        <v>279151.98</v>
      </c>
      <c r="J207" s="449">
        <f>'PA-Détails'!J2156</f>
        <v>0</v>
      </c>
      <c r="K207" s="32">
        <f>'PA-Détails'!K2156</f>
        <v>0</v>
      </c>
      <c r="L207" s="32">
        <f>'PA-Détails'!L2156</f>
        <v>50406220</v>
      </c>
      <c r="M207" s="32">
        <f>'PA-Détails'!M2156</f>
        <v>43562060</v>
      </c>
      <c r="N207" s="32">
        <f>'PA-Détails'!N2156</f>
        <v>58523770</v>
      </c>
      <c r="O207" s="32">
        <f>'PA-Détails'!O2156</f>
        <v>53559030</v>
      </c>
      <c r="P207" s="32">
        <f>'PA-Détails'!P2156</f>
        <v>73100900</v>
      </c>
      <c r="Q207" s="428">
        <f>'PA-Détails'!Q2156</f>
        <v>279151980</v>
      </c>
      <c r="R207" s="570"/>
      <c r="S207" s="592">
        <f>'PA-Détails'!S2156</f>
        <v>0</v>
      </c>
      <c r="T207" s="593">
        <f>'PA-Détails'!T2156</f>
        <v>0</v>
      </c>
      <c r="U207" s="588"/>
    </row>
    <row r="208" spans="1:21" x14ac:dyDescent="0.2">
      <c r="A208" s="369" t="str">
        <f>'PA-Détails'!A2157</f>
        <v>6.6.1 Création d'un centre national d'ingénierie de la formation</v>
      </c>
      <c r="B208" s="446"/>
      <c r="C208" s="386" t="str">
        <f>'PA-Détails'!C2157</f>
        <v>Le centre est créé en 2018</v>
      </c>
      <c r="D208" s="168">
        <f>'PA-Détails'!D2157</f>
        <v>77.5</v>
      </c>
      <c r="E208" s="168">
        <f>'PA-Détails'!E2157</f>
        <v>1116</v>
      </c>
      <c r="F208" s="168">
        <f>'PA-Détails'!F2157</f>
        <v>1674</v>
      </c>
      <c r="G208" s="168">
        <f>'PA-Détails'!G2157</f>
        <v>0</v>
      </c>
      <c r="H208" s="168">
        <f>'PA-Détails'!H2157</f>
        <v>0</v>
      </c>
      <c r="I208" s="168">
        <f>'PA-Détails'!I2157</f>
        <v>2867.5</v>
      </c>
      <c r="J208" s="447">
        <f>'PA-Détails'!J2157</f>
        <v>0</v>
      </c>
      <c r="K208" s="36">
        <f>'PA-Détails'!K2157</f>
        <v>0</v>
      </c>
      <c r="L208" s="36">
        <f>'PA-Détails'!L2157</f>
        <v>77500</v>
      </c>
      <c r="M208" s="36">
        <f>'PA-Détails'!M2157</f>
        <v>1116000</v>
      </c>
      <c r="N208" s="36">
        <f>'PA-Détails'!N2157</f>
        <v>1674000</v>
      </c>
      <c r="O208" s="36">
        <f>'PA-Détails'!O2157</f>
        <v>0</v>
      </c>
      <c r="P208" s="36">
        <f>'PA-Détails'!P2157</f>
        <v>0</v>
      </c>
      <c r="Q208" s="429">
        <f>'PA-Détails'!Q2157</f>
        <v>2867500</v>
      </c>
      <c r="R208" s="570"/>
      <c r="S208" s="594">
        <f>'PA-Détails'!S2157</f>
        <v>0</v>
      </c>
      <c r="T208" s="595">
        <f>'PA-Détails'!T2157</f>
        <v>2</v>
      </c>
      <c r="U208" s="586">
        <f>'PA-Détails'!T2157</f>
        <v>2</v>
      </c>
    </row>
    <row r="209" spans="1:21" x14ac:dyDescent="0.2">
      <c r="A209" s="369" t="str">
        <f>'PA-Détails'!A2160</f>
        <v>6.6.2 Formation des enseignants</v>
      </c>
      <c r="B209" s="446"/>
      <c r="C209" s="386" t="str">
        <f>'PA-Détails'!C2160</f>
        <v>Tous les enseignants reçoivent deux semaines de formation tous les deux ans</v>
      </c>
      <c r="D209" s="168">
        <f>'PA-Détails'!D2160</f>
        <v>11134.45</v>
      </c>
      <c r="E209" s="168">
        <f>'PA-Détails'!E2160</f>
        <v>0</v>
      </c>
      <c r="F209" s="168">
        <f>'PA-Détails'!F2160</f>
        <v>11125.95</v>
      </c>
      <c r="G209" s="168">
        <f>'PA-Détails'!G2160</f>
        <v>0</v>
      </c>
      <c r="H209" s="168">
        <f>'PA-Détails'!H2160</f>
        <v>11125.95</v>
      </c>
      <c r="I209" s="168">
        <f>'PA-Détails'!I2160</f>
        <v>33386.35</v>
      </c>
      <c r="J209" s="447">
        <f>'PA-Détails'!J2160</f>
        <v>0</v>
      </c>
      <c r="K209" s="36">
        <f>'PA-Détails'!K2160</f>
        <v>0</v>
      </c>
      <c r="L209" s="36">
        <f>'PA-Détails'!L2160</f>
        <v>11134450</v>
      </c>
      <c r="M209" s="36">
        <f>'PA-Détails'!M2160</f>
        <v>0</v>
      </c>
      <c r="N209" s="36">
        <f>'PA-Détails'!N2160</f>
        <v>11125950</v>
      </c>
      <c r="O209" s="36">
        <f>'PA-Détails'!O2160</f>
        <v>0</v>
      </c>
      <c r="P209" s="36">
        <f>'PA-Détails'!P2160</f>
        <v>11125950</v>
      </c>
      <c r="Q209" s="429">
        <f>'PA-Détails'!Q2160</f>
        <v>33386350</v>
      </c>
      <c r="R209" s="570"/>
      <c r="S209" s="594">
        <f>'PA-Détails'!S2160</f>
        <v>0</v>
      </c>
      <c r="T209" s="595">
        <f>'PA-Détails'!T2160</f>
        <v>2</v>
      </c>
      <c r="U209" s="586">
        <f>'PA-Détails'!T2160</f>
        <v>2</v>
      </c>
    </row>
    <row r="210" spans="1:21" x14ac:dyDescent="0.2">
      <c r="A210" s="369" t="str">
        <f>'PA-Détails'!A2163</f>
        <v>6.6.3 Rémunération du personnel</v>
      </c>
      <c r="B210" s="446"/>
      <c r="C210" s="386">
        <f>'PA-Détails'!C2163</f>
        <v>0</v>
      </c>
      <c r="D210" s="168">
        <f>'PA-Détails'!D2163</f>
        <v>39194.269999999997</v>
      </c>
      <c r="E210" s="168">
        <f>'PA-Détails'!E2163</f>
        <v>42446.06</v>
      </c>
      <c r="F210" s="168">
        <f>'PA-Détails'!F2163</f>
        <v>45723.82</v>
      </c>
      <c r="G210" s="168">
        <f>'PA-Détails'!G2163</f>
        <v>53559.03</v>
      </c>
      <c r="H210" s="168">
        <f>'PA-Détails'!H2163</f>
        <v>61974.95</v>
      </c>
      <c r="I210" s="168">
        <f>'PA-Détails'!I2163</f>
        <v>242898.13</v>
      </c>
      <c r="J210" s="447">
        <f>'PA-Détails'!J2163</f>
        <v>0</v>
      </c>
      <c r="K210" s="36">
        <f>'PA-Détails'!K2163</f>
        <v>0</v>
      </c>
      <c r="L210" s="36">
        <f>'PA-Détails'!L2163</f>
        <v>39194270</v>
      </c>
      <c r="M210" s="36">
        <f>'PA-Détails'!M2163</f>
        <v>42446060</v>
      </c>
      <c r="N210" s="36">
        <f>'PA-Détails'!N2163</f>
        <v>45723820</v>
      </c>
      <c r="O210" s="36">
        <f>'PA-Détails'!O2163</f>
        <v>53559030</v>
      </c>
      <c r="P210" s="36">
        <f>'PA-Détails'!P2163</f>
        <v>61974950</v>
      </c>
      <c r="Q210" s="429">
        <f>'PA-Détails'!Q2163</f>
        <v>242898130</v>
      </c>
      <c r="R210" s="570"/>
      <c r="S210" s="594">
        <f>'PA-Détails'!S2163</f>
        <v>0</v>
      </c>
      <c r="T210" s="595">
        <f>'PA-Détails'!T2163</f>
        <v>1</v>
      </c>
      <c r="U210" s="586">
        <f>'PA-Détails'!T2163</f>
        <v>1</v>
      </c>
    </row>
    <row r="211" spans="1:21" x14ac:dyDescent="0.2">
      <c r="A211" s="368" t="str">
        <f>'PA-Détails'!A2165</f>
        <v>6.7 Supervision des structures et des enseignants : assurer l'encadrement pédagogique et administratif des écoles</v>
      </c>
      <c r="B211" s="444"/>
      <c r="C211" s="385">
        <f>'PA-Détails'!C2165</f>
        <v>0</v>
      </c>
      <c r="D211" s="217">
        <f>'PA-Détails'!D2165</f>
        <v>37.5</v>
      </c>
      <c r="E211" s="217">
        <f>'PA-Détails'!E2165</f>
        <v>0</v>
      </c>
      <c r="F211" s="217">
        <f>'PA-Détails'!F2165</f>
        <v>1250.8</v>
      </c>
      <c r="G211" s="217">
        <f>'PA-Détails'!G2165</f>
        <v>274.8</v>
      </c>
      <c r="H211" s="217">
        <f>'PA-Détails'!H2165</f>
        <v>274.8</v>
      </c>
      <c r="I211" s="217">
        <f>'PA-Détails'!I2165</f>
        <v>1837.9</v>
      </c>
      <c r="J211" s="449">
        <f>'PA-Détails'!J2165</f>
        <v>0</v>
      </c>
      <c r="K211" s="32">
        <f>'PA-Détails'!K2165</f>
        <v>0</v>
      </c>
      <c r="L211" s="32">
        <f>'PA-Détails'!L2165</f>
        <v>37500</v>
      </c>
      <c r="M211" s="32">
        <f>'PA-Détails'!M2165</f>
        <v>0</v>
      </c>
      <c r="N211" s="32">
        <f>'PA-Détails'!N2165</f>
        <v>1250800</v>
      </c>
      <c r="O211" s="32">
        <f>'PA-Détails'!O2165</f>
        <v>274800</v>
      </c>
      <c r="P211" s="32">
        <f>'PA-Détails'!P2165</f>
        <v>274800</v>
      </c>
      <c r="Q211" s="428">
        <f>'PA-Détails'!Q2165</f>
        <v>1837900</v>
      </c>
      <c r="R211" s="570"/>
      <c r="S211" s="590">
        <f>'PA-Détails'!S2165</f>
        <v>0</v>
      </c>
      <c r="T211" s="596">
        <f>'PA-Détails'!T2165</f>
        <v>3</v>
      </c>
      <c r="U211" s="583">
        <f>'PA-Détails'!T2165</f>
        <v>3</v>
      </c>
    </row>
    <row r="212" spans="1:21" x14ac:dyDescent="0.2">
      <c r="A212" s="369" t="str">
        <f>'PA-Détails'!A2166</f>
        <v>6.7.1 Moyens de déplacement des inspecteurs</v>
      </c>
      <c r="B212" s="446"/>
      <c r="C212" s="386">
        <f>'PA-Détails'!C2166</f>
        <v>0</v>
      </c>
      <c r="D212" s="168">
        <f>'PA-Détails'!D2166</f>
        <v>0</v>
      </c>
      <c r="E212" s="168">
        <f>'PA-Détails'!E2166</f>
        <v>0</v>
      </c>
      <c r="F212" s="168">
        <f>'PA-Détails'!F2166</f>
        <v>747</v>
      </c>
      <c r="G212" s="168">
        <f>'PA-Détails'!G2166</f>
        <v>0</v>
      </c>
      <c r="H212" s="168">
        <f>'PA-Détails'!H2166</f>
        <v>0</v>
      </c>
      <c r="I212" s="168">
        <f>'PA-Détails'!I2166</f>
        <v>747</v>
      </c>
      <c r="J212" s="447">
        <f>'PA-Détails'!J2166</f>
        <v>0</v>
      </c>
      <c r="K212" s="36">
        <f>'PA-Détails'!K2166</f>
        <v>0</v>
      </c>
      <c r="L212" s="36">
        <f>'PA-Détails'!L2166</f>
        <v>0</v>
      </c>
      <c r="M212" s="36">
        <f>'PA-Détails'!M2166</f>
        <v>0</v>
      </c>
      <c r="N212" s="36">
        <f>'PA-Détails'!N2166</f>
        <v>747000</v>
      </c>
      <c r="O212" s="36">
        <f>'PA-Détails'!O2166</f>
        <v>0</v>
      </c>
      <c r="P212" s="36">
        <f>'PA-Détails'!P2166</f>
        <v>0</v>
      </c>
      <c r="Q212" s="429">
        <f>'PA-Détails'!Q2166</f>
        <v>747000</v>
      </c>
      <c r="R212" s="570"/>
      <c r="S212" s="591">
        <f>'PA-Détails'!S2166</f>
        <v>0</v>
      </c>
      <c r="T212" s="597">
        <f>'PA-Détails'!T2166</f>
        <v>0</v>
      </c>
      <c r="U212" s="586">
        <f>'PA-Détails'!T2166</f>
        <v>0</v>
      </c>
    </row>
    <row r="213" spans="1:21" x14ac:dyDescent="0.2">
      <c r="A213" s="369" t="str">
        <f>'PA-Détails'!A2168</f>
        <v>6.7.2 Primes d'itinérance</v>
      </c>
      <c r="B213" s="446"/>
      <c r="C213" s="386">
        <f>'PA-Détails'!C2168</f>
        <v>0</v>
      </c>
      <c r="D213" s="168">
        <f>'PA-Détails'!D2168</f>
        <v>0</v>
      </c>
      <c r="E213" s="168">
        <f>'PA-Détails'!E2168</f>
        <v>0</v>
      </c>
      <c r="F213" s="168">
        <f>'PA-Détails'!F2168</f>
        <v>274.8</v>
      </c>
      <c r="G213" s="168">
        <f>'PA-Détails'!G2168</f>
        <v>274.8</v>
      </c>
      <c r="H213" s="168">
        <f>'PA-Détails'!H2168</f>
        <v>274.8</v>
      </c>
      <c r="I213" s="168">
        <f>'PA-Détails'!I2168</f>
        <v>824.4</v>
      </c>
      <c r="J213" s="447">
        <f>'PA-Détails'!J2168</f>
        <v>0</v>
      </c>
      <c r="K213" s="36">
        <f>'PA-Détails'!K2168</f>
        <v>0</v>
      </c>
      <c r="L213" s="36">
        <f>'PA-Détails'!L2168</f>
        <v>0</v>
      </c>
      <c r="M213" s="36">
        <f>'PA-Détails'!M2168</f>
        <v>0</v>
      </c>
      <c r="N213" s="36">
        <f>'PA-Détails'!N2168</f>
        <v>274800</v>
      </c>
      <c r="O213" s="36">
        <f>'PA-Détails'!O2168</f>
        <v>274800</v>
      </c>
      <c r="P213" s="36">
        <f>'PA-Détails'!P2168</f>
        <v>274800</v>
      </c>
      <c r="Q213" s="429">
        <f>'PA-Détails'!Q2168</f>
        <v>824400</v>
      </c>
      <c r="R213" s="570"/>
      <c r="S213" s="591">
        <f>'PA-Détails'!S2168</f>
        <v>0</v>
      </c>
      <c r="T213" s="597">
        <f>'PA-Détails'!T2168</f>
        <v>0</v>
      </c>
      <c r="U213" s="586">
        <f>'PA-Détails'!T2168</f>
        <v>0</v>
      </c>
    </row>
    <row r="214" spans="1:21" x14ac:dyDescent="0.2">
      <c r="A214" s="369" t="str">
        <f>'PA-Détails'!A2170</f>
        <v>6.7.3 Moyens informatiques</v>
      </c>
      <c r="B214" s="446"/>
      <c r="C214" s="386">
        <f>'PA-Détails'!C2170</f>
        <v>0</v>
      </c>
      <c r="D214" s="168">
        <f>'PA-Détails'!D2170</f>
        <v>0</v>
      </c>
      <c r="E214" s="168">
        <f>'PA-Détails'!E2170</f>
        <v>0</v>
      </c>
      <c r="F214" s="168">
        <f>'PA-Détails'!F2170</f>
        <v>229</v>
      </c>
      <c r="G214" s="168">
        <f>'PA-Détails'!G2170</f>
        <v>0</v>
      </c>
      <c r="H214" s="168">
        <f>'PA-Détails'!H2170</f>
        <v>0</v>
      </c>
      <c r="I214" s="168">
        <f>'PA-Détails'!I2170</f>
        <v>229</v>
      </c>
      <c r="J214" s="447">
        <f>'PA-Détails'!J2170</f>
        <v>0</v>
      </c>
      <c r="K214" s="36">
        <f>'PA-Détails'!K2170</f>
        <v>0</v>
      </c>
      <c r="L214" s="36">
        <f>'PA-Détails'!L2170</f>
        <v>0</v>
      </c>
      <c r="M214" s="36">
        <f>'PA-Détails'!M2170</f>
        <v>0</v>
      </c>
      <c r="N214" s="36">
        <f>'PA-Détails'!N2170</f>
        <v>229000</v>
      </c>
      <c r="O214" s="36">
        <f>'PA-Détails'!O2170</f>
        <v>0</v>
      </c>
      <c r="P214" s="36">
        <f>'PA-Détails'!P2170</f>
        <v>0</v>
      </c>
      <c r="Q214" s="429">
        <f>'PA-Détails'!Q2170</f>
        <v>229000</v>
      </c>
      <c r="R214" s="570"/>
      <c r="S214" s="591">
        <f>'PA-Détails'!S2170</f>
        <v>0</v>
      </c>
      <c r="T214" s="597">
        <f>'PA-Détails'!T2170</f>
        <v>0</v>
      </c>
      <c r="U214" s="586">
        <f>'PA-Détails'!T2170</f>
        <v>0</v>
      </c>
    </row>
    <row r="215" spans="1:21" x14ac:dyDescent="0.2">
      <c r="A215" s="369" t="str">
        <f>'PA-Détails'!A2172</f>
        <v>6.7.4 Mise en place d'un observatoire national ETFP tripartite (Gouvernement, employeurs et syndicats) pour l'employabilité des sortants</v>
      </c>
      <c r="B215" s="459"/>
      <c r="C215" s="386">
        <f>'PA-Détails'!C2172</f>
        <v>0</v>
      </c>
      <c r="D215" s="168">
        <f>'PA-Détails'!D2172</f>
        <v>37.5</v>
      </c>
      <c r="E215" s="168">
        <f>'PA-Détails'!E2172</f>
        <v>0</v>
      </c>
      <c r="F215" s="168">
        <f>'PA-Détails'!F2172</f>
        <v>0</v>
      </c>
      <c r="G215" s="168">
        <f>'PA-Détails'!G2172</f>
        <v>0</v>
      </c>
      <c r="H215" s="168">
        <f>'PA-Détails'!H2172</f>
        <v>0</v>
      </c>
      <c r="I215" s="168">
        <f>'PA-Détails'!I2172</f>
        <v>37.5</v>
      </c>
      <c r="J215" s="447">
        <f>'PA-Détails'!J2172</f>
        <v>0</v>
      </c>
      <c r="K215" s="36">
        <f>'PA-Détails'!K2172</f>
        <v>0</v>
      </c>
      <c r="L215" s="36">
        <f>'PA-Détails'!L2172</f>
        <v>37500</v>
      </c>
      <c r="M215" s="36">
        <f>'PA-Détails'!M2172</f>
        <v>0</v>
      </c>
      <c r="N215" s="36">
        <f>'PA-Détails'!N2172</f>
        <v>0</v>
      </c>
      <c r="O215" s="36">
        <f>'PA-Détails'!O2172</f>
        <v>0</v>
      </c>
      <c r="P215" s="36">
        <f>'PA-Détails'!P2172</f>
        <v>0</v>
      </c>
      <c r="Q215" s="429">
        <f>'PA-Détails'!Q2172</f>
        <v>37500</v>
      </c>
      <c r="R215" s="570"/>
      <c r="S215" s="591">
        <f>'PA-Détails'!S2172</f>
        <v>0</v>
      </c>
      <c r="T215" s="597">
        <f>'PA-Détails'!T2172</f>
        <v>0</v>
      </c>
      <c r="U215" s="586">
        <f>'PA-Détails'!T2172</f>
        <v>0</v>
      </c>
    </row>
    <row r="216" spans="1:21" x14ac:dyDescent="0.2">
      <c r="A216" s="441" t="str">
        <f>'PA-Détails'!A2175</f>
        <v>7. Enseignement supérieur : Former les cadres qualifiés et ouverts aux technologies qui porteront le développement économique</v>
      </c>
      <c r="B216" s="442"/>
      <c r="C216" s="391">
        <f>'PA-Détails'!C2175</f>
        <v>0</v>
      </c>
      <c r="D216" s="339">
        <f>'PA-Détails'!D2175</f>
        <v>220454.04368609143</v>
      </c>
      <c r="E216" s="339">
        <f>'PA-Détails'!E2175</f>
        <v>301545.36468999629</v>
      </c>
      <c r="F216" s="339">
        <f>'PA-Détails'!F2175</f>
        <v>326003.56076659355</v>
      </c>
      <c r="G216" s="339">
        <f>'PA-Détails'!G2175</f>
        <v>335117.79454020696</v>
      </c>
      <c r="H216" s="339">
        <f>'PA-Détails'!H2175</f>
        <v>353767.24899435451</v>
      </c>
      <c r="I216" s="339">
        <f>'PA-Détails'!I2175</f>
        <v>1536888.0126772427</v>
      </c>
      <c r="J216" s="451">
        <f>'PA-Détails'!J2175</f>
        <v>0</v>
      </c>
      <c r="K216" s="29">
        <f>'PA-Détails'!K2175</f>
        <v>0</v>
      </c>
      <c r="L216" s="29">
        <f>'PA-Détails'!L2175</f>
        <v>220454043.68609142</v>
      </c>
      <c r="M216" s="29">
        <f>'PA-Détails'!M2175</f>
        <v>301545364.6899963</v>
      </c>
      <c r="N216" s="29">
        <f>'PA-Détails'!N2175</f>
        <v>326003560.76659358</v>
      </c>
      <c r="O216" s="29">
        <f>'PA-Détails'!O2175</f>
        <v>335117794.54020697</v>
      </c>
      <c r="P216" s="29">
        <f>'PA-Détails'!P2175</f>
        <v>353767248.99435449</v>
      </c>
      <c r="Q216" s="430">
        <f>'PA-Détails'!Q2175</f>
        <v>1536888012.6772428</v>
      </c>
      <c r="R216" s="570"/>
      <c r="S216" s="579">
        <f>'PA-Détails'!S2175</f>
        <v>0</v>
      </c>
      <c r="T216" s="589">
        <f>'PA-Détails'!T2175</f>
        <v>0</v>
      </c>
      <c r="U216" s="580">
        <f>'PA-Détails'!T2175</f>
        <v>0</v>
      </c>
    </row>
    <row r="217" spans="1:21" x14ac:dyDescent="0.2">
      <c r="A217" s="368" t="str">
        <f>'PA-Détails'!A2176</f>
        <v>7.1. Accès des Filles à l’ESU : Promotion d’accès des Filles à l’ESU</v>
      </c>
      <c r="B217" s="444"/>
      <c r="C217" s="385">
        <f>'PA-Détails'!C2176</f>
        <v>0</v>
      </c>
      <c r="D217" s="217">
        <f>'PA-Détails'!D2176</f>
        <v>600</v>
      </c>
      <c r="E217" s="217">
        <f>'PA-Détails'!E2176</f>
        <v>600</v>
      </c>
      <c r="F217" s="217">
        <f>'PA-Détails'!F2176</f>
        <v>600</v>
      </c>
      <c r="G217" s="217">
        <f>'PA-Détails'!G2176</f>
        <v>600</v>
      </c>
      <c r="H217" s="217">
        <f>'PA-Détails'!H2176</f>
        <v>600</v>
      </c>
      <c r="I217" s="217">
        <f>'PA-Détails'!I2176</f>
        <v>3000</v>
      </c>
      <c r="J217" s="449">
        <f>'PA-Détails'!J2176</f>
        <v>0</v>
      </c>
      <c r="K217" s="32">
        <f>'PA-Détails'!K2176</f>
        <v>0</v>
      </c>
      <c r="L217" s="32">
        <f>'PA-Détails'!L2176</f>
        <v>600000</v>
      </c>
      <c r="M217" s="32">
        <f>'PA-Détails'!M2176</f>
        <v>600000</v>
      </c>
      <c r="N217" s="32">
        <f>'PA-Détails'!N2176</f>
        <v>600000</v>
      </c>
      <c r="O217" s="32">
        <f>'PA-Détails'!O2176</f>
        <v>600000</v>
      </c>
      <c r="P217" s="32">
        <f>'PA-Détails'!P2176</f>
        <v>600000</v>
      </c>
      <c r="Q217" s="428">
        <f>'PA-Détails'!Q2176</f>
        <v>3000000</v>
      </c>
      <c r="R217" s="570"/>
      <c r="S217" s="590">
        <f>'PA-Détails'!S2176</f>
        <v>0</v>
      </c>
      <c r="T217" s="582">
        <f>'PA-Détails'!T2176</f>
        <v>1</v>
      </c>
      <c r="U217" s="583">
        <f>'PA-Détails'!T2176</f>
        <v>1</v>
      </c>
    </row>
    <row r="218" spans="1:21" x14ac:dyDescent="0.2">
      <c r="A218" s="369" t="str">
        <f>'PA-Détails'!A2177</f>
        <v>7.1.1 Octroi d’une bourse d’études aux filles scolarisées dans les filières d’ingénierie</v>
      </c>
      <c r="B218" s="446"/>
      <c r="C218" s="386" t="str">
        <f>'PA-Détails'!C2177</f>
        <v>1000 bourses attribuées chaque année à partir de 2016</v>
      </c>
      <c r="D218" s="168">
        <f>'PA-Détails'!D2177</f>
        <v>600</v>
      </c>
      <c r="E218" s="168">
        <f>'PA-Détails'!E2177</f>
        <v>600</v>
      </c>
      <c r="F218" s="168">
        <f>'PA-Détails'!F2177</f>
        <v>600</v>
      </c>
      <c r="G218" s="168">
        <f>'PA-Détails'!G2177</f>
        <v>600</v>
      </c>
      <c r="H218" s="168">
        <f>'PA-Détails'!H2177</f>
        <v>600</v>
      </c>
      <c r="I218" s="168">
        <f>'PA-Détails'!I2177</f>
        <v>3000</v>
      </c>
      <c r="J218" s="447">
        <f>'PA-Détails'!J2177</f>
        <v>0</v>
      </c>
      <c r="K218" s="36">
        <f>'PA-Détails'!K2177</f>
        <v>0</v>
      </c>
      <c r="L218" s="36">
        <f>'PA-Détails'!L2177</f>
        <v>600000</v>
      </c>
      <c r="M218" s="36">
        <f>'PA-Détails'!M2177</f>
        <v>600000</v>
      </c>
      <c r="N218" s="36">
        <f>'PA-Détails'!N2177</f>
        <v>600000</v>
      </c>
      <c r="O218" s="36">
        <f>'PA-Détails'!O2177</f>
        <v>600000</v>
      </c>
      <c r="P218" s="36">
        <f>'PA-Détails'!P2177</f>
        <v>600000</v>
      </c>
      <c r="Q218" s="429">
        <f>'PA-Détails'!Q2177</f>
        <v>3000000</v>
      </c>
      <c r="R218" s="570"/>
      <c r="S218" s="591">
        <f>'PA-Détails'!S2177</f>
        <v>0</v>
      </c>
      <c r="T218" s="585">
        <f>'PA-Détails'!T2177</f>
        <v>0</v>
      </c>
      <c r="U218" s="586">
        <f>'PA-Détails'!T2177</f>
        <v>0</v>
      </c>
    </row>
    <row r="219" spans="1:21" x14ac:dyDescent="0.2">
      <c r="A219" s="368" t="str">
        <f>'PA-Détails'!A2179</f>
        <v>7.2. Dimension sociale de l’ESU : Renforcement de la dimension sociale de l’ESU</v>
      </c>
      <c r="B219" s="444"/>
      <c r="C219" s="385">
        <f>'PA-Détails'!C2179</f>
        <v>0</v>
      </c>
      <c r="D219" s="217">
        <f>'PA-Détails'!D2179</f>
        <v>0</v>
      </c>
      <c r="E219" s="217">
        <f>'PA-Détails'!E2179</f>
        <v>0</v>
      </c>
      <c r="F219" s="217">
        <f>'PA-Détails'!F2179</f>
        <v>13</v>
      </c>
      <c r="G219" s="217">
        <f>'PA-Détails'!G2179</f>
        <v>2400</v>
      </c>
      <c r="H219" s="217">
        <f>'PA-Détails'!H2179</f>
        <v>3600</v>
      </c>
      <c r="I219" s="217">
        <f>'PA-Détails'!I2179</f>
        <v>6013</v>
      </c>
      <c r="J219" s="449">
        <f>'PA-Détails'!J2179</f>
        <v>0</v>
      </c>
      <c r="K219" s="32">
        <f>'PA-Détails'!K2179</f>
        <v>0</v>
      </c>
      <c r="L219" s="32">
        <f>'PA-Détails'!L2179</f>
        <v>0</v>
      </c>
      <c r="M219" s="32">
        <f>'PA-Détails'!M2179</f>
        <v>0</v>
      </c>
      <c r="N219" s="32">
        <f>'PA-Détails'!N2179</f>
        <v>13000</v>
      </c>
      <c r="O219" s="32">
        <f>'PA-Détails'!O2179</f>
        <v>2400000</v>
      </c>
      <c r="P219" s="32">
        <f>'PA-Détails'!P2179</f>
        <v>3600000</v>
      </c>
      <c r="Q219" s="428">
        <f>'PA-Détails'!Q2179</f>
        <v>6013000</v>
      </c>
      <c r="R219" s="570"/>
      <c r="S219" s="581">
        <f>'PA-Détails'!S2179</f>
        <v>0</v>
      </c>
      <c r="T219" s="582">
        <f>'PA-Détails'!T2179</f>
        <v>1</v>
      </c>
      <c r="U219" s="583">
        <f>'PA-Détails'!T2179</f>
        <v>1</v>
      </c>
    </row>
    <row r="220" spans="1:21" x14ac:dyDescent="0.2">
      <c r="A220" s="369" t="str">
        <f>'PA-Détails'!A2180</f>
        <v>7.2.1 Opérationnalisation de la dimension sociale de l’ESU</v>
      </c>
      <c r="B220" s="446"/>
      <c r="C220" s="387" t="str">
        <f>'PA-Détails'!C2180</f>
        <v>Chaque année, un nouveau  EES est ouvert dans des zones défavorisées</v>
      </c>
      <c r="D220" s="168">
        <f>'PA-Détails'!D2180</f>
        <v>0</v>
      </c>
      <c r="E220" s="168">
        <f>'PA-Détails'!E2180</f>
        <v>0</v>
      </c>
      <c r="F220" s="168">
        <f>'PA-Détails'!F2180</f>
        <v>13</v>
      </c>
      <c r="G220" s="168">
        <f>'PA-Détails'!G2180</f>
        <v>2400</v>
      </c>
      <c r="H220" s="168">
        <f>'PA-Détails'!H2180</f>
        <v>3600</v>
      </c>
      <c r="I220" s="168">
        <f>'PA-Détails'!I2180</f>
        <v>6013</v>
      </c>
      <c r="J220" s="447">
        <f>'PA-Détails'!J2180</f>
        <v>0</v>
      </c>
      <c r="K220" s="36">
        <f>'PA-Détails'!K2180</f>
        <v>0</v>
      </c>
      <c r="L220" s="36">
        <f>'PA-Détails'!L2180</f>
        <v>0</v>
      </c>
      <c r="M220" s="36">
        <f>'PA-Détails'!M2180</f>
        <v>0</v>
      </c>
      <c r="N220" s="36">
        <f>'PA-Détails'!N2180</f>
        <v>13000</v>
      </c>
      <c r="O220" s="36">
        <f>'PA-Détails'!O2180</f>
        <v>2400000</v>
      </c>
      <c r="P220" s="36">
        <f>'PA-Détails'!P2180</f>
        <v>3600000</v>
      </c>
      <c r="Q220" s="429">
        <f>'PA-Détails'!Q2180</f>
        <v>6013000</v>
      </c>
      <c r="R220" s="570"/>
      <c r="S220" s="584">
        <f>'PA-Détails'!S2180</f>
        <v>0</v>
      </c>
      <c r="T220" s="585">
        <f>'PA-Détails'!T2180</f>
        <v>0</v>
      </c>
      <c r="U220" s="586">
        <f>'PA-Détails'!T2180</f>
        <v>0</v>
      </c>
    </row>
    <row r="221" spans="1:21" x14ac:dyDescent="0.2">
      <c r="A221" s="368" t="str">
        <f>'PA-Détails'!A2183</f>
        <v>7.3 Moyens des EES : Apporter des ressources complétées par les droits payés par les familles</v>
      </c>
      <c r="B221" s="444"/>
      <c r="C221" s="385">
        <f>'PA-Détails'!C2183</f>
        <v>0</v>
      </c>
      <c r="D221" s="217">
        <f>'PA-Détails'!D2183</f>
        <v>204434.29368609143</v>
      </c>
      <c r="E221" s="217">
        <f>'PA-Détails'!E2183</f>
        <v>225758.2146899963</v>
      </c>
      <c r="F221" s="217">
        <f>'PA-Détails'!F2183</f>
        <v>249534.51076659356</v>
      </c>
      <c r="G221" s="217">
        <f>'PA-Détails'!G2183</f>
        <v>267570.29454020696</v>
      </c>
      <c r="H221" s="217">
        <f>'PA-Détails'!H2183</f>
        <v>289825.24899435451</v>
      </c>
      <c r="I221" s="217">
        <f>'PA-Détails'!I2183</f>
        <v>1237122.5626772428</v>
      </c>
      <c r="J221" s="449">
        <f>'PA-Détails'!J2183</f>
        <v>0</v>
      </c>
      <c r="K221" s="32">
        <f>'PA-Détails'!K2183</f>
        <v>0</v>
      </c>
      <c r="L221" s="32">
        <f>'PA-Détails'!L2183</f>
        <v>204434293.68609142</v>
      </c>
      <c r="M221" s="32">
        <f>'PA-Détails'!M2183</f>
        <v>225758214.6899963</v>
      </c>
      <c r="N221" s="32">
        <f>'PA-Détails'!N2183</f>
        <v>249534510.76659358</v>
      </c>
      <c r="O221" s="32">
        <f>'PA-Détails'!O2183</f>
        <v>267570294.54020697</v>
      </c>
      <c r="P221" s="32">
        <f>'PA-Détails'!P2183</f>
        <v>289825248.99435449</v>
      </c>
      <c r="Q221" s="428">
        <f>'PA-Détails'!Q2183</f>
        <v>1237122562.6772428</v>
      </c>
      <c r="R221" s="570"/>
      <c r="S221" s="581">
        <f>'PA-Détails'!S2183</f>
        <v>0</v>
      </c>
      <c r="T221" s="582">
        <f>'PA-Détails'!T2183</f>
        <v>1</v>
      </c>
      <c r="U221" s="583">
        <f>'PA-Détails'!T2183</f>
        <v>1</v>
      </c>
    </row>
    <row r="222" spans="1:21" x14ac:dyDescent="0.2">
      <c r="A222" s="369" t="str">
        <f>'PA-Détails'!A2184</f>
        <v>7.3.1 Prise en charge des personnels</v>
      </c>
      <c r="B222" s="446"/>
      <c r="C222" s="387" t="str">
        <f>'PA-Détails'!C2184</f>
        <v>5000 postes supplémentaires entre 2015 et 2025</v>
      </c>
      <c r="D222" s="168">
        <f>'PA-Détails'!D2184</f>
        <v>197234.29368609143</v>
      </c>
      <c r="E222" s="168">
        <f>'PA-Détails'!E2184</f>
        <v>218808.2146899963</v>
      </c>
      <c r="F222" s="168">
        <f>'PA-Détails'!F2184</f>
        <v>241584.51076659356</v>
      </c>
      <c r="G222" s="168">
        <f>'PA-Détails'!G2184</f>
        <v>264370.29454020696</v>
      </c>
      <c r="H222" s="168">
        <f>'PA-Détails'!H2184</f>
        <v>286625.24899435451</v>
      </c>
      <c r="I222" s="168">
        <f>'PA-Détails'!I2184</f>
        <v>1208622.5626772428</v>
      </c>
      <c r="J222" s="447">
        <f>'PA-Détails'!J2184</f>
        <v>0</v>
      </c>
      <c r="K222" s="36">
        <f>'PA-Détails'!K2184</f>
        <v>0</v>
      </c>
      <c r="L222" s="36">
        <f>'PA-Détails'!L2184</f>
        <v>197234293.68609142</v>
      </c>
      <c r="M222" s="36">
        <f>'PA-Détails'!M2184</f>
        <v>218808214.6899963</v>
      </c>
      <c r="N222" s="36">
        <f>'PA-Détails'!N2184</f>
        <v>241584510.76659358</v>
      </c>
      <c r="O222" s="36">
        <f>'PA-Détails'!O2184</f>
        <v>264370294.54020697</v>
      </c>
      <c r="P222" s="36">
        <f>'PA-Détails'!P2184</f>
        <v>286625248.99435449</v>
      </c>
      <c r="Q222" s="429">
        <f>'PA-Détails'!Q2184</f>
        <v>1208622562.6772428</v>
      </c>
      <c r="R222" s="570"/>
      <c r="S222" s="584">
        <f>'PA-Détails'!S2184</f>
        <v>0</v>
      </c>
      <c r="T222" s="585">
        <f>'PA-Détails'!T2184</f>
        <v>0</v>
      </c>
      <c r="U222" s="586">
        <f>'PA-Détails'!T2184</f>
        <v>0</v>
      </c>
    </row>
    <row r="223" spans="1:21" x14ac:dyDescent="0.2">
      <c r="A223" s="369" t="str">
        <f>'PA-Détails'!A2186</f>
        <v>7.3.2 Infrastructures</v>
      </c>
      <c r="B223" s="446"/>
      <c r="C223" s="387" t="str">
        <f>'PA-Détails'!C2186</f>
        <v>470 salles et amphithéâtres construits et équipés entre 2015 et 2025</v>
      </c>
      <c r="D223" s="168">
        <f>'PA-Détails'!D2186</f>
        <v>7200</v>
      </c>
      <c r="E223" s="168">
        <f>'PA-Détails'!E2186</f>
        <v>6950</v>
      </c>
      <c r="F223" s="168">
        <f>'PA-Détails'!F2186</f>
        <v>7950</v>
      </c>
      <c r="G223" s="168">
        <f>'PA-Détails'!G2186</f>
        <v>3200</v>
      </c>
      <c r="H223" s="168">
        <f>'PA-Détails'!H2186</f>
        <v>3200</v>
      </c>
      <c r="I223" s="168">
        <f>'PA-Détails'!I2186</f>
        <v>28500</v>
      </c>
      <c r="J223" s="447">
        <f>'PA-Détails'!J2186</f>
        <v>0</v>
      </c>
      <c r="K223" s="36">
        <f>'PA-Détails'!K2186</f>
        <v>0</v>
      </c>
      <c r="L223" s="36">
        <f>'PA-Détails'!L2186</f>
        <v>7200000</v>
      </c>
      <c r="M223" s="36">
        <f>'PA-Détails'!M2186</f>
        <v>6950000</v>
      </c>
      <c r="N223" s="36">
        <f>'PA-Détails'!N2186</f>
        <v>7950000</v>
      </c>
      <c r="O223" s="36">
        <f>'PA-Détails'!O2186</f>
        <v>3200000</v>
      </c>
      <c r="P223" s="36">
        <f>'PA-Détails'!P2186</f>
        <v>3200000</v>
      </c>
      <c r="Q223" s="429">
        <f>'PA-Détails'!Q2186</f>
        <v>28500000</v>
      </c>
      <c r="R223" s="570"/>
      <c r="S223" s="584">
        <f>'PA-Détails'!S2186</f>
        <v>0</v>
      </c>
      <c r="T223" s="585">
        <f>'PA-Détails'!T2186</f>
        <v>0</v>
      </c>
      <c r="U223" s="586">
        <f>'PA-Détails'!T2186</f>
        <v>0</v>
      </c>
    </row>
    <row r="224" spans="1:21" x14ac:dyDescent="0.2">
      <c r="A224" s="368" t="str">
        <f>'PA-Détails'!A2190</f>
        <v>7.4 Promotion de l’Assurance-Qualité : Établir les standards de qualité et assurer la conformité des programme et des institutions à ces normes</v>
      </c>
      <c r="B224" s="444"/>
      <c r="C224" s="385">
        <f>'PA-Détails'!C2190</f>
        <v>0</v>
      </c>
      <c r="D224" s="217">
        <f>'PA-Détails'!D2190</f>
        <v>2513</v>
      </c>
      <c r="E224" s="217">
        <f>'PA-Détails'!E2190</f>
        <v>2340</v>
      </c>
      <c r="F224" s="217">
        <f>'PA-Détails'!F2190</f>
        <v>1800</v>
      </c>
      <c r="G224" s="217">
        <f>'PA-Détails'!G2190</f>
        <v>1800</v>
      </c>
      <c r="H224" s="217">
        <f>'PA-Détails'!H2190</f>
        <v>1800</v>
      </c>
      <c r="I224" s="217">
        <f>'PA-Détails'!I2190</f>
        <v>10253</v>
      </c>
      <c r="J224" s="449">
        <f>'PA-Détails'!J2190</f>
        <v>0</v>
      </c>
      <c r="K224" s="32">
        <f>'PA-Détails'!K2190</f>
        <v>0</v>
      </c>
      <c r="L224" s="32">
        <f>'PA-Détails'!L2190</f>
        <v>2513000</v>
      </c>
      <c r="M224" s="32">
        <f>'PA-Détails'!M2190</f>
        <v>2340000</v>
      </c>
      <c r="N224" s="32">
        <f>'PA-Détails'!N2190</f>
        <v>1800000</v>
      </c>
      <c r="O224" s="32">
        <f>'PA-Détails'!O2190</f>
        <v>1800000</v>
      </c>
      <c r="P224" s="32">
        <f>'PA-Détails'!P2190</f>
        <v>1800000</v>
      </c>
      <c r="Q224" s="428">
        <f>'PA-Détails'!Q2190</f>
        <v>10253000</v>
      </c>
      <c r="R224" s="570"/>
      <c r="S224" s="592">
        <f>'PA-Détails'!S2190</f>
        <v>0</v>
      </c>
      <c r="T224" s="593">
        <f>'PA-Détails'!T2190</f>
        <v>2</v>
      </c>
      <c r="U224" s="588">
        <f>'PA-Détails'!T2190</f>
        <v>2</v>
      </c>
    </row>
    <row r="225" spans="1:21" x14ac:dyDescent="0.2">
      <c r="A225" s="369" t="str">
        <f>'PA-Détails'!A2191</f>
        <v>7.4.1 Mise en place des Cellules de l’Assurance-Qualité/Autoévaluation</v>
      </c>
      <c r="B225" s="446"/>
      <c r="C225" s="386" t="str">
        <f>'PA-Détails'!C2191</f>
        <v>En 2025, tous les EES disposent d'une cellule assurance qualité opérationnelle</v>
      </c>
      <c r="D225" s="168">
        <f>'PA-Détails'!D2191</f>
        <v>2442.5</v>
      </c>
      <c r="E225" s="168">
        <f>'PA-Détails'!E2191</f>
        <v>440</v>
      </c>
      <c r="F225" s="168">
        <f>'PA-Détails'!F2191</f>
        <v>0</v>
      </c>
      <c r="G225" s="168">
        <f>'PA-Détails'!G2191</f>
        <v>0</v>
      </c>
      <c r="H225" s="168">
        <f>'PA-Détails'!H2191</f>
        <v>0</v>
      </c>
      <c r="I225" s="168">
        <f>'PA-Détails'!I2191</f>
        <v>2882.5</v>
      </c>
      <c r="J225" s="447">
        <f>'PA-Détails'!J2191</f>
        <v>0</v>
      </c>
      <c r="K225" s="36">
        <f>'PA-Détails'!K2191</f>
        <v>0</v>
      </c>
      <c r="L225" s="36">
        <f>'PA-Détails'!L2191</f>
        <v>2442500</v>
      </c>
      <c r="M225" s="36">
        <f>'PA-Détails'!M2191</f>
        <v>440000</v>
      </c>
      <c r="N225" s="36">
        <f>'PA-Détails'!N2191</f>
        <v>0</v>
      </c>
      <c r="O225" s="36">
        <f>'PA-Détails'!O2191</f>
        <v>0</v>
      </c>
      <c r="P225" s="36">
        <f>'PA-Détails'!P2191</f>
        <v>0</v>
      </c>
      <c r="Q225" s="429">
        <f>'PA-Détails'!Q2191</f>
        <v>2882500</v>
      </c>
      <c r="R225" s="570"/>
      <c r="S225" s="594">
        <f>'PA-Détails'!S2191</f>
        <v>0</v>
      </c>
      <c r="T225" s="595">
        <f>'PA-Détails'!T2191</f>
        <v>0</v>
      </c>
      <c r="U225" s="586">
        <f>'PA-Détails'!T2191</f>
        <v>0</v>
      </c>
    </row>
    <row r="226" spans="1:21" x14ac:dyDescent="0.2">
      <c r="A226" s="369" t="str">
        <f>'PA-Détails'!A2195</f>
        <v>7.4.2 Établir une Agence nationale indépendante d’Assurance-Qualité</v>
      </c>
      <c r="B226" s="446"/>
      <c r="C226" s="386" t="str">
        <f>'PA-Détails'!C2195</f>
        <v>L'agence est établie en 2018</v>
      </c>
      <c r="D226" s="168">
        <f>'PA-Détails'!D2195</f>
        <v>70.5</v>
      </c>
      <c r="E226" s="168">
        <f>'PA-Détails'!E2195</f>
        <v>1900</v>
      </c>
      <c r="F226" s="168">
        <f>'PA-Détails'!F2195</f>
        <v>1800</v>
      </c>
      <c r="G226" s="168">
        <f>'PA-Détails'!G2195</f>
        <v>1800</v>
      </c>
      <c r="H226" s="168">
        <f>'PA-Détails'!H2195</f>
        <v>1800</v>
      </c>
      <c r="I226" s="168">
        <f>'PA-Détails'!I2195</f>
        <v>7370.5</v>
      </c>
      <c r="J226" s="447">
        <f>'PA-Détails'!J2195</f>
        <v>0</v>
      </c>
      <c r="K226" s="36">
        <f>'PA-Détails'!K2195</f>
        <v>0</v>
      </c>
      <c r="L226" s="36">
        <f>'PA-Détails'!L2195</f>
        <v>70500</v>
      </c>
      <c r="M226" s="36">
        <f>'PA-Détails'!M2195</f>
        <v>1900000</v>
      </c>
      <c r="N226" s="36">
        <f>'PA-Détails'!N2195</f>
        <v>1800000</v>
      </c>
      <c r="O226" s="36">
        <f>'PA-Détails'!O2195</f>
        <v>1800000</v>
      </c>
      <c r="P226" s="36">
        <f>'PA-Détails'!P2195</f>
        <v>1800000</v>
      </c>
      <c r="Q226" s="429">
        <f>'PA-Détails'!Q2195</f>
        <v>7370500</v>
      </c>
      <c r="R226" s="570"/>
      <c r="S226" s="594">
        <f>'PA-Détails'!S2195</f>
        <v>0</v>
      </c>
      <c r="T226" s="595">
        <f>'PA-Détails'!T2195</f>
        <v>0</v>
      </c>
      <c r="U226" s="586">
        <f>'PA-Détails'!T2195</f>
        <v>0</v>
      </c>
    </row>
    <row r="227" spans="1:21" x14ac:dyDescent="0.2">
      <c r="A227" s="368" t="str">
        <f>'PA-Détails'!A2198</f>
        <v>7.5 Développement des filières techniques, technologiques et professionnelles dans les pôles et secteurs de croissance : Adapter le système de formation aux besoin de l'économie</v>
      </c>
      <c r="B227" s="444"/>
      <c r="C227" s="385">
        <f>'PA-Détails'!C2198</f>
        <v>0</v>
      </c>
      <c r="D227" s="217">
        <f>'PA-Détails'!D2198</f>
        <v>179</v>
      </c>
      <c r="E227" s="217">
        <f>'PA-Détails'!E2198</f>
        <v>6412</v>
      </c>
      <c r="F227" s="217">
        <f>'PA-Détails'!F2198</f>
        <v>8398</v>
      </c>
      <c r="G227" s="217">
        <f>'PA-Détails'!G2198</f>
        <v>3150</v>
      </c>
      <c r="H227" s="217">
        <f>'PA-Détails'!H2198</f>
        <v>0</v>
      </c>
      <c r="I227" s="217">
        <f>'PA-Détails'!I2198</f>
        <v>18139</v>
      </c>
      <c r="J227" s="449">
        <f>'PA-Détails'!J2198</f>
        <v>0</v>
      </c>
      <c r="K227" s="32">
        <f>'PA-Détails'!K2198</f>
        <v>0</v>
      </c>
      <c r="L227" s="32">
        <f>'PA-Détails'!L2198</f>
        <v>179000</v>
      </c>
      <c r="M227" s="32">
        <f>'PA-Détails'!M2198</f>
        <v>6412000</v>
      </c>
      <c r="N227" s="32">
        <f>'PA-Détails'!N2198</f>
        <v>8398000</v>
      </c>
      <c r="O227" s="32">
        <f>'PA-Détails'!O2198</f>
        <v>3150000</v>
      </c>
      <c r="P227" s="32">
        <f>'PA-Détails'!P2198</f>
        <v>0</v>
      </c>
      <c r="Q227" s="428">
        <f>'PA-Détails'!Q2198</f>
        <v>18139000</v>
      </c>
      <c r="R227" s="570"/>
      <c r="S227" s="592">
        <f>'PA-Détails'!S2198</f>
        <v>0</v>
      </c>
      <c r="T227" s="593">
        <f>'PA-Détails'!T2198</f>
        <v>2</v>
      </c>
      <c r="U227" s="588">
        <f>'PA-Détails'!T2198</f>
        <v>2</v>
      </c>
    </row>
    <row r="228" spans="1:21" x14ac:dyDescent="0.2">
      <c r="A228" s="369" t="str">
        <f>'PA-Détails'!A2199</f>
        <v xml:space="preserve">7.5.1 Développement/Restructuration des Institutions spécifiques pour les filières techniques et technologiques dans les pôles et secteurs de croissance </v>
      </c>
      <c r="B228" s="446"/>
      <c r="C228" s="386">
        <f>'PA-Détails'!C2199</f>
        <v>0</v>
      </c>
      <c r="D228" s="168">
        <f>'PA-Détails'!D2199</f>
        <v>145.5</v>
      </c>
      <c r="E228" s="168">
        <f>'PA-Détails'!E2199</f>
        <v>5512</v>
      </c>
      <c r="F228" s="168">
        <f>'PA-Détails'!F2199</f>
        <v>5398</v>
      </c>
      <c r="G228" s="168">
        <f>'PA-Détails'!G2199</f>
        <v>0</v>
      </c>
      <c r="H228" s="168">
        <f>'PA-Détails'!H2199</f>
        <v>0</v>
      </c>
      <c r="I228" s="168">
        <f>'PA-Détails'!I2199</f>
        <v>11055.5</v>
      </c>
      <c r="J228" s="447">
        <f>'PA-Détails'!J2199</f>
        <v>0</v>
      </c>
      <c r="K228" s="36">
        <f>'PA-Détails'!K2199</f>
        <v>0</v>
      </c>
      <c r="L228" s="36">
        <f>'PA-Détails'!L2199</f>
        <v>145500</v>
      </c>
      <c r="M228" s="36">
        <f>'PA-Détails'!M2199</f>
        <v>5512000</v>
      </c>
      <c r="N228" s="36">
        <f>'PA-Détails'!N2199</f>
        <v>5398000</v>
      </c>
      <c r="O228" s="36">
        <f>'PA-Détails'!O2199</f>
        <v>0</v>
      </c>
      <c r="P228" s="36">
        <f>'PA-Détails'!P2199</f>
        <v>0</v>
      </c>
      <c r="Q228" s="429">
        <f>'PA-Détails'!Q2199</f>
        <v>11055500</v>
      </c>
      <c r="R228" s="570"/>
      <c r="S228" s="594">
        <f>'PA-Détails'!S2199</f>
        <v>0</v>
      </c>
      <c r="T228" s="595">
        <f>'PA-Détails'!T2199</f>
        <v>0</v>
      </c>
      <c r="U228" s="586">
        <f>'PA-Détails'!T2199</f>
        <v>0</v>
      </c>
    </row>
    <row r="229" spans="1:21" x14ac:dyDescent="0.2">
      <c r="A229" s="369" t="str">
        <f>'PA-Détails'!A2202</f>
        <v>7.5.2 Développement des établissements d’Arts et Métiers</v>
      </c>
      <c r="B229" s="446"/>
      <c r="C229" s="386">
        <f>'PA-Détails'!C2202</f>
        <v>0</v>
      </c>
      <c r="D229" s="168">
        <f>'PA-Détails'!D2202</f>
        <v>33.5</v>
      </c>
      <c r="E229" s="168">
        <f>'PA-Détails'!E2202</f>
        <v>900</v>
      </c>
      <c r="F229" s="168">
        <f>'PA-Détails'!F2202</f>
        <v>3000</v>
      </c>
      <c r="G229" s="168">
        <f>'PA-Détails'!G2202</f>
        <v>3150</v>
      </c>
      <c r="H229" s="168">
        <f>'PA-Détails'!H2202</f>
        <v>0</v>
      </c>
      <c r="I229" s="168">
        <f>'PA-Détails'!I2202</f>
        <v>7083.5</v>
      </c>
      <c r="J229" s="447">
        <f>'PA-Détails'!J2202</f>
        <v>0</v>
      </c>
      <c r="K229" s="36">
        <f>'PA-Détails'!K2202</f>
        <v>0</v>
      </c>
      <c r="L229" s="36">
        <f>'PA-Détails'!L2202</f>
        <v>33500</v>
      </c>
      <c r="M229" s="36">
        <f>'PA-Détails'!M2202</f>
        <v>900000</v>
      </c>
      <c r="N229" s="36">
        <f>'PA-Détails'!N2202</f>
        <v>3000000</v>
      </c>
      <c r="O229" s="36">
        <f>'PA-Détails'!O2202</f>
        <v>3150000</v>
      </c>
      <c r="P229" s="36">
        <f>'PA-Détails'!P2202</f>
        <v>0</v>
      </c>
      <c r="Q229" s="429">
        <f>'PA-Détails'!Q2202</f>
        <v>7083500</v>
      </c>
      <c r="R229" s="570"/>
      <c r="S229" s="594">
        <f>'PA-Détails'!S2202</f>
        <v>0</v>
      </c>
      <c r="T229" s="595">
        <f>'PA-Détails'!T2202</f>
        <v>0</v>
      </c>
      <c r="U229" s="586">
        <f>'PA-Détails'!T2202</f>
        <v>0</v>
      </c>
    </row>
    <row r="230" spans="1:21" x14ac:dyDescent="0.2">
      <c r="A230" s="368" t="str">
        <f>'PA-Détails'!A2205</f>
        <v xml:space="preserve">7.6 Inscription du Système Congolais d’Enseignement Supérieur dans la mouvance mondiale : Promouvoir la participation des EES de la RDC aux partenariats régionaux et internationaux d'enseignement supérieur et de recherche </v>
      </c>
      <c r="B230" s="444"/>
      <c r="C230" s="385">
        <f>'PA-Détails'!C2205</f>
        <v>0</v>
      </c>
      <c r="D230" s="217">
        <f>'PA-Détails'!D2205</f>
        <v>157.5</v>
      </c>
      <c r="E230" s="217">
        <f>'PA-Détails'!E2205</f>
        <v>5037.25</v>
      </c>
      <c r="F230" s="217">
        <f>'PA-Détails'!F2205</f>
        <v>5037.25</v>
      </c>
      <c r="G230" s="217">
        <f>'PA-Détails'!G2205</f>
        <v>740</v>
      </c>
      <c r="H230" s="217">
        <f>'PA-Détails'!H2205</f>
        <v>740</v>
      </c>
      <c r="I230" s="217">
        <f>'PA-Détails'!I2205</f>
        <v>11712</v>
      </c>
      <c r="J230" s="449">
        <f>'PA-Détails'!J2205</f>
        <v>0</v>
      </c>
      <c r="K230" s="32">
        <f>'PA-Détails'!K2205</f>
        <v>0</v>
      </c>
      <c r="L230" s="32">
        <f>'PA-Détails'!L2205</f>
        <v>157500</v>
      </c>
      <c r="M230" s="32">
        <f>'PA-Détails'!M2205</f>
        <v>5037250</v>
      </c>
      <c r="N230" s="32">
        <f>'PA-Détails'!N2205</f>
        <v>5037250</v>
      </c>
      <c r="O230" s="32">
        <f>'PA-Détails'!O2205</f>
        <v>740000</v>
      </c>
      <c r="P230" s="32">
        <f>'PA-Détails'!P2205</f>
        <v>740000</v>
      </c>
      <c r="Q230" s="428">
        <f>'PA-Détails'!Q2205</f>
        <v>11712000</v>
      </c>
      <c r="R230" s="570"/>
      <c r="S230" s="592">
        <f>'PA-Détails'!S2205</f>
        <v>0</v>
      </c>
      <c r="T230" s="593">
        <f>'PA-Détails'!T2205</f>
        <v>2</v>
      </c>
      <c r="U230" s="588">
        <f>'PA-Détails'!T2205</f>
        <v>2</v>
      </c>
    </row>
    <row r="231" spans="1:21" x14ac:dyDescent="0.2">
      <c r="A231" s="369" t="str">
        <f>'PA-Détails'!A2206</f>
        <v>7.6.1 Arrimage progressif au processus de Bologne (Système LMD)</v>
      </c>
      <c r="B231" s="446"/>
      <c r="C231" s="386">
        <f>'PA-Détails'!C2206</f>
        <v>0</v>
      </c>
      <c r="D231" s="168">
        <f>'PA-Détails'!D2206</f>
        <v>147.5</v>
      </c>
      <c r="E231" s="168">
        <f>'PA-Détails'!E2206</f>
        <v>4297.25</v>
      </c>
      <c r="F231" s="168">
        <f>'PA-Détails'!F2206</f>
        <v>4297.25</v>
      </c>
      <c r="G231" s="168">
        <f>'PA-Détails'!G2206</f>
        <v>0</v>
      </c>
      <c r="H231" s="168">
        <f>'PA-Détails'!H2206</f>
        <v>0</v>
      </c>
      <c r="I231" s="168">
        <f>'PA-Détails'!I2206</f>
        <v>8742</v>
      </c>
      <c r="J231" s="447">
        <f>'PA-Détails'!J2206</f>
        <v>0</v>
      </c>
      <c r="K231" s="36">
        <f>'PA-Détails'!K2206</f>
        <v>0</v>
      </c>
      <c r="L231" s="36">
        <f>'PA-Détails'!L2206</f>
        <v>147500</v>
      </c>
      <c r="M231" s="36">
        <f>'PA-Détails'!M2206</f>
        <v>4297250</v>
      </c>
      <c r="N231" s="36">
        <f>'PA-Détails'!N2206</f>
        <v>4297250</v>
      </c>
      <c r="O231" s="36">
        <f>'PA-Détails'!O2206</f>
        <v>0</v>
      </c>
      <c r="P231" s="36">
        <f>'PA-Détails'!P2206</f>
        <v>0</v>
      </c>
      <c r="Q231" s="429">
        <f>'PA-Détails'!Q2206</f>
        <v>8742000</v>
      </c>
      <c r="R231" s="570"/>
      <c r="S231" s="594">
        <f>'PA-Détails'!S2206</f>
        <v>0</v>
      </c>
      <c r="T231" s="595">
        <f>'PA-Détails'!T2206</f>
        <v>0</v>
      </c>
      <c r="U231" s="586">
        <f>'PA-Détails'!T2206</f>
        <v>0</v>
      </c>
    </row>
    <row r="232" spans="1:21" x14ac:dyDescent="0.2">
      <c r="A232" s="369" t="str">
        <f>'PA-Détails'!A2211</f>
        <v>7.6.2 Renforcement des capacités institutionnelle de la Commission permanente des études (CPE)</v>
      </c>
      <c r="B232" s="446"/>
      <c r="C232" s="386" t="str">
        <f>'PA-Détails'!C2211</f>
        <v xml:space="preserve">En 2025, un fonds annuel de 500 000$ pour faciliter la mobilité des enseignants et des chercheurs </v>
      </c>
      <c r="D232" s="168">
        <f>'PA-Détails'!D2211</f>
        <v>10</v>
      </c>
      <c r="E232" s="168">
        <f>'PA-Détails'!E2211</f>
        <v>240</v>
      </c>
      <c r="F232" s="168">
        <f>'PA-Détails'!F2211</f>
        <v>240</v>
      </c>
      <c r="G232" s="168">
        <f>'PA-Détails'!G2211</f>
        <v>240</v>
      </c>
      <c r="H232" s="168">
        <f>'PA-Détails'!H2211</f>
        <v>240</v>
      </c>
      <c r="I232" s="168">
        <f>'PA-Détails'!I2211</f>
        <v>970</v>
      </c>
      <c r="J232" s="447">
        <f>'PA-Détails'!J2211</f>
        <v>0</v>
      </c>
      <c r="K232" s="36">
        <f>'PA-Détails'!K2211</f>
        <v>0</v>
      </c>
      <c r="L232" s="36">
        <f>'PA-Détails'!L2211</f>
        <v>10000</v>
      </c>
      <c r="M232" s="36">
        <f>'PA-Détails'!M2211</f>
        <v>240000</v>
      </c>
      <c r="N232" s="36">
        <f>'PA-Détails'!N2211</f>
        <v>240000</v>
      </c>
      <c r="O232" s="36">
        <f>'PA-Détails'!O2211</f>
        <v>240000</v>
      </c>
      <c r="P232" s="36">
        <f>'PA-Détails'!P2211</f>
        <v>240000</v>
      </c>
      <c r="Q232" s="429">
        <f>'PA-Détails'!Q2211</f>
        <v>970000</v>
      </c>
      <c r="R232" s="570"/>
      <c r="S232" s="570">
        <f>'PA-Détails'!S2211</f>
        <v>0</v>
      </c>
      <c r="T232" s="595">
        <f>'PA-Détails'!T2211</f>
        <v>0</v>
      </c>
      <c r="U232" s="586">
        <f>'PA-Détails'!T2211</f>
        <v>0</v>
      </c>
    </row>
    <row r="233" spans="1:21" x14ac:dyDescent="0.2">
      <c r="A233" s="369" t="str">
        <f>'PA-Détails'!A2213</f>
        <v>7.6.3 Promotion de la mobilité des Enseignants et Étudiants des EES</v>
      </c>
      <c r="B233" s="446"/>
      <c r="C233" s="386" t="str">
        <f>'PA-Détails'!C2213</f>
        <v xml:space="preserve">En 2025, un fonds annuel de 500 000$ pour faciliter la mobilité des enseignants et des chercheurs </v>
      </c>
      <c r="D233" s="168">
        <f>'PA-Détails'!D2213</f>
        <v>0</v>
      </c>
      <c r="E233" s="168">
        <f>'PA-Détails'!E2213</f>
        <v>500</v>
      </c>
      <c r="F233" s="168">
        <f>'PA-Détails'!F2213</f>
        <v>500</v>
      </c>
      <c r="G233" s="168">
        <f>'PA-Détails'!G2213</f>
        <v>500</v>
      </c>
      <c r="H233" s="168">
        <f>'PA-Détails'!H2213</f>
        <v>500</v>
      </c>
      <c r="I233" s="168">
        <f>'PA-Détails'!I2213</f>
        <v>2000</v>
      </c>
      <c r="J233" s="447">
        <f>'PA-Détails'!J2213</f>
        <v>0</v>
      </c>
      <c r="K233" s="36">
        <f>'PA-Détails'!K2213</f>
        <v>0</v>
      </c>
      <c r="L233" s="36">
        <f>'PA-Détails'!L2213</f>
        <v>0</v>
      </c>
      <c r="M233" s="36">
        <f>'PA-Détails'!M2213</f>
        <v>500000</v>
      </c>
      <c r="N233" s="36">
        <f>'PA-Détails'!N2213</f>
        <v>500000</v>
      </c>
      <c r="O233" s="36">
        <f>'PA-Détails'!O2213</f>
        <v>500000</v>
      </c>
      <c r="P233" s="36">
        <f>'PA-Détails'!P2213</f>
        <v>500000</v>
      </c>
      <c r="Q233" s="429">
        <f>'PA-Détails'!Q2213</f>
        <v>2000000</v>
      </c>
      <c r="R233" s="570"/>
      <c r="S233" s="594">
        <f>'PA-Détails'!S2213</f>
        <v>0</v>
      </c>
      <c r="T233" s="595">
        <f>'PA-Détails'!T2213</f>
        <v>0</v>
      </c>
      <c r="U233" s="586">
        <f>'PA-Détails'!T2213</f>
        <v>0</v>
      </c>
    </row>
    <row r="234" spans="1:21" x14ac:dyDescent="0.2">
      <c r="A234" s="368" t="str">
        <f>'PA-Détails'!A2215</f>
        <v>7.7 Implantation des TIC : Promouvoir l'utilisation des TIC dans l'enseignement, l'apprentissage, la recherche et la gouvernance</v>
      </c>
      <c r="B234" s="444"/>
      <c r="C234" s="385">
        <f>'PA-Détails'!C2215</f>
        <v>0</v>
      </c>
      <c r="D234" s="217">
        <f>'PA-Détails'!D2215</f>
        <v>253</v>
      </c>
      <c r="E234" s="217">
        <f>'PA-Détails'!E2215</f>
        <v>41795</v>
      </c>
      <c r="F234" s="217">
        <f>'PA-Détails'!F2215</f>
        <v>40695</v>
      </c>
      <c r="G234" s="217">
        <f>'PA-Détails'!G2215</f>
        <v>40695</v>
      </c>
      <c r="H234" s="217">
        <f>'PA-Détails'!H2215</f>
        <v>40695</v>
      </c>
      <c r="I234" s="217">
        <f>'PA-Détails'!I2215</f>
        <v>164133</v>
      </c>
      <c r="J234" s="449">
        <f>'PA-Détails'!J2215</f>
        <v>0</v>
      </c>
      <c r="K234" s="32">
        <f>'PA-Détails'!K2215</f>
        <v>0</v>
      </c>
      <c r="L234" s="32">
        <f>'PA-Détails'!L2215</f>
        <v>253000</v>
      </c>
      <c r="M234" s="32">
        <f>'PA-Détails'!M2215</f>
        <v>41795000</v>
      </c>
      <c r="N234" s="32">
        <f>'PA-Détails'!N2215</f>
        <v>40695000</v>
      </c>
      <c r="O234" s="32">
        <f>'PA-Détails'!O2215</f>
        <v>40695000</v>
      </c>
      <c r="P234" s="32">
        <f>'PA-Détails'!P2215</f>
        <v>40695000</v>
      </c>
      <c r="Q234" s="428">
        <f>'PA-Détails'!Q2215</f>
        <v>164133000</v>
      </c>
      <c r="R234" s="570"/>
      <c r="S234" s="592">
        <f>'PA-Détails'!S2215</f>
        <v>0</v>
      </c>
      <c r="T234" s="593">
        <f>'PA-Détails'!T2215</f>
        <v>2</v>
      </c>
      <c r="U234" s="588">
        <f>'PA-Détails'!T2215</f>
        <v>2</v>
      </c>
    </row>
    <row r="235" spans="1:21" x14ac:dyDescent="0.2">
      <c r="A235" s="369" t="str">
        <f>'PA-Détails'!A2216</f>
        <v>7.7.1 Renforcement de l’utilisation des TIC</v>
      </c>
      <c r="B235" s="446"/>
      <c r="C235" s="386">
        <f>'PA-Détails'!C2216</f>
        <v>0</v>
      </c>
      <c r="D235" s="168">
        <f>'PA-Détails'!D2216</f>
        <v>190.5</v>
      </c>
      <c r="E235" s="168">
        <f>'PA-Détails'!E2216</f>
        <v>40295</v>
      </c>
      <c r="F235" s="168">
        <f>'PA-Détails'!F2216</f>
        <v>40195</v>
      </c>
      <c r="G235" s="168">
        <f>'PA-Détails'!G2216</f>
        <v>40195</v>
      </c>
      <c r="H235" s="168">
        <f>'PA-Détails'!H2216</f>
        <v>40195</v>
      </c>
      <c r="I235" s="168">
        <f>'PA-Détails'!I2216</f>
        <v>161070.5</v>
      </c>
      <c r="J235" s="447">
        <f>'PA-Détails'!J2216</f>
        <v>0</v>
      </c>
      <c r="K235" s="36">
        <f>'PA-Détails'!K2216</f>
        <v>0</v>
      </c>
      <c r="L235" s="36">
        <f>'PA-Détails'!L2216</f>
        <v>190500</v>
      </c>
      <c r="M235" s="36">
        <f>'PA-Détails'!M2216</f>
        <v>40295000</v>
      </c>
      <c r="N235" s="36">
        <f>'PA-Détails'!N2216</f>
        <v>40195000</v>
      </c>
      <c r="O235" s="36">
        <f>'PA-Détails'!O2216</f>
        <v>40195000</v>
      </c>
      <c r="P235" s="36">
        <f>'PA-Détails'!P2216</f>
        <v>40195000</v>
      </c>
      <c r="Q235" s="429">
        <f>'PA-Détails'!Q2216</f>
        <v>161070500</v>
      </c>
      <c r="R235" s="570"/>
      <c r="S235" s="594">
        <f>'PA-Détails'!S2216</f>
        <v>0</v>
      </c>
      <c r="T235" s="595">
        <f>'PA-Détails'!T2216</f>
        <v>0</v>
      </c>
      <c r="U235" s="586">
        <f>'PA-Détails'!T2216</f>
        <v>0</v>
      </c>
    </row>
    <row r="236" spans="1:21" x14ac:dyDescent="0.2">
      <c r="A236" s="369" t="str">
        <f>'PA-Détails'!A2220</f>
        <v>7.7.2 Développement d'une bibliothèque virtuelle nationale</v>
      </c>
      <c r="B236" s="446"/>
      <c r="C236" s="386">
        <f>'PA-Détails'!C2220</f>
        <v>0</v>
      </c>
      <c r="D236" s="168">
        <f>'PA-Détails'!D2220</f>
        <v>62.5</v>
      </c>
      <c r="E236" s="168">
        <f>'PA-Détails'!E2220</f>
        <v>1500</v>
      </c>
      <c r="F236" s="168">
        <f>'PA-Détails'!F2220</f>
        <v>500</v>
      </c>
      <c r="G236" s="168">
        <f>'PA-Détails'!G2220</f>
        <v>500</v>
      </c>
      <c r="H236" s="168">
        <f>'PA-Détails'!H2220</f>
        <v>500</v>
      </c>
      <c r="I236" s="168">
        <f>'PA-Détails'!I2220</f>
        <v>3062.5</v>
      </c>
      <c r="J236" s="447">
        <f>'PA-Détails'!J2220</f>
        <v>0</v>
      </c>
      <c r="K236" s="36">
        <f>'PA-Détails'!K2220</f>
        <v>0</v>
      </c>
      <c r="L236" s="36">
        <f>'PA-Détails'!L2220</f>
        <v>62500</v>
      </c>
      <c r="M236" s="36">
        <f>'PA-Détails'!M2220</f>
        <v>1500000</v>
      </c>
      <c r="N236" s="36">
        <f>'PA-Détails'!N2220</f>
        <v>500000</v>
      </c>
      <c r="O236" s="36">
        <f>'PA-Détails'!O2220</f>
        <v>500000</v>
      </c>
      <c r="P236" s="36">
        <f>'PA-Détails'!P2220</f>
        <v>500000</v>
      </c>
      <c r="Q236" s="429">
        <f>'PA-Détails'!Q2220</f>
        <v>3062500</v>
      </c>
      <c r="R236" s="570"/>
      <c r="S236" s="594">
        <f>'PA-Détails'!S2220</f>
        <v>0</v>
      </c>
      <c r="T236" s="595">
        <f>'PA-Détails'!T2220</f>
        <v>0</v>
      </c>
      <c r="U236" s="586">
        <f>'PA-Détails'!T2220</f>
        <v>0</v>
      </c>
    </row>
    <row r="237" spans="1:21" x14ac:dyDescent="0.2">
      <c r="A237" s="368" t="str">
        <f>'PA-Détails'!A2223</f>
        <v>7.8 Désenclavement numérique des EES : Promouvoir l'utilisation des TIC dans l'enseignement, l'apprentissage, la recherche et la gouvernance de l'enseignement supérieur</v>
      </c>
      <c r="B237" s="444"/>
      <c r="C237" s="385">
        <f>'PA-Détails'!C2223</f>
        <v>0</v>
      </c>
      <c r="D237" s="217">
        <f>'PA-Détails'!D2223</f>
        <v>5169</v>
      </c>
      <c r="E237" s="217">
        <f>'PA-Détails'!E2223</f>
        <v>5844</v>
      </c>
      <c r="F237" s="217">
        <f>'PA-Détails'!F2223</f>
        <v>8066</v>
      </c>
      <c r="G237" s="217">
        <f>'PA-Détails'!G2223</f>
        <v>8000</v>
      </c>
      <c r="H237" s="217">
        <f>'PA-Détails'!H2223</f>
        <v>5500</v>
      </c>
      <c r="I237" s="217">
        <f>'PA-Détails'!I2223</f>
        <v>32579</v>
      </c>
      <c r="J237" s="449">
        <f>'PA-Détails'!J2223</f>
        <v>0</v>
      </c>
      <c r="K237" s="32">
        <f>'PA-Détails'!K2223</f>
        <v>0</v>
      </c>
      <c r="L237" s="32">
        <f>'PA-Détails'!L2223</f>
        <v>5169000</v>
      </c>
      <c r="M237" s="32">
        <f>'PA-Détails'!M2223</f>
        <v>5844000</v>
      </c>
      <c r="N237" s="32">
        <f>'PA-Détails'!N2223</f>
        <v>8066000</v>
      </c>
      <c r="O237" s="32">
        <f>'PA-Détails'!O2223</f>
        <v>8000000</v>
      </c>
      <c r="P237" s="32">
        <f>'PA-Détails'!P2223</f>
        <v>5500000</v>
      </c>
      <c r="Q237" s="428">
        <f>'PA-Détails'!Q2223</f>
        <v>32579000</v>
      </c>
      <c r="R237" s="570"/>
      <c r="S237" s="592">
        <f>'PA-Détails'!S2223</f>
        <v>0</v>
      </c>
      <c r="T237" s="593">
        <f>'PA-Détails'!T2223</f>
        <v>2</v>
      </c>
      <c r="U237" s="588">
        <f>'PA-Détails'!T2223</f>
        <v>2</v>
      </c>
    </row>
    <row r="238" spans="1:21" x14ac:dyDescent="0.2">
      <c r="A238" s="369" t="str">
        <f>'PA-Détails'!A2224</f>
        <v xml:space="preserve">7.8.1 Interconnectivité des EES </v>
      </c>
      <c r="B238" s="446"/>
      <c r="C238" s="386">
        <f>'PA-Détails'!C2224</f>
        <v>0</v>
      </c>
      <c r="D238" s="168">
        <f>'PA-Détails'!D2224</f>
        <v>62.5</v>
      </c>
      <c r="E238" s="168">
        <f>'PA-Détails'!E2224</f>
        <v>800</v>
      </c>
      <c r="F238" s="168">
        <f>'PA-Détails'!F2224</f>
        <v>2500</v>
      </c>
      <c r="G238" s="168">
        <f>'PA-Détails'!G2224</f>
        <v>2500</v>
      </c>
      <c r="H238" s="168">
        <f>'PA-Détails'!H2224</f>
        <v>5000</v>
      </c>
      <c r="I238" s="168">
        <f>'PA-Détails'!I2224</f>
        <v>10862.5</v>
      </c>
      <c r="J238" s="447">
        <f>'PA-Détails'!J2224</f>
        <v>0</v>
      </c>
      <c r="K238" s="36">
        <f>'PA-Détails'!K2224</f>
        <v>0</v>
      </c>
      <c r="L238" s="36">
        <f>'PA-Détails'!L2224</f>
        <v>62500</v>
      </c>
      <c r="M238" s="36">
        <f>'PA-Détails'!M2224</f>
        <v>800000</v>
      </c>
      <c r="N238" s="36">
        <f>'PA-Détails'!N2224</f>
        <v>2500000</v>
      </c>
      <c r="O238" s="36">
        <f>'PA-Détails'!O2224</f>
        <v>2500000</v>
      </c>
      <c r="P238" s="36">
        <f>'PA-Détails'!P2224</f>
        <v>5000000</v>
      </c>
      <c r="Q238" s="429">
        <f>'PA-Détails'!Q2224</f>
        <v>10862500</v>
      </c>
      <c r="R238" s="570"/>
      <c r="S238" s="594">
        <f>'PA-Détails'!S2224</f>
        <v>0</v>
      </c>
      <c r="T238" s="595">
        <f>'PA-Détails'!T2224</f>
        <v>0</v>
      </c>
      <c r="U238" s="586">
        <f>'PA-Détails'!T2224</f>
        <v>0</v>
      </c>
    </row>
    <row r="239" spans="1:21" x14ac:dyDescent="0.2">
      <c r="A239" s="369" t="str">
        <f>'PA-Détails'!A2227</f>
        <v>7.8.2 Développement de la formation ouverte, à distance et e-learning</v>
      </c>
      <c r="B239" s="446"/>
      <c r="C239" s="386">
        <f>'PA-Détails'!C2227</f>
        <v>0</v>
      </c>
      <c r="D239" s="168">
        <f>'PA-Détails'!D2227</f>
        <v>5106.5</v>
      </c>
      <c r="E239" s="168">
        <f>'PA-Détails'!E2227</f>
        <v>5044</v>
      </c>
      <c r="F239" s="168">
        <f>'PA-Détails'!F2227</f>
        <v>5566</v>
      </c>
      <c r="G239" s="168">
        <f>'PA-Détails'!G2227</f>
        <v>5500</v>
      </c>
      <c r="H239" s="168">
        <f>'PA-Détails'!H2227</f>
        <v>500</v>
      </c>
      <c r="I239" s="168">
        <f>'PA-Détails'!I2227</f>
        <v>21716.5</v>
      </c>
      <c r="J239" s="447">
        <f>'PA-Détails'!J2227</f>
        <v>0</v>
      </c>
      <c r="K239" s="36">
        <f>'PA-Détails'!K2227</f>
        <v>0</v>
      </c>
      <c r="L239" s="36">
        <f>'PA-Détails'!L2227</f>
        <v>5106500</v>
      </c>
      <c r="M239" s="36">
        <f>'PA-Détails'!M2227</f>
        <v>5044000</v>
      </c>
      <c r="N239" s="36">
        <f>'PA-Détails'!N2227</f>
        <v>5566000</v>
      </c>
      <c r="O239" s="36">
        <f>'PA-Détails'!O2227</f>
        <v>5500000</v>
      </c>
      <c r="P239" s="36">
        <f>'PA-Détails'!P2227</f>
        <v>500000</v>
      </c>
      <c r="Q239" s="429">
        <f>'PA-Détails'!Q2227</f>
        <v>21716500</v>
      </c>
      <c r="R239" s="570"/>
      <c r="S239" s="594">
        <f>'PA-Détails'!S2227</f>
        <v>0</v>
      </c>
      <c r="T239" s="595">
        <f>'PA-Détails'!T2227</f>
        <v>0</v>
      </c>
      <c r="U239" s="586">
        <f>'PA-Détails'!T2227</f>
        <v>0</v>
      </c>
    </row>
    <row r="240" spans="1:21" x14ac:dyDescent="0.2">
      <c r="A240" s="368" t="str">
        <f>'PA-Détails'!A2232</f>
        <v xml:space="preserve">7.9 Revitalisation de la Recherche : Promouvoir la recherche dans le cadre de la mise en œuvre de la réforme LMD </v>
      </c>
      <c r="B240" s="444"/>
      <c r="C240" s="385">
        <f>'PA-Détails'!C2232</f>
        <v>0</v>
      </c>
      <c r="D240" s="217">
        <f>'PA-Détails'!D2232</f>
        <v>578</v>
      </c>
      <c r="E240" s="217">
        <f>'PA-Détails'!E2232</f>
        <v>1681</v>
      </c>
      <c r="F240" s="217">
        <f>'PA-Détails'!F2232</f>
        <v>1834</v>
      </c>
      <c r="G240" s="217">
        <f>'PA-Détails'!G2232</f>
        <v>2642.5</v>
      </c>
      <c r="H240" s="217">
        <f>'PA-Détails'!H2232</f>
        <v>3502.5</v>
      </c>
      <c r="I240" s="217">
        <f>'PA-Détails'!I2232</f>
        <v>10238</v>
      </c>
      <c r="J240" s="449">
        <f>'PA-Détails'!J2232</f>
        <v>0</v>
      </c>
      <c r="K240" s="32">
        <f>'PA-Détails'!K2232</f>
        <v>0</v>
      </c>
      <c r="L240" s="32">
        <f>'PA-Détails'!L2232</f>
        <v>578000</v>
      </c>
      <c r="M240" s="32">
        <f>'PA-Détails'!M2232</f>
        <v>1681000</v>
      </c>
      <c r="N240" s="32">
        <f>'PA-Détails'!N2232</f>
        <v>1834000</v>
      </c>
      <c r="O240" s="32">
        <f>'PA-Détails'!O2232</f>
        <v>2642500</v>
      </c>
      <c r="P240" s="32">
        <f>'PA-Détails'!P2232</f>
        <v>3502500</v>
      </c>
      <c r="Q240" s="428">
        <f>'PA-Détails'!Q2232</f>
        <v>10238000</v>
      </c>
      <c r="R240" s="570"/>
      <c r="S240" s="592">
        <f>'PA-Détails'!S2232</f>
        <v>0</v>
      </c>
      <c r="T240" s="593">
        <f>'PA-Détails'!T2232</f>
        <v>2</v>
      </c>
      <c r="U240" s="588">
        <f>'PA-Détails'!T2232</f>
        <v>2</v>
      </c>
    </row>
    <row r="241" spans="1:21" x14ac:dyDescent="0.2">
      <c r="A241" s="369" t="str">
        <f>'PA-Détails'!A2233</f>
        <v>7.9.1 Valorisation des résultats de la recherche au niveau provincial et national</v>
      </c>
      <c r="B241" s="446"/>
      <c r="C241" s="386">
        <f>'PA-Détails'!C2233</f>
        <v>0</v>
      </c>
      <c r="D241" s="168">
        <f>'PA-Détails'!D2233</f>
        <v>475</v>
      </c>
      <c r="E241" s="168">
        <f>'PA-Détails'!E2233</f>
        <v>475</v>
      </c>
      <c r="F241" s="168">
        <f>'PA-Détails'!F2233</f>
        <v>475</v>
      </c>
      <c r="G241" s="168">
        <f>'PA-Détails'!G2233</f>
        <v>475</v>
      </c>
      <c r="H241" s="168">
        <f>'PA-Détails'!H2233</f>
        <v>475</v>
      </c>
      <c r="I241" s="168">
        <f>'PA-Détails'!I2233</f>
        <v>2375</v>
      </c>
      <c r="J241" s="447">
        <f>'PA-Détails'!J2233</f>
        <v>0</v>
      </c>
      <c r="K241" s="36">
        <f>'PA-Détails'!K2233</f>
        <v>0</v>
      </c>
      <c r="L241" s="36">
        <f>'PA-Détails'!L2233</f>
        <v>475000</v>
      </c>
      <c r="M241" s="36">
        <f>'PA-Détails'!M2233</f>
        <v>475000</v>
      </c>
      <c r="N241" s="36">
        <f>'PA-Détails'!N2233</f>
        <v>475000</v>
      </c>
      <c r="O241" s="36">
        <f>'PA-Détails'!O2233</f>
        <v>475000</v>
      </c>
      <c r="P241" s="36">
        <f>'PA-Détails'!P2233</f>
        <v>475000</v>
      </c>
      <c r="Q241" s="429">
        <f>'PA-Détails'!Q2233</f>
        <v>2375000</v>
      </c>
      <c r="R241" s="570"/>
      <c r="S241" s="594">
        <f>'PA-Détails'!S2233</f>
        <v>0</v>
      </c>
      <c r="T241" s="595">
        <f>'PA-Détails'!T2233</f>
        <v>0</v>
      </c>
      <c r="U241" s="586">
        <f>'PA-Détails'!T2233</f>
        <v>0</v>
      </c>
    </row>
    <row r="242" spans="1:21" x14ac:dyDescent="0.2">
      <c r="A242" s="369" t="str">
        <f>'PA-Détails'!A2236</f>
        <v>7.9.2 Mise en place d’un fonds compétitif pour la Recherche</v>
      </c>
      <c r="B242" s="446"/>
      <c r="C242" s="386">
        <f>'PA-Détails'!C2236</f>
        <v>0</v>
      </c>
      <c r="D242" s="168">
        <f>'PA-Détails'!D2236</f>
        <v>51.5</v>
      </c>
      <c r="E242" s="168">
        <f>'PA-Détails'!E2236</f>
        <v>806</v>
      </c>
      <c r="F242" s="168">
        <f>'PA-Détails'!F2236</f>
        <v>1007.5</v>
      </c>
      <c r="G242" s="168">
        <f>'PA-Détails'!G2236</f>
        <v>1007.5</v>
      </c>
      <c r="H242" s="168">
        <f>'PA-Détails'!H2236</f>
        <v>1007.5</v>
      </c>
      <c r="I242" s="168">
        <f>'PA-Détails'!I2236</f>
        <v>3880</v>
      </c>
      <c r="J242" s="447">
        <f>'PA-Détails'!J2236</f>
        <v>0</v>
      </c>
      <c r="K242" s="36">
        <f>'PA-Détails'!K2236</f>
        <v>0</v>
      </c>
      <c r="L242" s="36">
        <f>'PA-Détails'!L2236</f>
        <v>51500</v>
      </c>
      <c r="M242" s="36">
        <f>'PA-Détails'!M2236</f>
        <v>806000</v>
      </c>
      <c r="N242" s="36">
        <f>'PA-Détails'!N2236</f>
        <v>1007500</v>
      </c>
      <c r="O242" s="36">
        <f>'PA-Détails'!O2236</f>
        <v>1007500</v>
      </c>
      <c r="P242" s="36">
        <f>'PA-Détails'!P2236</f>
        <v>1007500</v>
      </c>
      <c r="Q242" s="429">
        <f>'PA-Détails'!Q2236</f>
        <v>3880000</v>
      </c>
      <c r="R242" s="570"/>
      <c r="S242" s="594">
        <f>'PA-Détails'!S2236</f>
        <v>0</v>
      </c>
      <c r="T242" s="595">
        <f>'PA-Détails'!T2236</f>
        <v>0</v>
      </c>
      <c r="U242" s="586">
        <f>'PA-Détails'!T2236</f>
        <v>0</v>
      </c>
    </row>
    <row r="243" spans="1:21" x14ac:dyDescent="0.2">
      <c r="A243" s="369" t="str">
        <f>'PA-Détails'!A2239</f>
        <v>7.9.3 Renforcement des capacités des PUC</v>
      </c>
      <c r="B243" s="446"/>
      <c r="C243" s="386">
        <f>'PA-Détails'!C2239</f>
        <v>0</v>
      </c>
      <c r="D243" s="168">
        <f>'PA-Détails'!D2239</f>
        <v>51.5</v>
      </c>
      <c r="E243" s="168">
        <f>'PA-Détails'!E2239</f>
        <v>400</v>
      </c>
      <c r="F243" s="168">
        <f>'PA-Détails'!F2239</f>
        <v>300</v>
      </c>
      <c r="G243" s="168">
        <f>'PA-Détails'!G2239</f>
        <v>300</v>
      </c>
      <c r="H243" s="168">
        <f>'PA-Détails'!H2239</f>
        <v>300</v>
      </c>
      <c r="I243" s="168">
        <f>'PA-Détails'!I2239</f>
        <v>1351.5</v>
      </c>
      <c r="J243" s="447">
        <f>'PA-Détails'!J2239</f>
        <v>0</v>
      </c>
      <c r="K243" s="36">
        <f>'PA-Détails'!K2239</f>
        <v>0</v>
      </c>
      <c r="L243" s="36">
        <f>'PA-Détails'!L2239</f>
        <v>51500</v>
      </c>
      <c r="M243" s="36">
        <f>'PA-Détails'!M2239</f>
        <v>400000</v>
      </c>
      <c r="N243" s="36">
        <f>'PA-Détails'!N2239</f>
        <v>300000</v>
      </c>
      <c r="O243" s="36">
        <f>'PA-Détails'!O2239</f>
        <v>300000</v>
      </c>
      <c r="P243" s="36">
        <f>'PA-Détails'!P2239</f>
        <v>300000</v>
      </c>
      <c r="Q243" s="429">
        <f>'PA-Détails'!Q2239</f>
        <v>1351500</v>
      </c>
      <c r="R243" s="570"/>
      <c r="S243" s="594">
        <f>'PA-Détails'!S2239</f>
        <v>0</v>
      </c>
      <c r="T243" s="595">
        <f>'PA-Détails'!T2239</f>
        <v>0</v>
      </c>
      <c r="U243" s="586">
        <f>'PA-Détails'!T2239</f>
        <v>0</v>
      </c>
    </row>
    <row r="244" spans="1:21" x14ac:dyDescent="0.2">
      <c r="A244" s="369" t="str">
        <f>'PA-Détails'!A2242</f>
        <v>7.9.4 Création des écoles doctorales</v>
      </c>
      <c r="B244" s="446"/>
      <c r="C244" s="386">
        <f>'PA-Détails'!C2242</f>
        <v>0</v>
      </c>
      <c r="D244" s="168">
        <f>'PA-Détails'!D2242</f>
        <v>0</v>
      </c>
      <c r="E244" s="168">
        <f>'PA-Détails'!E2242</f>
        <v>0</v>
      </c>
      <c r="F244" s="168">
        <f>'PA-Détails'!F2242</f>
        <v>51.5</v>
      </c>
      <c r="G244" s="168">
        <f>'PA-Détails'!G2242</f>
        <v>860</v>
      </c>
      <c r="H244" s="168">
        <f>'PA-Détails'!H2242</f>
        <v>1720</v>
      </c>
      <c r="I244" s="168">
        <f>'PA-Détails'!I2242</f>
        <v>2631.5</v>
      </c>
      <c r="J244" s="447">
        <f>'PA-Détails'!J2242</f>
        <v>0</v>
      </c>
      <c r="K244" s="36">
        <f>'PA-Détails'!K2242</f>
        <v>0</v>
      </c>
      <c r="L244" s="36">
        <f>'PA-Détails'!L2242</f>
        <v>0</v>
      </c>
      <c r="M244" s="36">
        <f>'PA-Détails'!M2242</f>
        <v>0</v>
      </c>
      <c r="N244" s="36">
        <f>'PA-Détails'!N2242</f>
        <v>51500</v>
      </c>
      <c r="O244" s="36">
        <f>'PA-Détails'!O2242</f>
        <v>860000</v>
      </c>
      <c r="P244" s="36">
        <f>'PA-Détails'!P2242</f>
        <v>1720000</v>
      </c>
      <c r="Q244" s="429">
        <f>'PA-Détails'!Q2242</f>
        <v>2631500</v>
      </c>
      <c r="R244" s="570"/>
      <c r="S244" s="594">
        <f>'PA-Détails'!S2242</f>
        <v>0</v>
      </c>
      <c r="T244" s="595">
        <f>'PA-Détails'!T2242</f>
        <v>0</v>
      </c>
      <c r="U244" s="586">
        <f>'PA-Détails'!T2242</f>
        <v>0</v>
      </c>
    </row>
    <row r="245" spans="1:21" x14ac:dyDescent="0.2">
      <c r="A245" s="368" t="str">
        <f>'PA-Détails'!A2246</f>
        <v>7.10. Renouvellement des ressources professorales : Former les enseignants et les chercheurs qui remplaceront ceux qui partent à la retraite</v>
      </c>
      <c r="B245" s="444"/>
      <c r="C245" s="385">
        <f>'PA-Détails'!C2246</f>
        <v>0</v>
      </c>
      <c r="D245" s="217">
        <f>'PA-Détails'!D2246</f>
        <v>5577.5</v>
      </c>
      <c r="E245" s="217">
        <f>'PA-Détails'!E2246</f>
        <v>5610</v>
      </c>
      <c r="F245" s="217">
        <f>'PA-Détails'!F2246</f>
        <v>5660</v>
      </c>
      <c r="G245" s="217">
        <f>'PA-Détails'!G2246</f>
        <v>5710</v>
      </c>
      <c r="H245" s="217">
        <f>'PA-Détails'!H2246</f>
        <v>5760</v>
      </c>
      <c r="I245" s="217">
        <f>'PA-Détails'!I2246</f>
        <v>28317.5</v>
      </c>
      <c r="J245" s="449">
        <f>'PA-Détails'!J2246</f>
        <v>0</v>
      </c>
      <c r="K245" s="32">
        <f>'PA-Détails'!K2246</f>
        <v>0</v>
      </c>
      <c r="L245" s="32">
        <f>'PA-Détails'!L2246</f>
        <v>5577500</v>
      </c>
      <c r="M245" s="32">
        <f>'PA-Détails'!M2246</f>
        <v>5610000</v>
      </c>
      <c r="N245" s="32">
        <f>'PA-Détails'!N2246</f>
        <v>5660000</v>
      </c>
      <c r="O245" s="32">
        <f>'PA-Détails'!O2246</f>
        <v>5710000</v>
      </c>
      <c r="P245" s="32">
        <f>'PA-Détails'!P2246</f>
        <v>5760000</v>
      </c>
      <c r="Q245" s="428">
        <f>'PA-Détails'!Q2246</f>
        <v>28317500</v>
      </c>
      <c r="R245" s="570"/>
      <c r="S245" s="592">
        <f>'PA-Détails'!S2246</f>
        <v>0</v>
      </c>
      <c r="T245" s="593">
        <f>'PA-Détails'!T2246</f>
        <v>2</v>
      </c>
      <c r="U245" s="588">
        <f>'PA-Détails'!T2246</f>
        <v>2</v>
      </c>
    </row>
    <row r="246" spans="1:21" x14ac:dyDescent="0.2">
      <c r="A246" s="369" t="str">
        <f>'PA-Détails'!A2247</f>
        <v>7.10.1 Extension du bassin d’emploi du Personnel Enseignant qualifié</v>
      </c>
      <c r="B246" s="446"/>
      <c r="C246" s="386" t="str">
        <f>'PA-Détails'!C2247</f>
        <v>En 2025, 200 enseignants de la diaspora scientifique congolaise et 500 partenaires du monde du travail sont impliqués dans l'enseignement et la recherche dans les EES</v>
      </c>
      <c r="D246" s="168">
        <f>'PA-Détails'!D2247</f>
        <v>5369</v>
      </c>
      <c r="E246" s="168">
        <f>'PA-Détails'!E2247</f>
        <v>5360</v>
      </c>
      <c r="F246" s="168">
        <f>'PA-Détails'!F2247</f>
        <v>5360</v>
      </c>
      <c r="G246" s="168">
        <f>'PA-Détails'!G2247</f>
        <v>5360</v>
      </c>
      <c r="H246" s="168">
        <f>'PA-Détails'!H2247</f>
        <v>5360</v>
      </c>
      <c r="I246" s="168">
        <f>'PA-Détails'!I2247</f>
        <v>26809</v>
      </c>
      <c r="J246" s="447">
        <f>'PA-Détails'!J2247</f>
        <v>0</v>
      </c>
      <c r="K246" s="36">
        <f>'PA-Détails'!K2247</f>
        <v>0</v>
      </c>
      <c r="L246" s="36">
        <f>'PA-Détails'!L2247</f>
        <v>5369000</v>
      </c>
      <c r="M246" s="36">
        <f>'PA-Détails'!M2247</f>
        <v>5360000</v>
      </c>
      <c r="N246" s="36">
        <f>'PA-Détails'!N2247</f>
        <v>5360000</v>
      </c>
      <c r="O246" s="36">
        <f>'PA-Détails'!O2247</f>
        <v>5360000</v>
      </c>
      <c r="P246" s="36">
        <f>'PA-Détails'!P2247</f>
        <v>5360000</v>
      </c>
      <c r="Q246" s="429">
        <f>'PA-Détails'!Q2247</f>
        <v>26809000</v>
      </c>
      <c r="R246" s="570"/>
      <c r="S246" s="594">
        <f>'PA-Détails'!S2247</f>
        <v>0</v>
      </c>
      <c r="T246" s="595">
        <f>'PA-Détails'!T2247</f>
        <v>0</v>
      </c>
      <c r="U246" s="586">
        <f>'PA-Détails'!T2247</f>
        <v>0</v>
      </c>
    </row>
    <row r="247" spans="1:21" x14ac:dyDescent="0.2">
      <c r="A247" s="369" t="str">
        <f>'PA-Détails'!A2250</f>
        <v>7.10.2 Mise en place du système d’octroi des bourses doctorales locales</v>
      </c>
      <c r="B247" s="446"/>
      <c r="C247" s="386" t="str">
        <f>'PA-Détails'!C2250</f>
        <v>1000 bourses sont attribuées chaque année aux enseignants/chercheurs inscrits dans les écoles doctorales</v>
      </c>
      <c r="D247" s="168">
        <f>'PA-Détails'!D2250</f>
        <v>208.5</v>
      </c>
      <c r="E247" s="168">
        <f>'PA-Détails'!E2250</f>
        <v>250</v>
      </c>
      <c r="F247" s="168">
        <f>'PA-Détails'!F2250</f>
        <v>300</v>
      </c>
      <c r="G247" s="168">
        <f>'PA-Détails'!G2250</f>
        <v>350</v>
      </c>
      <c r="H247" s="168">
        <f>'PA-Détails'!H2250</f>
        <v>400</v>
      </c>
      <c r="I247" s="168">
        <f>'PA-Détails'!I2250</f>
        <v>1508.5</v>
      </c>
      <c r="J247" s="447">
        <f>'PA-Détails'!J2250</f>
        <v>0</v>
      </c>
      <c r="K247" s="36">
        <f>'PA-Détails'!K2250</f>
        <v>0</v>
      </c>
      <c r="L247" s="36">
        <f>'PA-Détails'!L2250</f>
        <v>208500</v>
      </c>
      <c r="M247" s="36">
        <f>'PA-Détails'!M2250</f>
        <v>250000</v>
      </c>
      <c r="N247" s="36">
        <f>'PA-Détails'!N2250</f>
        <v>300000</v>
      </c>
      <c r="O247" s="36">
        <f>'PA-Détails'!O2250</f>
        <v>350000</v>
      </c>
      <c r="P247" s="36">
        <f>'PA-Détails'!P2250</f>
        <v>400000</v>
      </c>
      <c r="Q247" s="429">
        <f>'PA-Détails'!Q2250</f>
        <v>1508500</v>
      </c>
      <c r="R247" s="570"/>
      <c r="S247" s="594">
        <f>'PA-Détails'!S2250</f>
        <v>0</v>
      </c>
      <c r="T247" s="595">
        <f>'PA-Détails'!T2250</f>
        <v>0</v>
      </c>
      <c r="U247" s="586">
        <f>'PA-Détails'!T2250</f>
        <v>0</v>
      </c>
    </row>
    <row r="248" spans="1:21" x14ac:dyDescent="0.2">
      <c r="A248" s="368" t="str">
        <f>'PA-Détails'!A2253</f>
        <v>7.11 Restructuration et réorganisation du Système</v>
      </c>
      <c r="B248" s="444"/>
      <c r="C248" s="385">
        <f>'PA-Détails'!C2253</f>
        <v>0</v>
      </c>
      <c r="D248" s="217">
        <f>'PA-Détails'!D2253</f>
        <v>733.7</v>
      </c>
      <c r="E248" s="217">
        <f>'PA-Détails'!E2253</f>
        <v>2254.85</v>
      </c>
      <c r="F248" s="217">
        <f>'PA-Détails'!F2253</f>
        <v>1684.35</v>
      </c>
      <c r="G248" s="217">
        <f>'PA-Détails'!G2253</f>
        <v>936</v>
      </c>
      <c r="H248" s="217">
        <f>'PA-Détails'!H2253</f>
        <v>936</v>
      </c>
      <c r="I248" s="217">
        <f>'PA-Détails'!I2253</f>
        <v>6544.9</v>
      </c>
      <c r="J248" s="449">
        <f>'PA-Détails'!J2253</f>
        <v>0</v>
      </c>
      <c r="K248" s="32">
        <f>'PA-Détails'!K2253</f>
        <v>0</v>
      </c>
      <c r="L248" s="32">
        <f>'PA-Détails'!L2253</f>
        <v>733700</v>
      </c>
      <c r="M248" s="32">
        <f>'PA-Détails'!M2253</f>
        <v>2254850</v>
      </c>
      <c r="N248" s="32">
        <f>'PA-Détails'!N2253</f>
        <v>1684350</v>
      </c>
      <c r="O248" s="32">
        <f>'PA-Détails'!O2253</f>
        <v>936000</v>
      </c>
      <c r="P248" s="32">
        <f>'PA-Détails'!P2253</f>
        <v>936000</v>
      </c>
      <c r="Q248" s="428">
        <f>'PA-Détails'!Q2253</f>
        <v>6544900</v>
      </c>
      <c r="R248" s="570"/>
      <c r="S248" s="590">
        <f>'PA-Détails'!S2253</f>
        <v>0</v>
      </c>
      <c r="T248" s="596">
        <f>'PA-Détails'!T2253</f>
        <v>3</v>
      </c>
      <c r="U248" s="583">
        <f>'PA-Détails'!T2253</f>
        <v>3</v>
      </c>
    </row>
    <row r="249" spans="1:21" x14ac:dyDescent="0.2">
      <c r="A249" s="369" t="str">
        <f>'PA-Détails'!A2254</f>
        <v xml:space="preserve">7.11.1 Élaboration du cadre normatif susceptible d'arrimer les systèmes d'ESU aux standards internationaux </v>
      </c>
      <c r="B249" s="446"/>
      <c r="C249" s="386">
        <f>'PA-Détails'!C2254</f>
        <v>0</v>
      </c>
      <c r="D249" s="168">
        <f>'PA-Détails'!D2254</f>
        <v>47.85</v>
      </c>
      <c r="E249" s="168">
        <f>'PA-Détails'!E2254</f>
        <v>0</v>
      </c>
      <c r="F249" s="168">
        <f>'PA-Détails'!F2254</f>
        <v>0</v>
      </c>
      <c r="G249" s="168">
        <f>'PA-Détails'!G2254</f>
        <v>0</v>
      </c>
      <c r="H249" s="168">
        <f>'PA-Détails'!H2254</f>
        <v>0</v>
      </c>
      <c r="I249" s="168">
        <f>'PA-Détails'!I2254</f>
        <v>47.85</v>
      </c>
      <c r="J249" s="447">
        <f>'PA-Détails'!J2254</f>
        <v>0</v>
      </c>
      <c r="K249" s="36">
        <f>'PA-Détails'!K2254</f>
        <v>0</v>
      </c>
      <c r="L249" s="36">
        <f>'PA-Détails'!L2254</f>
        <v>47850</v>
      </c>
      <c r="M249" s="36">
        <f>'PA-Détails'!M2254</f>
        <v>0</v>
      </c>
      <c r="N249" s="36">
        <f>'PA-Détails'!N2254</f>
        <v>0</v>
      </c>
      <c r="O249" s="36">
        <f>'PA-Détails'!O2254</f>
        <v>0</v>
      </c>
      <c r="P249" s="36">
        <f>'PA-Détails'!P2254</f>
        <v>0</v>
      </c>
      <c r="Q249" s="429">
        <f>'PA-Détails'!Q2254</f>
        <v>47850</v>
      </c>
      <c r="R249" s="570"/>
      <c r="S249" s="591">
        <f>'PA-Détails'!S2254</f>
        <v>0</v>
      </c>
      <c r="T249" s="597">
        <f>'PA-Détails'!T2254</f>
        <v>0</v>
      </c>
      <c r="U249" s="586">
        <f>'PA-Détails'!T2254</f>
        <v>0</v>
      </c>
    </row>
    <row r="250" spans="1:21" x14ac:dyDescent="0.2">
      <c r="A250" s="369" t="str">
        <f>'PA-Détails'!A2256</f>
        <v xml:space="preserve">7.11.2 Organisation des états généraux de l'ESU </v>
      </c>
      <c r="B250" s="446"/>
      <c r="C250" s="386">
        <f>'PA-Détails'!C2256</f>
        <v>0</v>
      </c>
      <c r="D250" s="168">
        <f>'PA-Détails'!D2256</f>
        <v>234.5</v>
      </c>
      <c r="E250" s="168">
        <f>'PA-Détails'!E2256</f>
        <v>0</v>
      </c>
      <c r="F250" s="168">
        <f>'PA-Détails'!F2256</f>
        <v>0</v>
      </c>
      <c r="G250" s="168">
        <f>'PA-Détails'!G2256</f>
        <v>0</v>
      </c>
      <c r="H250" s="168">
        <f>'PA-Détails'!H2256</f>
        <v>0</v>
      </c>
      <c r="I250" s="168">
        <f>'PA-Détails'!I2256</f>
        <v>234.5</v>
      </c>
      <c r="J250" s="447">
        <f>'PA-Détails'!J2256</f>
        <v>0</v>
      </c>
      <c r="K250" s="36">
        <f>'PA-Détails'!K2256</f>
        <v>0</v>
      </c>
      <c r="L250" s="36">
        <f>'PA-Détails'!L2256</f>
        <v>234500</v>
      </c>
      <c r="M250" s="36">
        <f>'PA-Détails'!M2256</f>
        <v>0</v>
      </c>
      <c r="N250" s="36">
        <f>'PA-Détails'!N2256</f>
        <v>0</v>
      </c>
      <c r="O250" s="36">
        <f>'PA-Détails'!O2256</f>
        <v>0</v>
      </c>
      <c r="P250" s="36">
        <f>'PA-Détails'!P2256</f>
        <v>0</v>
      </c>
      <c r="Q250" s="429">
        <f>'PA-Détails'!Q2256</f>
        <v>234500</v>
      </c>
      <c r="R250" s="570"/>
      <c r="S250" s="591">
        <f>'PA-Détails'!S2256</f>
        <v>0</v>
      </c>
      <c r="T250" s="597">
        <f>'PA-Détails'!T2256</f>
        <v>0</v>
      </c>
      <c r="U250" s="586">
        <f>'PA-Détails'!T2256</f>
        <v>0</v>
      </c>
    </row>
    <row r="251" spans="1:21" x14ac:dyDescent="0.2">
      <c r="A251" s="369" t="str">
        <f>'PA-Détails'!A2258</f>
        <v>7.11.3 Redimensionnement et réorganisation des EES publics</v>
      </c>
      <c r="B251" s="446"/>
      <c r="C251" s="386">
        <f>'PA-Détails'!C2258</f>
        <v>0</v>
      </c>
      <c r="D251" s="168">
        <f>'PA-Détails'!D2258</f>
        <v>106.5</v>
      </c>
      <c r="E251" s="168">
        <f>'PA-Détails'!E2258</f>
        <v>0</v>
      </c>
      <c r="F251" s="168">
        <f>'PA-Détails'!F2258</f>
        <v>0</v>
      </c>
      <c r="G251" s="168">
        <f>'PA-Détails'!G2258</f>
        <v>0</v>
      </c>
      <c r="H251" s="168">
        <f>'PA-Détails'!H2258</f>
        <v>0</v>
      </c>
      <c r="I251" s="168">
        <f>'PA-Détails'!I2258</f>
        <v>106.5</v>
      </c>
      <c r="J251" s="447">
        <f>'PA-Détails'!J2258</f>
        <v>0</v>
      </c>
      <c r="K251" s="36">
        <f>'PA-Détails'!K2258</f>
        <v>0</v>
      </c>
      <c r="L251" s="36">
        <f>'PA-Détails'!L2258</f>
        <v>106500</v>
      </c>
      <c r="M251" s="36">
        <f>'PA-Détails'!M2258</f>
        <v>0</v>
      </c>
      <c r="N251" s="36">
        <f>'PA-Détails'!N2258</f>
        <v>0</v>
      </c>
      <c r="O251" s="36">
        <f>'PA-Détails'!O2258</f>
        <v>0</v>
      </c>
      <c r="P251" s="36">
        <f>'PA-Détails'!P2258</f>
        <v>0</v>
      </c>
      <c r="Q251" s="429">
        <f>'PA-Détails'!Q2258</f>
        <v>106500</v>
      </c>
      <c r="R251" s="570"/>
      <c r="S251" s="591">
        <f>'PA-Détails'!S2258</f>
        <v>0</v>
      </c>
      <c r="T251" s="597">
        <f>'PA-Détails'!T2258</f>
        <v>0</v>
      </c>
      <c r="U251" s="586">
        <f>'PA-Détails'!T2258</f>
        <v>0</v>
      </c>
    </row>
    <row r="252" spans="1:21" x14ac:dyDescent="0.2">
      <c r="A252" s="369" t="str">
        <f>'PA-Détails'!A2260</f>
        <v>7.11.4 Renforcement des audits internes et externes de la gestion des EES</v>
      </c>
      <c r="B252" s="446"/>
      <c r="C252" s="386">
        <f>'PA-Détails'!C2260</f>
        <v>0</v>
      </c>
      <c r="D252" s="168">
        <f>'PA-Détails'!D2260</f>
        <v>13.35</v>
      </c>
      <c r="E252" s="168">
        <f>'PA-Détails'!E2260</f>
        <v>21</v>
      </c>
      <c r="F252" s="168">
        <f>'PA-Détails'!F2260</f>
        <v>0</v>
      </c>
      <c r="G252" s="168">
        <f>'PA-Détails'!G2260</f>
        <v>0</v>
      </c>
      <c r="H252" s="168">
        <f>'PA-Détails'!H2260</f>
        <v>0</v>
      </c>
      <c r="I252" s="168">
        <f>'PA-Détails'!I2260</f>
        <v>34.35</v>
      </c>
      <c r="J252" s="447">
        <f>'PA-Détails'!J2260</f>
        <v>0</v>
      </c>
      <c r="K252" s="36">
        <f>'PA-Détails'!K2260</f>
        <v>0</v>
      </c>
      <c r="L252" s="36">
        <f>'PA-Détails'!L2260</f>
        <v>13350</v>
      </c>
      <c r="M252" s="36">
        <f>'PA-Détails'!M2260</f>
        <v>21000</v>
      </c>
      <c r="N252" s="36">
        <f>'PA-Détails'!N2260</f>
        <v>0</v>
      </c>
      <c r="O252" s="36">
        <f>'PA-Détails'!O2260</f>
        <v>0</v>
      </c>
      <c r="P252" s="36">
        <f>'PA-Détails'!P2260</f>
        <v>0</v>
      </c>
      <c r="Q252" s="429">
        <f>'PA-Détails'!Q2260</f>
        <v>34350</v>
      </c>
      <c r="R252" s="570"/>
      <c r="S252" s="591">
        <f>'PA-Détails'!S2260</f>
        <v>0</v>
      </c>
      <c r="T252" s="597">
        <f>'PA-Détails'!T2260</f>
        <v>0</v>
      </c>
      <c r="U252" s="586">
        <f>'PA-Détails'!T2260</f>
        <v>0</v>
      </c>
    </row>
    <row r="253" spans="1:21" x14ac:dyDescent="0.2">
      <c r="A253" s="369" t="str">
        <f>'PA-Détails'!A2263</f>
        <v xml:space="preserve">7.11.5 Poursuite des Audits Organisationnels et enquête de viabilité ainsi que des contrôles de scolarité </v>
      </c>
      <c r="B253" s="446"/>
      <c r="C253" s="386" t="str">
        <f>'PA-Détails'!C2263</f>
        <v>En 2025 tous les EES ont fait l'objet d'audits organisationnels de viabilité et de la scolarité</v>
      </c>
      <c r="D253" s="168">
        <f>'PA-Détails'!D2263</f>
        <v>331.5</v>
      </c>
      <c r="E253" s="168">
        <f>'PA-Détails'!E2263</f>
        <v>2233.85</v>
      </c>
      <c r="F253" s="168">
        <f>'PA-Détails'!F2263</f>
        <v>1684.35</v>
      </c>
      <c r="G253" s="168">
        <f>'PA-Détails'!G2263</f>
        <v>936</v>
      </c>
      <c r="H253" s="168">
        <f>'PA-Détails'!H2263</f>
        <v>936</v>
      </c>
      <c r="I253" s="168">
        <f>'PA-Détails'!I2263</f>
        <v>6121.7</v>
      </c>
      <c r="J253" s="447">
        <f>'PA-Détails'!J2263</f>
        <v>0</v>
      </c>
      <c r="K253" s="36">
        <f>'PA-Détails'!K2263</f>
        <v>0</v>
      </c>
      <c r="L253" s="36">
        <f>'PA-Détails'!L2263</f>
        <v>331500</v>
      </c>
      <c r="M253" s="36">
        <f>'PA-Détails'!M2263</f>
        <v>2233850</v>
      </c>
      <c r="N253" s="36">
        <f>'PA-Détails'!N2263</f>
        <v>1684350</v>
      </c>
      <c r="O253" s="36">
        <f>'PA-Détails'!O2263</f>
        <v>936000</v>
      </c>
      <c r="P253" s="36">
        <f>'PA-Détails'!P2263</f>
        <v>936000</v>
      </c>
      <c r="Q253" s="429">
        <f>'PA-Détails'!Q2263</f>
        <v>6121700</v>
      </c>
      <c r="R253" s="570"/>
      <c r="S253" s="591">
        <f>'PA-Détails'!S2263</f>
        <v>0</v>
      </c>
      <c r="T253" s="597">
        <f>'PA-Détails'!T2263</f>
        <v>0</v>
      </c>
      <c r="U253" s="586">
        <f>'PA-Détails'!T2263</f>
        <v>0</v>
      </c>
    </row>
    <row r="254" spans="1:21" x14ac:dyDescent="0.2">
      <c r="A254" s="368" t="str">
        <f>'PA-Détails'!A2268</f>
        <v>7.12 Renforcement du Système d’information pour la Planification Stratégique et la Gestion axée sur les résultats : Promouvoir la planification stratégique et la gestion axée sur les résultats</v>
      </c>
      <c r="B254" s="460"/>
      <c r="C254" s="385">
        <f>'PA-Détails'!C2268</f>
        <v>0</v>
      </c>
      <c r="D254" s="217">
        <f>'PA-Détails'!D2268</f>
        <v>160.30000000000001</v>
      </c>
      <c r="E254" s="217">
        <f>'PA-Détails'!E2268</f>
        <v>4086.05</v>
      </c>
      <c r="F254" s="217">
        <f>'PA-Détails'!F2268</f>
        <v>2666.95</v>
      </c>
      <c r="G254" s="217">
        <f>'PA-Détails'!G2268</f>
        <v>865.5</v>
      </c>
      <c r="H254" s="217">
        <f>'PA-Détails'!H2268</f>
        <v>800</v>
      </c>
      <c r="I254" s="217">
        <f>'PA-Détails'!I2268</f>
        <v>8578.7999999999993</v>
      </c>
      <c r="J254" s="449">
        <f>'PA-Détails'!J2268</f>
        <v>0</v>
      </c>
      <c r="K254" s="32">
        <f>'PA-Détails'!K2268</f>
        <v>0</v>
      </c>
      <c r="L254" s="32">
        <f>'PA-Détails'!L2268</f>
        <v>160300</v>
      </c>
      <c r="M254" s="32">
        <f>'PA-Détails'!M2268</f>
        <v>4086050</v>
      </c>
      <c r="N254" s="32">
        <f>'PA-Détails'!N2268</f>
        <v>2666950</v>
      </c>
      <c r="O254" s="32">
        <f>'PA-Détails'!O2268</f>
        <v>865500</v>
      </c>
      <c r="P254" s="32">
        <f>'PA-Détails'!P2268</f>
        <v>800000</v>
      </c>
      <c r="Q254" s="428">
        <f>'PA-Détails'!Q2268</f>
        <v>8578800</v>
      </c>
      <c r="R254" s="570"/>
      <c r="S254" s="590">
        <f>'PA-Détails'!S2268</f>
        <v>0</v>
      </c>
      <c r="T254" s="596">
        <f>'PA-Détails'!T2268</f>
        <v>3</v>
      </c>
      <c r="U254" s="583">
        <f>'PA-Détails'!T2268</f>
        <v>3</v>
      </c>
    </row>
    <row r="255" spans="1:21" x14ac:dyDescent="0.2">
      <c r="A255" s="369" t="str">
        <f>'PA-Détails'!A2269</f>
        <v xml:space="preserve">7.12.1 Consolidation du système d’information et de gestion de l’enseignement supérieur </v>
      </c>
      <c r="B255" s="446"/>
      <c r="C255" s="386">
        <f>'PA-Détails'!C2269</f>
        <v>0</v>
      </c>
      <c r="D255" s="168">
        <f>'PA-Détails'!D2269</f>
        <v>160.30000000000001</v>
      </c>
      <c r="E255" s="168">
        <f>'PA-Détails'!E2269</f>
        <v>2083.9499999999998</v>
      </c>
      <c r="F255" s="168">
        <f>'PA-Détails'!F2269</f>
        <v>683.95</v>
      </c>
      <c r="G255" s="168">
        <f>'PA-Détails'!G2269</f>
        <v>0</v>
      </c>
      <c r="H255" s="168">
        <f>'PA-Détails'!H2269</f>
        <v>0</v>
      </c>
      <c r="I255" s="168">
        <f>'PA-Détails'!I2269</f>
        <v>2928.2</v>
      </c>
      <c r="J255" s="447">
        <f>'PA-Détails'!J2269</f>
        <v>0</v>
      </c>
      <c r="K255" s="36">
        <f>'PA-Détails'!K2269</f>
        <v>0</v>
      </c>
      <c r="L255" s="36">
        <f>'PA-Détails'!L2269</f>
        <v>160300</v>
      </c>
      <c r="M255" s="36">
        <f>'PA-Détails'!M2269</f>
        <v>2083950</v>
      </c>
      <c r="N255" s="36">
        <f>'PA-Détails'!N2269</f>
        <v>683950</v>
      </c>
      <c r="O255" s="36">
        <f>'PA-Détails'!O2269</f>
        <v>0</v>
      </c>
      <c r="P255" s="36">
        <f>'PA-Détails'!P2269</f>
        <v>0</v>
      </c>
      <c r="Q255" s="429">
        <f>'PA-Détails'!Q2269</f>
        <v>2928200</v>
      </c>
      <c r="R255" s="570"/>
      <c r="S255" s="591">
        <f>'PA-Détails'!S2269</f>
        <v>0</v>
      </c>
      <c r="T255" s="597">
        <f>'PA-Détails'!T2269</f>
        <v>0</v>
      </c>
      <c r="U255" s="586">
        <f>'PA-Détails'!T2269</f>
        <v>0</v>
      </c>
    </row>
    <row r="256" spans="1:21" x14ac:dyDescent="0.2">
      <c r="A256" s="369" t="str">
        <f>'PA-Détails'!A2273</f>
        <v>7.12.2 Amélioration des infrastructures et équipements des structures de planification</v>
      </c>
      <c r="B256" s="446"/>
      <c r="C256" s="386">
        <f>'PA-Détails'!C2273</f>
        <v>0</v>
      </c>
      <c r="D256" s="168">
        <f>'PA-Détails'!D2273</f>
        <v>0</v>
      </c>
      <c r="E256" s="168">
        <f>'PA-Détails'!E2273</f>
        <v>1196.0999999999999</v>
      </c>
      <c r="F256" s="168">
        <f>'PA-Détails'!F2273</f>
        <v>1183</v>
      </c>
      <c r="G256" s="168">
        <f>'PA-Détails'!G2273</f>
        <v>65.5</v>
      </c>
      <c r="H256" s="168">
        <f>'PA-Détails'!H2273</f>
        <v>0</v>
      </c>
      <c r="I256" s="168">
        <f>'PA-Détails'!I2273</f>
        <v>2444.6</v>
      </c>
      <c r="J256" s="447">
        <f>'PA-Détails'!J2273</f>
        <v>0</v>
      </c>
      <c r="K256" s="36">
        <f>'PA-Détails'!K2273</f>
        <v>0</v>
      </c>
      <c r="L256" s="36">
        <f>'PA-Détails'!L2273</f>
        <v>0</v>
      </c>
      <c r="M256" s="36">
        <f>'PA-Détails'!M2273</f>
        <v>1196100</v>
      </c>
      <c r="N256" s="36">
        <f>'PA-Détails'!N2273</f>
        <v>1183000</v>
      </c>
      <c r="O256" s="36">
        <f>'PA-Détails'!O2273</f>
        <v>65500</v>
      </c>
      <c r="P256" s="36">
        <f>'PA-Détails'!P2273</f>
        <v>0</v>
      </c>
      <c r="Q256" s="429">
        <f>'PA-Détails'!Q2273</f>
        <v>2444600</v>
      </c>
      <c r="R256" s="570"/>
      <c r="S256" s="591">
        <f>'PA-Détails'!S2273</f>
        <v>0</v>
      </c>
      <c r="T256" s="597">
        <f>'PA-Détails'!T2273</f>
        <v>0</v>
      </c>
      <c r="U256" s="586">
        <f>'PA-Détails'!T2273</f>
        <v>0</v>
      </c>
    </row>
    <row r="257" spans="1:25" x14ac:dyDescent="0.2">
      <c r="A257" s="369" t="str">
        <f>'PA-Détails'!A2277</f>
        <v>7.12.3 Promotion d’une culture statistique, de planification stratégique et de la gestion axée sur les résultats</v>
      </c>
      <c r="B257" s="446"/>
      <c r="C257" s="386">
        <f>'PA-Détails'!C2277</f>
        <v>0</v>
      </c>
      <c r="D257" s="168">
        <f>'PA-Détails'!D2277</f>
        <v>0</v>
      </c>
      <c r="E257" s="168">
        <f>'PA-Détails'!E2277</f>
        <v>806</v>
      </c>
      <c r="F257" s="168">
        <f>'PA-Détails'!F2277</f>
        <v>800</v>
      </c>
      <c r="G257" s="168">
        <f>'PA-Détails'!G2277</f>
        <v>800</v>
      </c>
      <c r="H257" s="168">
        <f>'PA-Détails'!H2277</f>
        <v>800</v>
      </c>
      <c r="I257" s="168">
        <f>'PA-Détails'!I2277</f>
        <v>3206</v>
      </c>
      <c r="J257" s="447">
        <f>'PA-Détails'!J2277</f>
        <v>0</v>
      </c>
      <c r="K257" s="36">
        <f>'PA-Détails'!K2277</f>
        <v>0</v>
      </c>
      <c r="L257" s="36">
        <f>'PA-Détails'!L2277</f>
        <v>0</v>
      </c>
      <c r="M257" s="36">
        <f>'PA-Détails'!M2277</f>
        <v>806000</v>
      </c>
      <c r="N257" s="36">
        <f>'PA-Détails'!N2277</f>
        <v>800000</v>
      </c>
      <c r="O257" s="36">
        <f>'PA-Détails'!O2277</f>
        <v>800000</v>
      </c>
      <c r="P257" s="36">
        <f>'PA-Détails'!P2277</f>
        <v>800000</v>
      </c>
      <c r="Q257" s="429">
        <f>'PA-Détails'!Q2277</f>
        <v>3206000</v>
      </c>
      <c r="R257" s="570"/>
      <c r="S257" s="591">
        <f>'PA-Détails'!S2277</f>
        <v>0</v>
      </c>
      <c r="T257" s="597">
        <f>'PA-Détails'!T2277</f>
        <v>0</v>
      </c>
      <c r="U257" s="586">
        <f>'PA-Détails'!T2277</f>
        <v>0</v>
      </c>
    </row>
    <row r="258" spans="1:25" x14ac:dyDescent="0.2">
      <c r="A258" s="368" t="str">
        <f>'PA-Détails'!A2279</f>
        <v>7.13. Renforcement des outils de bonne Gouvernance : Promouvoir la bonne gouvernance dans les EES</v>
      </c>
      <c r="B258" s="444"/>
      <c r="C258" s="385">
        <f>'PA-Détails'!C2279</f>
        <v>0</v>
      </c>
      <c r="D258" s="217">
        <f>'PA-Détails'!D2279</f>
        <v>98.75</v>
      </c>
      <c r="E258" s="217">
        <f>'PA-Détails'!E2279</f>
        <v>127</v>
      </c>
      <c r="F258" s="217">
        <f>'PA-Détails'!F2279</f>
        <v>14.5</v>
      </c>
      <c r="G258" s="217">
        <f>'PA-Détails'!G2279</f>
        <v>8.5</v>
      </c>
      <c r="H258" s="217">
        <f>'PA-Détails'!H2279</f>
        <v>8.5</v>
      </c>
      <c r="I258" s="217">
        <f>'PA-Détails'!I2279</f>
        <v>257.25</v>
      </c>
      <c r="J258" s="449">
        <f>'PA-Détails'!J2279</f>
        <v>0</v>
      </c>
      <c r="K258" s="32">
        <f>'PA-Détails'!K2279</f>
        <v>0</v>
      </c>
      <c r="L258" s="32">
        <f>'PA-Détails'!L2279</f>
        <v>98750</v>
      </c>
      <c r="M258" s="32">
        <f>'PA-Détails'!M2279</f>
        <v>127000</v>
      </c>
      <c r="N258" s="32">
        <f>'PA-Détails'!N2279</f>
        <v>14500</v>
      </c>
      <c r="O258" s="32">
        <f>'PA-Détails'!O2279</f>
        <v>8500</v>
      </c>
      <c r="P258" s="32">
        <f>'PA-Détails'!P2279</f>
        <v>8500</v>
      </c>
      <c r="Q258" s="428">
        <f>'PA-Détails'!Q2279</f>
        <v>257250</v>
      </c>
      <c r="R258" s="570"/>
      <c r="S258" s="590">
        <f>'PA-Détails'!S2279</f>
        <v>0</v>
      </c>
      <c r="T258" s="596">
        <f>'PA-Détails'!T2279</f>
        <v>3</v>
      </c>
      <c r="U258" s="583">
        <f>'PA-Détails'!T2279</f>
        <v>3</v>
      </c>
    </row>
    <row r="259" spans="1:25" x14ac:dyDescent="0.2">
      <c r="A259" s="369" t="str">
        <f>'PA-Détails'!A2280</f>
        <v>7.13.1 Simplification du cadre juridique et administratif</v>
      </c>
      <c r="B259" s="446"/>
      <c r="C259" s="386">
        <f>'PA-Détails'!C2280</f>
        <v>0</v>
      </c>
      <c r="D259" s="168">
        <f>'PA-Détails'!D2280</f>
        <v>30</v>
      </c>
      <c r="E259" s="168">
        <f>'PA-Détails'!E2280</f>
        <v>0</v>
      </c>
      <c r="F259" s="168">
        <f>'PA-Détails'!F2280</f>
        <v>0</v>
      </c>
      <c r="G259" s="168">
        <f>'PA-Détails'!G2280</f>
        <v>0</v>
      </c>
      <c r="H259" s="168">
        <f>'PA-Détails'!H2280</f>
        <v>0</v>
      </c>
      <c r="I259" s="168">
        <f>'PA-Détails'!I2280</f>
        <v>30</v>
      </c>
      <c r="J259" s="447">
        <f>'PA-Détails'!J2280</f>
        <v>0</v>
      </c>
      <c r="K259" s="36">
        <f>'PA-Détails'!K2280</f>
        <v>0</v>
      </c>
      <c r="L259" s="36">
        <f>'PA-Détails'!L2280</f>
        <v>30000</v>
      </c>
      <c r="M259" s="36">
        <f>'PA-Détails'!M2280</f>
        <v>0</v>
      </c>
      <c r="N259" s="36">
        <f>'PA-Détails'!N2280</f>
        <v>0</v>
      </c>
      <c r="O259" s="36">
        <f>'PA-Détails'!O2280</f>
        <v>0</v>
      </c>
      <c r="P259" s="36">
        <f>'PA-Détails'!P2280</f>
        <v>0</v>
      </c>
      <c r="Q259" s="429">
        <f>'PA-Détails'!Q2280</f>
        <v>30000</v>
      </c>
      <c r="R259" s="570"/>
      <c r="S259" s="599">
        <f>'PA-Détails'!S2280</f>
        <v>0</v>
      </c>
      <c r="T259" s="600">
        <f>'PA-Détails'!T2280</f>
        <v>0</v>
      </c>
      <c r="U259" s="601">
        <f>'PA-Détails'!T2280</f>
        <v>0</v>
      </c>
    </row>
    <row r="260" spans="1:25" x14ac:dyDescent="0.2">
      <c r="A260" s="369" t="str">
        <f>'PA-Détails'!A2282</f>
        <v>7.13.2 Mise en place des instruments de gestion académique, financière et administrative dans les EES</v>
      </c>
      <c r="B260" s="446"/>
      <c r="C260" s="386">
        <f>'PA-Détails'!C2282</f>
        <v>0</v>
      </c>
      <c r="D260" s="168">
        <f>'PA-Détails'!D2282</f>
        <v>38.75</v>
      </c>
      <c r="E260" s="168">
        <f>'PA-Détails'!E2282</f>
        <v>93</v>
      </c>
      <c r="F260" s="168">
        <f>'PA-Détails'!F2282</f>
        <v>3</v>
      </c>
      <c r="G260" s="168">
        <f>'PA-Détails'!G2282</f>
        <v>3</v>
      </c>
      <c r="H260" s="168">
        <f>'PA-Détails'!H2282</f>
        <v>3</v>
      </c>
      <c r="I260" s="168">
        <f>'PA-Détails'!I2282</f>
        <v>140.75</v>
      </c>
      <c r="J260" s="447">
        <f>'PA-Détails'!J2282</f>
        <v>0</v>
      </c>
      <c r="K260" s="36">
        <f>'PA-Détails'!K2282</f>
        <v>0</v>
      </c>
      <c r="L260" s="36">
        <f>'PA-Détails'!L2282</f>
        <v>38750</v>
      </c>
      <c r="M260" s="36">
        <f>'PA-Détails'!M2282</f>
        <v>93000</v>
      </c>
      <c r="N260" s="36">
        <f>'PA-Détails'!N2282</f>
        <v>3000</v>
      </c>
      <c r="O260" s="36">
        <f>'PA-Détails'!O2282</f>
        <v>3000</v>
      </c>
      <c r="P260" s="36">
        <f>'PA-Détails'!P2282</f>
        <v>3000</v>
      </c>
      <c r="Q260" s="429">
        <f>'PA-Détails'!Q2282</f>
        <v>140750</v>
      </c>
      <c r="R260" s="570"/>
      <c r="S260" s="599">
        <f>'PA-Détails'!S2282</f>
        <v>0</v>
      </c>
      <c r="T260" s="600">
        <f>'PA-Détails'!T2282</f>
        <v>0</v>
      </c>
      <c r="U260" s="601">
        <f>'PA-Détails'!T2282</f>
        <v>0</v>
      </c>
    </row>
    <row r="261" spans="1:25" x14ac:dyDescent="0.2">
      <c r="A261" s="369" t="str">
        <f>'PA-Détails'!A2285</f>
        <v>7.13.3 Mise en place des mécanismes d’évaluation externe</v>
      </c>
      <c r="B261" s="446"/>
      <c r="C261" s="386" t="str">
        <f>'PA-Détails'!C2285</f>
        <v>En 2025, les mécanismes de participation des partenaires externes à la gestion des EES publics sont en place</v>
      </c>
      <c r="D261" s="168">
        <f>'PA-Détails'!D2285</f>
        <v>0</v>
      </c>
      <c r="E261" s="168">
        <f>'PA-Détails'!E2285</f>
        <v>0</v>
      </c>
      <c r="F261" s="168">
        <f>'PA-Détails'!F2285</f>
        <v>11.5</v>
      </c>
      <c r="G261" s="168">
        <f>'PA-Détails'!G2285</f>
        <v>5.5</v>
      </c>
      <c r="H261" s="168">
        <f>'PA-Détails'!H2285</f>
        <v>5.5</v>
      </c>
      <c r="I261" s="168">
        <f>'PA-Détails'!I2285</f>
        <v>22.5</v>
      </c>
      <c r="J261" s="447">
        <f>'PA-Détails'!J2285</f>
        <v>0</v>
      </c>
      <c r="K261" s="36">
        <f>'PA-Détails'!K2285</f>
        <v>0</v>
      </c>
      <c r="L261" s="36">
        <f>'PA-Détails'!L2285</f>
        <v>0</v>
      </c>
      <c r="M261" s="36">
        <f>'PA-Détails'!M2285</f>
        <v>0</v>
      </c>
      <c r="N261" s="36">
        <f>'PA-Détails'!N2285</f>
        <v>11500</v>
      </c>
      <c r="O261" s="36">
        <f>'PA-Détails'!O2285</f>
        <v>5500</v>
      </c>
      <c r="P261" s="36">
        <f>'PA-Détails'!P2285</f>
        <v>5500</v>
      </c>
      <c r="Q261" s="429">
        <f>'PA-Détails'!Q2285</f>
        <v>22500</v>
      </c>
      <c r="R261" s="570"/>
      <c r="S261" s="599">
        <f>'PA-Détails'!S2285</f>
        <v>0</v>
      </c>
      <c r="T261" s="600">
        <f>'PA-Détails'!T2285</f>
        <v>0</v>
      </c>
      <c r="U261" s="601">
        <f>'PA-Détails'!T2285</f>
        <v>0</v>
      </c>
    </row>
    <row r="262" spans="1:25" x14ac:dyDescent="0.2">
      <c r="A262" s="369" t="str">
        <f>'PA-Détails'!A2287</f>
        <v>7.13.4 Mise en place des contrats de performances avec les EES</v>
      </c>
      <c r="B262" s="446"/>
      <c r="C262" s="386">
        <f>'PA-Détails'!C2287</f>
        <v>0</v>
      </c>
      <c r="D262" s="168">
        <f>'PA-Détails'!D2287</f>
        <v>30</v>
      </c>
      <c r="E262" s="168">
        <f>'PA-Détails'!E2287</f>
        <v>34</v>
      </c>
      <c r="F262" s="168">
        <f>'PA-Détails'!F2287</f>
        <v>0</v>
      </c>
      <c r="G262" s="168">
        <f>'PA-Détails'!G2287</f>
        <v>0</v>
      </c>
      <c r="H262" s="168">
        <f>'PA-Détails'!H2287</f>
        <v>0</v>
      </c>
      <c r="I262" s="168">
        <f>'PA-Détails'!I2287</f>
        <v>64</v>
      </c>
      <c r="J262" s="447">
        <f>'PA-Détails'!J2287</f>
        <v>0</v>
      </c>
      <c r="K262" s="36">
        <f>'PA-Détails'!K2287</f>
        <v>0</v>
      </c>
      <c r="L262" s="36">
        <f>'PA-Détails'!L2287</f>
        <v>30000</v>
      </c>
      <c r="M262" s="36">
        <f>'PA-Détails'!M2287</f>
        <v>34000</v>
      </c>
      <c r="N262" s="36">
        <f>'PA-Détails'!N2287</f>
        <v>0</v>
      </c>
      <c r="O262" s="36">
        <f>'PA-Détails'!O2287</f>
        <v>0</v>
      </c>
      <c r="P262" s="36">
        <f>'PA-Détails'!P2287</f>
        <v>0</v>
      </c>
      <c r="Q262" s="429">
        <f>'PA-Détails'!Q2287</f>
        <v>64000</v>
      </c>
      <c r="R262" s="570"/>
      <c r="S262" s="602">
        <f>'PA-Détails'!S2287</f>
        <v>0</v>
      </c>
      <c r="T262" s="600">
        <f>'PA-Détails'!T2287</f>
        <v>0</v>
      </c>
      <c r="U262" s="601">
        <f>'PA-Détails'!T2287</f>
        <v>0</v>
      </c>
    </row>
    <row r="263" spans="1:25" x14ac:dyDescent="0.2">
      <c r="A263" s="441" t="str">
        <f>'PA-Détails'!A2289</f>
        <v>8. Gestion, pilotage et évaluation du système éducatif : Renforcer les capacités de gestion des ministères en charge de l'éducation et assurer le pilotage et le suivi-évaluation du système</v>
      </c>
      <c r="B263" s="442"/>
      <c r="C263" s="391">
        <f>'PA-Détails'!C2289</f>
        <v>0</v>
      </c>
      <c r="D263" s="339">
        <f>'PA-Détails'!D2289</f>
        <v>121076.2</v>
      </c>
      <c r="E263" s="339">
        <f>'PA-Détails'!E2289</f>
        <v>131917.95300000001</v>
      </c>
      <c r="F263" s="339">
        <f>'PA-Détails'!F2289</f>
        <v>143217.31299999999</v>
      </c>
      <c r="G263" s="339">
        <f>'PA-Détails'!G2289</f>
        <v>159198.63</v>
      </c>
      <c r="H263" s="339">
        <f>'PA-Détails'!H2289</f>
        <v>178477.69</v>
      </c>
      <c r="I263" s="339">
        <f>'PA-Détails'!I2289</f>
        <v>733887.78599999996</v>
      </c>
      <c r="J263" s="451">
        <f>'PA-Détails'!J2289</f>
        <v>0</v>
      </c>
      <c r="K263" s="29">
        <f>'PA-Détails'!K2289</f>
        <v>0</v>
      </c>
      <c r="L263" s="29">
        <f>'PA-Détails'!L2289</f>
        <v>121076200</v>
      </c>
      <c r="M263" s="29">
        <f>'PA-Détails'!M2289</f>
        <v>131917953</v>
      </c>
      <c r="N263" s="29">
        <f>'PA-Détails'!N2289</f>
        <v>143217313</v>
      </c>
      <c r="O263" s="29">
        <f>'PA-Détails'!O2289</f>
        <v>159198630</v>
      </c>
      <c r="P263" s="29">
        <f>'PA-Détails'!P2289</f>
        <v>178477690</v>
      </c>
      <c r="Q263" s="430">
        <f>'PA-Détails'!Q2289</f>
        <v>733887786</v>
      </c>
      <c r="R263" s="570"/>
      <c r="S263" s="603">
        <f>'PA-Détails'!S2289</f>
        <v>0</v>
      </c>
      <c r="T263" s="604">
        <f>'PA-Détails'!T2289</f>
        <v>0</v>
      </c>
      <c r="U263" s="580">
        <f>'PA-Détails'!T2289</f>
        <v>0</v>
      </c>
    </row>
    <row r="264" spans="1:25" x14ac:dyDescent="0.2">
      <c r="A264" s="368" t="str">
        <f>'PA-Détails'!A2290</f>
        <v>8.1 Moyens des services administratifs : Moyens des services administratifs</v>
      </c>
      <c r="B264" s="444"/>
      <c r="C264" s="385">
        <f>'PA-Détails'!C2290</f>
        <v>0</v>
      </c>
      <c r="D264" s="217">
        <f>'PA-Détails'!D2290</f>
        <v>19338.72</v>
      </c>
      <c r="E264" s="217">
        <f>'PA-Détails'!E2290</f>
        <v>21333.51</v>
      </c>
      <c r="F264" s="217">
        <f>'PA-Détails'!F2290</f>
        <v>22424.37</v>
      </c>
      <c r="G264" s="217">
        <f>'PA-Détails'!G2290</f>
        <v>23686.5</v>
      </c>
      <c r="H264" s="217">
        <f>'PA-Détails'!H2290</f>
        <v>24990.16</v>
      </c>
      <c r="I264" s="217">
        <f>'PA-Détails'!I2290</f>
        <v>111773.26</v>
      </c>
      <c r="J264" s="449">
        <f>'PA-Détails'!J2290</f>
        <v>0</v>
      </c>
      <c r="K264" s="32">
        <f>'PA-Détails'!K2290</f>
        <v>0</v>
      </c>
      <c r="L264" s="32">
        <f>'PA-Détails'!L2290</f>
        <v>19338720</v>
      </c>
      <c r="M264" s="32">
        <f>'PA-Détails'!M2290</f>
        <v>21333510</v>
      </c>
      <c r="N264" s="32">
        <f>'PA-Détails'!N2290</f>
        <v>22424370</v>
      </c>
      <c r="O264" s="32">
        <f>'PA-Détails'!O2290</f>
        <v>23686500</v>
      </c>
      <c r="P264" s="32">
        <f>'PA-Détails'!P2290</f>
        <v>24990160</v>
      </c>
      <c r="Q264" s="428">
        <f>'PA-Détails'!Q2290</f>
        <v>111773260</v>
      </c>
      <c r="R264" s="570"/>
      <c r="S264" s="590">
        <f>'PA-Détails'!S2290</f>
        <v>0</v>
      </c>
      <c r="T264" s="596">
        <f>'PA-Détails'!T2290</f>
        <v>3</v>
      </c>
      <c r="U264" s="583">
        <f>'PA-Détails'!T2290</f>
        <v>3</v>
      </c>
    </row>
    <row r="265" spans="1:25" s="162" customFormat="1" x14ac:dyDescent="0.2">
      <c r="A265" s="370" t="str">
        <f>'PA-Détails'!A2291</f>
        <v>8.1.1 Rémunérations</v>
      </c>
      <c r="B265" s="452"/>
      <c r="C265" s="389" t="str">
        <f>'PA-Détails'!C2291</f>
        <v>Les services gestionnaires ont les ressources suffisantes pour un fonctionnement efficace</v>
      </c>
      <c r="D265" s="168">
        <f>'PA-Détails'!D2291</f>
        <v>9664.69</v>
      </c>
      <c r="E265" s="168">
        <f>'PA-Détails'!E2291</f>
        <v>10961.35</v>
      </c>
      <c r="F265" s="168">
        <f>'PA-Détails'!F2291</f>
        <v>11180.58</v>
      </c>
      <c r="G265" s="168">
        <f>'PA-Détails'!G2291</f>
        <v>11404.19</v>
      </c>
      <c r="H265" s="168">
        <f>'PA-Détails'!H2291</f>
        <v>11632.28</v>
      </c>
      <c r="I265" s="168">
        <f>'PA-Détails'!I2291</f>
        <v>54843.09</v>
      </c>
      <c r="J265" s="389">
        <f>'PA-Détails'!J2291</f>
        <v>0</v>
      </c>
      <c r="K265" s="168">
        <f>'PA-Détails'!K2291</f>
        <v>0</v>
      </c>
      <c r="L265" s="168">
        <f>'PA-Détails'!L2291</f>
        <v>9664690</v>
      </c>
      <c r="M265" s="168">
        <f>'PA-Détails'!M2291</f>
        <v>10961350</v>
      </c>
      <c r="N265" s="168">
        <f>'PA-Détails'!N2291</f>
        <v>11180580</v>
      </c>
      <c r="O265" s="168">
        <f>'PA-Détails'!O2291</f>
        <v>11404190</v>
      </c>
      <c r="P265" s="168">
        <f>'PA-Détails'!P2291</f>
        <v>11632280</v>
      </c>
      <c r="Q265" s="432">
        <f>'PA-Détails'!Q2291</f>
        <v>54843090</v>
      </c>
      <c r="R265" s="570"/>
      <c r="S265" s="591">
        <f>'PA-Détails'!S2291</f>
        <v>0</v>
      </c>
      <c r="T265" s="597">
        <f>'PA-Détails'!T2291</f>
        <v>0</v>
      </c>
      <c r="U265" s="586">
        <f>'PA-Détails'!T2291</f>
        <v>0</v>
      </c>
      <c r="V265" s="572"/>
      <c r="W265" s="572"/>
      <c r="X265" s="572"/>
      <c r="Y265" s="572"/>
    </row>
    <row r="266" spans="1:25" s="162" customFormat="1" x14ac:dyDescent="0.2">
      <c r="A266" s="370" t="str">
        <f>'PA-Détails'!A2296</f>
        <v>8.1.2 Autres dépenses de fonctionnement</v>
      </c>
      <c r="B266" s="452"/>
      <c r="C266" s="389">
        <f>'PA-Détails'!C2296</f>
        <v>0</v>
      </c>
      <c r="D266" s="168">
        <f>'PA-Détails'!D2296</f>
        <v>2698.17</v>
      </c>
      <c r="E266" s="168">
        <f>'PA-Détails'!E2296</f>
        <v>2740.99</v>
      </c>
      <c r="F266" s="168">
        <f>'PA-Détails'!F2296</f>
        <v>2784.68</v>
      </c>
      <c r="G266" s="168">
        <f>'PA-Détails'!G2296</f>
        <v>2829.22</v>
      </c>
      <c r="H266" s="168">
        <f>'PA-Détails'!H2296</f>
        <v>2874.67</v>
      </c>
      <c r="I266" s="168">
        <f>'PA-Détails'!I2296</f>
        <v>13927.73</v>
      </c>
      <c r="J266" s="389">
        <f>'PA-Détails'!J2296</f>
        <v>0</v>
      </c>
      <c r="K266" s="168">
        <f>'PA-Détails'!K2296</f>
        <v>0</v>
      </c>
      <c r="L266" s="168">
        <f>'PA-Détails'!L2296</f>
        <v>2698170</v>
      </c>
      <c r="M266" s="168">
        <f>'PA-Détails'!M2296</f>
        <v>2740990</v>
      </c>
      <c r="N266" s="168">
        <f>'PA-Détails'!N2296</f>
        <v>2784680</v>
      </c>
      <c r="O266" s="168">
        <f>'PA-Détails'!O2296</f>
        <v>2829220</v>
      </c>
      <c r="P266" s="168">
        <f>'PA-Détails'!P2296</f>
        <v>2874670</v>
      </c>
      <c r="Q266" s="432">
        <f>'PA-Détails'!Q2296</f>
        <v>13927730</v>
      </c>
      <c r="R266" s="570"/>
      <c r="S266" s="591">
        <f>'PA-Détails'!S2296</f>
        <v>0</v>
      </c>
      <c r="T266" s="597">
        <f>'PA-Détails'!T2296</f>
        <v>0</v>
      </c>
      <c r="U266" s="586">
        <f>'PA-Détails'!T2296</f>
        <v>0</v>
      </c>
      <c r="V266" s="572"/>
      <c r="W266" s="572"/>
      <c r="X266" s="572"/>
      <c r="Y266" s="572"/>
    </row>
    <row r="267" spans="1:25" s="162" customFormat="1" x14ac:dyDescent="0.2">
      <c r="A267" s="370" t="str">
        <f>'PA-Détails'!A2301</f>
        <v>8.1.3 Investissements</v>
      </c>
      <c r="B267" s="452"/>
      <c r="C267" s="389">
        <f>'PA-Détails'!C2301</f>
        <v>0</v>
      </c>
      <c r="D267" s="168">
        <f>'PA-Détails'!D2301</f>
        <v>6975.86</v>
      </c>
      <c r="E267" s="168">
        <f>'PA-Détails'!E2301</f>
        <v>7631.17</v>
      </c>
      <c r="F267" s="168">
        <f>'PA-Détails'!F2301</f>
        <v>8459.11</v>
      </c>
      <c r="G267" s="168">
        <f>'PA-Détails'!G2301</f>
        <v>9453.09</v>
      </c>
      <c r="H267" s="168">
        <f>'PA-Détails'!H2301</f>
        <v>10483.209999999999</v>
      </c>
      <c r="I267" s="168">
        <f>'PA-Détails'!I2301</f>
        <v>43002.44</v>
      </c>
      <c r="J267" s="389">
        <f>'PA-Détails'!J2301</f>
        <v>0</v>
      </c>
      <c r="K267" s="168">
        <f>'PA-Détails'!K2301</f>
        <v>0</v>
      </c>
      <c r="L267" s="168">
        <f>'PA-Détails'!L2301</f>
        <v>6975860</v>
      </c>
      <c r="M267" s="168">
        <f>'PA-Détails'!M2301</f>
        <v>7631170</v>
      </c>
      <c r="N267" s="168">
        <f>'PA-Détails'!N2301</f>
        <v>8459110</v>
      </c>
      <c r="O267" s="168">
        <f>'PA-Détails'!O2301</f>
        <v>9453090</v>
      </c>
      <c r="P267" s="168">
        <f>'PA-Détails'!P2301</f>
        <v>10483210</v>
      </c>
      <c r="Q267" s="432">
        <f>'PA-Détails'!Q2301</f>
        <v>43002440</v>
      </c>
      <c r="R267" s="570"/>
      <c r="S267" s="591">
        <f>'PA-Détails'!S2301</f>
        <v>0</v>
      </c>
      <c r="T267" s="597">
        <f>'PA-Détails'!T2301</f>
        <v>0</v>
      </c>
      <c r="U267" s="586">
        <f>'PA-Détails'!T2301</f>
        <v>0</v>
      </c>
      <c r="V267" s="572"/>
      <c r="W267" s="572"/>
      <c r="X267" s="572"/>
      <c r="Y267" s="572"/>
    </row>
    <row r="268" spans="1:25" s="162" customFormat="1" x14ac:dyDescent="0.2">
      <c r="A268" s="455" t="str">
        <f>'PA-Détails'!A2306</f>
        <v>8.2 Moyens des bureaux gestionnaires et des services déconcentrés du MEPSINC</v>
      </c>
      <c r="B268" s="456"/>
      <c r="C268" s="392">
        <f>'PA-Détails'!C2306</f>
        <v>0</v>
      </c>
      <c r="D268" s="217">
        <f>'PA-Détails'!D2306</f>
        <v>90078.1</v>
      </c>
      <c r="E268" s="217">
        <f>'PA-Détails'!E2306</f>
        <v>98332</v>
      </c>
      <c r="F268" s="217">
        <f>'PA-Détails'!F2306</f>
        <v>109746.6</v>
      </c>
      <c r="G268" s="217">
        <f>'PA-Détails'!G2306</f>
        <v>124774.3</v>
      </c>
      <c r="H268" s="217">
        <f>'PA-Détails'!H2306</f>
        <v>142543.79999999999</v>
      </c>
      <c r="I268" s="217">
        <f>'PA-Détails'!I2306</f>
        <v>565474.80000000005</v>
      </c>
      <c r="J268" s="457">
        <f>'PA-Détails'!J2306</f>
        <v>0</v>
      </c>
      <c r="K268" s="217">
        <f>'PA-Détails'!K2306</f>
        <v>0</v>
      </c>
      <c r="L268" s="217">
        <f>'PA-Détails'!L2306</f>
        <v>90078100</v>
      </c>
      <c r="M268" s="217">
        <f>'PA-Détails'!M2306</f>
        <v>98332000</v>
      </c>
      <c r="N268" s="217">
        <f>'PA-Détails'!N2306</f>
        <v>109746600</v>
      </c>
      <c r="O268" s="217">
        <f>'PA-Détails'!O2306</f>
        <v>124774300</v>
      </c>
      <c r="P268" s="217">
        <f>'PA-Détails'!P2306</f>
        <v>142543800</v>
      </c>
      <c r="Q268" s="431">
        <f>'PA-Détails'!Q2306</f>
        <v>565474800</v>
      </c>
      <c r="R268" s="570"/>
      <c r="S268" s="590">
        <f>'PA-Détails'!S2306</f>
        <v>0</v>
      </c>
      <c r="T268" s="596">
        <f>'PA-Détails'!T2306</f>
        <v>3</v>
      </c>
      <c r="U268" s="583">
        <f>'PA-Détails'!T2306</f>
        <v>3</v>
      </c>
      <c r="V268" s="572"/>
      <c r="W268" s="572"/>
      <c r="X268" s="572"/>
      <c r="Y268" s="572"/>
    </row>
    <row r="269" spans="1:25" s="162" customFormat="1" x14ac:dyDescent="0.2">
      <c r="A269" s="370" t="str">
        <f>'PA-Détails'!A2307</f>
        <v>8.2.1 Rémunération du personnel</v>
      </c>
      <c r="B269" s="452"/>
      <c r="C269" s="389">
        <f>'PA-Détails'!C2307</f>
        <v>0</v>
      </c>
      <c r="D269" s="168">
        <f>'PA-Détails'!D2307</f>
        <v>72452.399999999994</v>
      </c>
      <c r="E269" s="168">
        <f>'PA-Détails'!E2307</f>
        <v>80225.5</v>
      </c>
      <c r="F269" s="168">
        <f>'PA-Détails'!F2307</f>
        <v>91220.5</v>
      </c>
      <c r="G269" s="168">
        <f>'PA-Détails'!G2307</f>
        <v>105834.4</v>
      </c>
      <c r="H269" s="168">
        <f>'PA-Détails'!H2307</f>
        <v>123213.4</v>
      </c>
      <c r="I269" s="168">
        <f>'PA-Détails'!I2307</f>
        <v>472946.2</v>
      </c>
      <c r="J269" s="389">
        <f>'PA-Détails'!J2307</f>
        <v>0</v>
      </c>
      <c r="K269" s="168">
        <f>'PA-Détails'!K2307</f>
        <v>0</v>
      </c>
      <c r="L269" s="168">
        <f>'PA-Détails'!L2307</f>
        <v>72452400</v>
      </c>
      <c r="M269" s="168">
        <f>'PA-Détails'!M2307</f>
        <v>80225500</v>
      </c>
      <c r="N269" s="168">
        <f>'PA-Détails'!N2307</f>
        <v>91220500</v>
      </c>
      <c r="O269" s="168">
        <f>'PA-Détails'!O2307</f>
        <v>105834400</v>
      </c>
      <c r="P269" s="168">
        <f>'PA-Détails'!P2307</f>
        <v>123213400</v>
      </c>
      <c r="Q269" s="432">
        <f>'PA-Détails'!Q2307</f>
        <v>472946200</v>
      </c>
      <c r="R269" s="570"/>
      <c r="S269" s="591">
        <f>'PA-Détails'!S2307</f>
        <v>0</v>
      </c>
      <c r="T269" s="597">
        <f>'PA-Détails'!T2307</f>
        <v>0</v>
      </c>
      <c r="U269" s="586">
        <f>'PA-Détails'!T2307</f>
        <v>0</v>
      </c>
      <c r="V269" s="572"/>
      <c r="W269" s="572"/>
      <c r="X269" s="572"/>
      <c r="Y269" s="572"/>
    </row>
    <row r="270" spans="1:25" s="162" customFormat="1" x14ac:dyDescent="0.2">
      <c r="A270" s="370" t="str">
        <f>'PA-Détails'!A2309</f>
        <v>8.2.2 Subvention de fonctionnement</v>
      </c>
      <c r="B270" s="452"/>
      <c r="C270" s="389">
        <f>'PA-Détails'!C2309</f>
        <v>0</v>
      </c>
      <c r="D270" s="168">
        <f>'PA-Détails'!D2309</f>
        <v>17625.7</v>
      </c>
      <c r="E270" s="168">
        <f>'PA-Détails'!E2309</f>
        <v>18106.5</v>
      </c>
      <c r="F270" s="168">
        <f>'PA-Détails'!F2309</f>
        <v>18526.099999999999</v>
      </c>
      <c r="G270" s="168">
        <f>'PA-Détails'!G2309</f>
        <v>18939.900000000001</v>
      </c>
      <c r="H270" s="168">
        <f>'PA-Détails'!H2309</f>
        <v>19330.400000000001</v>
      </c>
      <c r="I270" s="168">
        <f>'PA-Détails'!I2309</f>
        <v>92528.6</v>
      </c>
      <c r="J270" s="389">
        <f>'PA-Détails'!J2309</f>
        <v>0</v>
      </c>
      <c r="K270" s="168">
        <f>'PA-Détails'!K2309</f>
        <v>0</v>
      </c>
      <c r="L270" s="168">
        <f>'PA-Détails'!L2309</f>
        <v>17625700</v>
      </c>
      <c r="M270" s="168">
        <f>'PA-Détails'!M2309</f>
        <v>18106500</v>
      </c>
      <c r="N270" s="168">
        <f>'PA-Détails'!N2309</f>
        <v>18526100</v>
      </c>
      <c r="O270" s="168">
        <f>'PA-Détails'!O2309</f>
        <v>18939900</v>
      </c>
      <c r="P270" s="168">
        <f>'PA-Détails'!P2309</f>
        <v>19330400</v>
      </c>
      <c r="Q270" s="432">
        <f>'PA-Détails'!Q2309</f>
        <v>92528600</v>
      </c>
      <c r="R270" s="570"/>
      <c r="S270" s="591">
        <f>'PA-Détails'!S2309</f>
        <v>0</v>
      </c>
      <c r="T270" s="597">
        <f>'PA-Détails'!T2309</f>
        <v>0</v>
      </c>
      <c r="U270" s="586">
        <f>'PA-Détails'!T2309</f>
        <v>0</v>
      </c>
      <c r="V270" s="572"/>
      <c r="W270" s="572"/>
      <c r="X270" s="572"/>
      <c r="Y270" s="572"/>
    </row>
    <row r="271" spans="1:25" s="162" customFormat="1" x14ac:dyDescent="0.2">
      <c r="A271" s="455" t="str">
        <f>'PA-Détails'!A2311</f>
        <v>8.3 Gestion des carrières : Mettre en place une gestion efficace des carrières</v>
      </c>
      <c r="B271" s="456"/>
      <c r="C271" s="392">
        <f>'PA-Détails'!C2311</f>
        <v>0</v>
      </c>
      <c r="D271" s="217">
        <f>'PA-Détails'!D2311</f>
        <v>33</v>
      </c>
      <c r="E271" s="217">
        <f>'PA-Détails'!E2311</f>
        <v>128</v>
      </c>
      <c r="F271" s="217">
        <f>'PA-Détails'!F2311</f>
        <v>0</v>
      </c>
      <c r="G271" s="217">
        <f>'PA-Détails'!G2311</f>
        <v>0</v>
      </c>
      <c r="H271" s="217">
        <f>'PA-Détails'!H2311</f>
        <v>0</v>
      </c>
      <c r="I271" s="217">
        <f>'PA-Détails'!I2311</f>
        <v>161</v>
      </c>
      <c r="J271" s="457">
        <f>'PA-Détails'!J2311</f>
        <v>0</v>
      </c>
      <c r="K271" s="217">
        <f>'PA-Détails'!K2311</f>
        <v>0</v>
      </c>
      <c r="L271" s="217">
        <f>'PA-Détails'!L2311</f>
        <v>33000</v>
      </c>
      <c r="M271" s="217">
        <f>'PA-Détails'!M2311</f>
        <v>128000</v>
      </c>
      <c r="N271" s="217">
        <f>'PA-Détails'!N2311</f>
        <v>0</v>
      </c>
      <c r="O271" s="217">
        <f>'PA-Détails'!O2311</f>
        <v>0</v>
      </c>
      <c r="P271" s="217">
        <f>'PA-Détails'!P2311</f>
        <v>0</v>
      </c>
      <c r="Q271" s="431">
        <f>'PA-Détails'!Q2311</f>
        <v>161000</v>
      </c>
      <c r="R271" s="570"/>
      <c r="S271" s="590">
        <f>'PA-Détails'!S2311</f>
        <v>0</v>
      </c>
      <c r="T271" s="596">
        <f>'PA-Détails'!T2311</f>
        <v>3</v>
      </c>
      <c r="U271" s="583">
        <f>'PA-Détails'!T2311</f>
        <v>3</v>
      </c>
      <c r="V271" s="572"/>
      <c r="W271" s="572"/>
      <c r="X271" s="572"/>
      <c r="Y271" s="572"/>
    </row>
    <row r="272" spans="1:25" s="162" customFormat="1" x14ac:dyDescent="0.2">
      <c r="A272" s="370" t="str">
        <f>'PA-Détails'!A2312</f>
        <v>8.3.1 Système de retraite</v>
      </c>
      <c r="B272" s="452"/>
      <c r="C272" s="389">
        <f>'PA-Détails'!C2312</f>
        <v>0</v>
      </c>
      <c r="D272" s="168">
        <f>'PA-Détails'!D2312</f>
        <v>33</v>
      </c>
      <c r="E272" s="168">
        <f>'PA-Détails'!E2312</f>
        <v>95</v>
      </c>
      <c r="F272" s="168">
        <f>'PA-Détails'!F2312</f>
        <v>0</v>
      </c>
      <c r="G272" s="168">
        <f>'PA-Détails'!G2312</f>
        <v>0</v>
      </c>
      <c r="H272" s="168">
        <f>'PA-Détails'!H2312</f>
        <v>0</v>
      </c>
      <c r="I272" s="168">
        <f>'PA-Détails'!I2312</f>
        <v>128</v>
      </c>
      <c r="J272" s="389">
        <f>'PA-Détails'!J2312</f>
        <v>0</v>
      </c>
      <c r="K272" s="168">
        <f>'PA-Détails'!K2312</f>
        <v>0</v>
      </c>
      <c r="L272" s="168">
        <f>'PA-Détails'!L2312</f>
        <v>33000</v>
      </c>
      <c r="M272" s="168">
        <f>'PA-Détails'!M2312</f>
        <v>95000</v>
      </c>
      <c r="N272" s="168">
        <f>'PA-Détails'!N2312</f>
        <v>0</v>
      </c>
      <c r="O272" s="168">
        <f>'PA-Détails'!O2312</f>
        <v>0</v>
      </c>
      <c r="P272" s="168">
        <f>'PA-Détails'!P2312</f>
        <v>0</v>
      </c>
      <c r="Q272" s="432">
        <f>'PA-Détails'!Q2312</f>
        <v>128000</v>
      </c>
      <c r="R272" s="570"/>
      <c r="S272" s="591">
        <f>'PA-Détails'!S2312</f>
        <v>0</v>
      </c>
      <c r="T272" s="597">
        <f>'PA-Détails'!T2312</f>
        <v>0</v>
      </c>
      <c r="U272" s="586">
        <f>'PA-Détails'!T2312</f>
        <v>0</v>
      </c>
      <c r="V272" s="572"/>
      <c r="W272" s="572"/>
      <c r="X272" s="572"/>
      <c r="Y272" s="572"/>
    </row>
    <row r="273" spans="1:25" s="162" customFormat="1" x14ac:dyDescent="0.2">
      <c r="A273" s="370" t="str">
        <f>'PA-Détails'!A2314</f>
        <v>8.3.2 Réforme des statuts</v>
      </c>
      <c r="B273" s="452"/>
      <c r="C273" s="389">
        <f>'PA-Détails'!C2314</f>
        <v>0</v>
      </c>
      <c r="D273" s="168">
        <f>'PA-Détails'!D2314</f>
        <v>0</v>
      </c>
      <c r="E273" s="168">
        <f>'PA-Détails'!E2314</f>
        <v>33</v>
      </c>
      <c r="F273" s="168">
        <f>'PA-Détails'!F2314</f>
        <v>0</v>
      </c>
      <c r="G273" s="168">
        <f>'PA-Détails'!G2314</f>
        <v>0</v>
      </c>
      <c r="H273" s="168">
        <f>'PA-Détails'!H2314</f>
        <v>0</v>
      </c>
      <c r="I273" s="168">
        <f>'PA-Détails'!I2314</f>
        <v>33</v>
      </c>
      <c r="J273" s="389">
        <f>'PA-Détails'!J2314</f>
        <v>0</v>
      </c>
      <c r="K273" s="168">
        <f>'PA-Détails'!K2314</f>
        <v>0</v>
      </c>
      <c r="L273" s="168">
        <f>'PA-Détails'!L2314</f>
        <v>0</v>
      </c>
      <c r="M273" s="168">
        <f>'PA-Détails'!M2314</f>
        <v>33000</v>
      </c>
      <c r="N273" s="168">
        <f>'PA-Détails'!N2314</f>
        <v>0</v>
      </c>
      <c r="O273" s="168">
        <f>'PA-Détails'!O2314</f>
        <v>0</v>
      </c>
      <c r="P273" s="168">
        <f>'PA-Détails'!P2314</f>
        <v>0</v>
      </c>
      <c r="Q273" s="432">
        <f>'PA-Détails'!Q2314</f>
        <v>33000</v>
      </c>
      <c r="R273" s="570"/>
      <c r="S273" s="591">
        <f>'PA-Détails'!S2314</f>
        <v>0</v>
      </c>
      <c r="T273" s="597">
        <f>'PA-Détails'!T2314</f>
        <v>0</v>
      </c>
      <c r="U273" s="586">
        <f>'PA-Détails'!T2314</f>
        <v>0</v>
      </c>
      <c r="V273" s="572"/>
      <c r="W273" s="572"/>
      <c r="X273" s="572"/>
      <c r="Y273" s="572"/>
    </row>
    <row r="274" spans="1:25" x14ac:dyDescent="0.2">
      <c r="A274" s="368" t="str">
        <f>'PA-Détails'!A2316</f>
        <v>8.4 Gestion des ressources financières : Améliorer la gestion des ressources financières</v>
      </c>
      <c r="B274" s="444"/>
      <c r="C274" s="385">
        <f>'PA-Détails'!C2316</f>
        <v>0</v>
      </c>
      <c r="D274" s="217">
        <f>'PA-Détails'!D2316</f>
        <v>129.6</v>
      </c>
      <c r="E274" s="217">
        <f>'PA-Détails'!E2316</f>
        <v>111.6</v>
      </c>
      <c r="F274" s="217">
        <f>'PA-Détails'!F2316</f>
        <v>129</v>
      </c>
      <c r="G274" s="217">
        <f>'PA-Détails'!G2316</f>
        <v>111.6</v>
      </c>
      <c r="H274" s="217">
        <f>'PA-Détails'!H2316</f>
        <v>129</v>
      </c>
      <c r="I274" s="217">
        <f>'PA-Détails'!I2316</f>
        <v>610.79999999999995</v>
      </c>
      <c r="J274" s="449">
        <f>'PA-Détails'!J2316</f>
        <v>0</v>
      </c>
      <c r="K274" s="32">
        <f>'PA-Détails'!K2316</f>
        <v>0</v>
      </c>
      <c r="L274" s="32">
        <f>'PA-Détails'!L2316</f>
        <v>129600</v>
      </c>
      <c r="M274" s="32">
        <f>'PA-Détails'!M2316</f>
        <v>111600</v>
      </c>
      <c r="N274" s="32">
        <f>'PA-Détails'!N2316</f>
        <v>129000</v>
      </c>
      <c r="O274" s="32">
        <f>'PA-Détails'!O2316</f>
        <v>111600</v>
      </c>
      <c r="P274" s="32">
        <f>'PA-Détails'!P2316</f>
        <v>129000</v>
      </c>
      <c r="Q274" s="428">
        <f>'PA-Détails'!Q2316</f>
        <v>610800</v>
      </c>
      <c r="R274" s="570"/>
      <c r="S274" s="590">
        <f>'PA-Détails'!S2316</f>
        <v>0</v>
      </c>
      <c r="T274" s="596">
        <f>'PA-Détails'!T2316</f>
        <v>3</v>
      </c>
      <c r="U274" s="583">
        <f>'PA-Détails'!T2316</f>
        <v>3</v>
      </c>
    </row>
    <row r="275" spans="1:25" x14ac:dyDescent="0.2">
      <c r="A275" s="369" t="str">
        <f>'PA-Détails'!A2317</f>
        <v>8.4.1 Formation des cadres de la gestion financière et comptable</v>
      </c>
      <c r="B275" s="446"/>
      <c r="C275" s="386">
        <f>'PA-Détails'!C2317</f>
        <v>0</v>
      </c>
      <c r="D275" s="168">
        <f>'PA-Détails'!D2317</f>
        <v>129.6</v>
      </c>
      <c r="E275" s="168">
        <f>'PA-Détails'!E2317</f>
        <v>111.6</v>
      </c>
      <c r="F275" s="168">
        <f>'PA-Détails'!F2317</f>
        <v>129</v>
      </c>
      <c r="G275" s="168">
        <f>'PA-Détails'!G2317</f>
        <v>111.6</v>
      </c>
      <c r="H275" s="168">
        <f>'PA-Détails'!H2317</f>
        <v>129</v>
      </c>
      <c r="I275" s="168">
        <f>'PA-Détails'!I2317</f>
        <v>610.79999999999995</v>
      </c>
      <c r="J275" s="447">
        <f>'PA-Détails'!J2317</f>
        <v>0</v>
      </c>
      <c r="K275" s="36">
        <f>'PA-Détails'!K2317</f>
        <v>0</v>
      </c>
      <c r="L275" s="36">
        <f>'PA-Détails'!L2317</f>
        <v>129600</v>
      </c>
      <c r="M275" s="36">
        <f>'PA-Détails'!M2317</f>
        <v>111600</v>
      </c>
      <c r="N275" s="36">
        <f>'PA-Détails'!N2317</f>
        <v>129000</v>
      </c>
      <c r="O275" s="36">
        <f>'PA-Détails'!O2317</f>
        <v>111600</v>
      </c>
      <c r="P275" s="36">
        <f>'PA-Détails'!P2317</f>
        <v>129000</v>
      </c>
      <c r="Q275" s="429">
        <f>'PA-Détails'!Q2317</f>
        <v>610800</v>
      </c>
      <c r="R275" s="570"/>
      <c r="S275" s="591">
        <f>'PA-Détails'!S2317</f>
        <v>0</v>
      </c>
      <c r="T275" s="597">
        <f>'PA-Détails'!T2317</f>
        <v>0</v>
      </c>
      <c r="U275" s="586">
        <f>'PA-Détails'!T2317</f>
        <v>0</v>
      </c>
    </row>
    <row r="276" spans="1:25" x14ac:dyDescent="0.2">
      <c r="A276" s="368" t="str">
        <f>'PA-Détails'!A2321</f>
        <v>8.5 Gestion des infrastructures scolaires : Améliorer les capacités de pilotage et de gestion des infrastructures scolaires</v>
      </c>
      <c r="B276" s="444"/>
      <c r="C276" s="385">
        <f>'PA-Détails'!C2321</f>
        <v>0</v>
      </c>
      <c r="D276" s="217">
        <f>'PA-Détails'!D2321</f>
        <v>28</v>
      </c>
      <c r="E276" s="217">
        <f>'PA-Détails'!E2321</f>
        <v>51.4</v>
      </c>
      <c r="F276" s="217">
        <f>'PA-Détails'!F2321</f>
        <v>63.7</v>
      </c>
      <c r="G276" s="217">
        <f>'PA-Détails'!G2321</f>
        <v>76</v>
      </c>
      <c r="H276" s="217">
        <f>'PA-Détails'!H2321</f>
        <v>88.3</v>
      </c>
      <c r="I276" s="217">
        <f>'PA-Détails'!I2321</f>
        <v>307.39999999999998</v>
      </c>
      <c r="J276" s="449">
        <f>'PA-Détails'!J2321</f>
        <v>0</v>
      </c>
      <c r="K276" s="32">
        <f>'PA-Détails'!K2321</f>
        <v>0</v>
      </c>
      <c r="L276" s="32">
        <f>'PA-Détails'!L2321</f>
        <v>28000</v>
      </c>
      <c r="M276" s="32">
        <f>'PA-Détails'!M2321</f>
        <v>51400</v>
      </c>
      <c r="N276" s="32">
        <f>'PA-Détails'!N2321</f>
        <v>63700</v>
      </c>
      <c r="O276" s="32">
        <f>'PA-Détails'!O2321</f>
        <v>76000</v>
      </c>
      <c r="P276" s="32">
        <f>'PA-Détails'!P2321</f>
        <v>88300</v>
      </c>
      <c r="Q276" s="428">
        <f>'PA-Détails'!Q2321</f>
        <v>307400</v>
      </c>
      <c r="R276" s="570"/>
      <c r="S276" s="590">
        <f>'PA-Détails'!S2321</f>
        <v>0</v>
      </c>
      <c r="T276" s="596">
        <f>'PA-Détails'!T2321</f>
        <v>0</v>
      </c>
      <c r="U276" s="583">
        <v>3</v>
      </c>
    </row>
    <row r="277" spans="1:25" x14ac:dyDescent="0.2">
      <c r="A277" s="369" t="str">
        <f>'PA-Détails'!A2322</f>
        <v>8.5.1 Élaboration d'un plan renforcement de DIS au niveau central et déconcentré</v>
      </c>
      <c r="B277" s="446"/>
      <c r="C277" s="386">
        <f>'PA-Détails'!C2322</f>
        <v>0</v>
      </c>
      <c r="D277" s="168">
        <f>'PA-Détails'!D2322</f>
        <v>28</v>
      </c>
      <c r="E277" s="168">
        <f>'PA-Détails'!E2322</f>
        <v>0</v>
      </c>
      <c r="F277" s="168">
        <f>'PA-Détails'!F2322</f>
        <v>0</v>
      </c>
      <c r="G277" s="168">
        <f>'PA-Détails'!G2322</f>
        <v>0</v>
      </c>
      <c r="H277" s="168">
        <f>'PA-Détails'!H2322</f>
        <v>0</v>
      </c>
      <c r="I277" s="168">
        <f>'PA-Détails'!I2322</f>
        <v>28</v>
      </c>
      <c r="J277" s="447">
        <f>'PA-Détails'!J2322</f>
        <v>0</v>
      </c>
      <c r="K277" s="36">
        <f>'PA-Détails'!K2322</f>
        <v>0</v>
      </c>
      <c r="L277" s="36">
        <f>'PA-Détails'!L2322</f>
        <v>28000</v>
      </c>
      <c r="M277" s="36">
        <f>'PA-Détails'!M2322</f>
        <v>0</v>
      </c>
      <c r="N277" s="36">
        <f>'PA-Détails'!N2322</f>
        <v>0</v>
      </c>
      <c r="O277" s="36">
        <f>'PA-Détails'!O2322</f>
        <v>0</v>
      </c>
      <c r="P277" s="36">
        <f>'PA-Détails'!P2322</f>
        <v>0</v>
      </c>
      <c r="Q277" s="429">
        <f>'PA-Détails'!Q2322</f>
        <v>28000</v>
      </c>
      <c r="R277" s="570"/>
      <c r="S277" s="591">
        <f>'PA-Détails'!S2322</f>
        <v>0</v>
      </c>
      <c r="T277" s="597">
        <f>'PA-Détails'!T2322</f>
        <v>0</v>
      </c>
      <c r="U277" s="586">
        <f>'PA-Détails'!T2318</f>
        <v>0</v>
      </c>
    </row>
    <row r="278" spans="1:25" x14ac:dyDescent="0.2">
      <c r="A278" s="369" t="str">
        <f>'PA-Détails'!A2324</f>
        <v>8.5.2 Mise en place du plan de renforcement des capacités de la DIS</v>
      </c>
      <c r="B278" s="446"/>
      <c r="C278" s="386">
        <f>'PA-Détails'!C2324</f>
        <v>0</v>
      </c>
      <c r="D278" s="168">
        <f>'PA-Détails'!D2324</f>
        <v>0</v>
      </c>
      <c r="E278" s="168">
        <f>'PA-Détails'!E2324</f>
        <v>51.4</v>
      </c>
      <c r="F278" s="168">
        <f>'PA-Détails'!F2324</f>
        <v>63.7</v>
      </c>
      <c r="G278" s="168">
        <f>'PA-Détails'!G2324</f>
        <v>76</v>
      </c>
      <c r="H278" s="168">
        <f>'PA-Détails'!H2324</f>
        <v>88.3</v>
      </c>
      <c r="I278" s="168">
        <f>'PA-Détails'!I2324</f>
        <v>279.39999999999998</v>
      </c>
      <c r="J278" s="447">
        <f>'PA-Détails'!J2324</f>
        <v>0</v>
      </c>
      <c r="K278" s="36">
        <f>'PA-Détails'!K2324</f>
        <v>0</v>
      </c>
      <c r="L278" s="36">
        <f>'PA-Détails'!L2324</f>
        <v>0</v>
      </c>
      <c r="M278" s="36">
        <f>'PA-Détails'!M2324</f>
        <v>51400</v>
      </c>
      <c r="N278" s="36">
        <f>'PA-Détails'!N2324</f>
        <v>63700</v>
      </c>
      <c r="O278" s="36">
        <f>'PA-Détails'!O2324</f>
        <v>76000</v>
      </c>
      <c r="P278" s="36">
        <f>'PA-Détails'!P2324</f>
        <v>88300</v>
      </c>
      <c r="Q278" s="429">
        <f>'PA-Détails'!Q2324</f>
        <v>279400</v>
      </c>
      <c r="R278" s="570"/>
      <c r="S278" s="591">
        <f>'PA-Détails'!S2324</f>
        <v>0</v>
      </c>
      <c r="T278" s="597">
        <f>'PA-Détails'!T2324</f>
        <v>0</v>
      </c>
      <c r="U278" s="586">
        <f>'PA-Détails'!T2319</f>
        <v>0</v>
      </c>
    </row>
    <row r="279" spans="1:25" x14ac:dyDescent="0.2">
      <c r="A279" s="368" t="str">
        <f>'PA-Détails'!A2327</f>
        <v>8.6 Redevabilité et gouvernance financière : Assurer la redevabilité des structures et Maitriser les flux ascendants</v>
      </c>
      <c r="B279" s="444"/>
      <c r="C279" s="385">
        <f>'PA-Détails'!C2327</f>
        <v>0</v>
      </c>
      <c r="D279" s="217">
        <f>'PA-Détails'!D2327</f>
        <v>343.25</v>
      </c>
      <c r="E279" s="217">
        <f>'PA-Détails'!E2327</f>
        <v>121.75</v>
      </c>
      <c r="F279" s="217">
        <f>'PA-Détails'!F2327</f>
        <v>116</v>
      </c>
      <c r="G279" s="217">
        <f>'PA-Détails'!G2327</f>
        <v>67.5</v>
      </c>
      <c r="H279" s="217">
        <f>'PA-Détails'!H2327</f>
        <v>67.5</v>
      </c>
      <c r="I279" s="217">
        <f>'PA-Détails'!I2327</f>
        <v>716</v>
      </c>
      <c r="J279" s="449">
        <f>'PA-Détails'!J2327</f>
        <v>0</v>
      </c>
      <c r="K279" s="32">
        <f>'PA-Détails'!K2327</f>
        <v>0</v>
      </c>
      <c r="L279" s="32">
        <f>'PA-Détails'!L2327</f>
        <v>343250</v>
      </c>
      <c r="M279" s="32">
        <f>'PA-Détails'!M2327</f>
        <v>121750</v>
      </c>
      <c r="N279" s="32">
        <f>'PA-Détails'!N2327</f>
        <v>116000</v>
      </c>
      <c r="O279" s="32">
        <f>'PA-Détails'!O2327</f>
        <v>67500</v>
      </c>
      <c r="P279" s="32">
        <f>'PA-Détails'!P2327</f>
        <v>67500</v>
      </c>
      <c r="Q279" s="428">
        <f>'PA-Détails'!Q2327</f>
        <v>716000</v>
      </c>
      <c r="R279" s="570"/>
      <c r="S279" s="590">
        <f>'PA-Détails'!S2327</f>
        <v>0</v>
      </c>
      <c r="T279" s="596">
        <f>'PA-Détails'!T2327</f>
        <v>3</v>
      </c>
      <c r="U279" s="583">
        <f>'PA-Détails'!T2327</f>
        <v>3</v>
      </c>
    </row>
    <row r="280" spans="1:25" x14ac:dyDescent="0.2">
      <c r="A280" s="369" t="str">
        <f>'PA-Détails'!A2328</f>
        <v>8.6.1 Renforcement des audits internes et externes</v>
      </c>
      <c r="B280" s="446"/>
      <c r="C280" s="386">
        <f>'PA-Détails'!C2328</f>
        <v>0</v>
      </c>
      <c r="D280" s="168">
        <f>'PA-Détails'!D2328</f>
        <v>0</v>
      </c>
      <c r="E280" s="168">
        <f>'PA-Détails'!E2328</f>
        <v>16.25</v>
      </c>
      <c r="F280" s="168">
        <f>'PA-Détails'!F2328</f>
        <v>67.5</v>
      </c>
      <c r="G280" s="168">
        <f>'PA-Détails'!G2328</f>
        <v>67.5</v>
      </c>
      <c r="H280" s="168">
        <f>'PA-Détails'!H2328</f>
        <v>67.5</v>
      </c>
      <c r="I280" s="168">
        <f>'PA-Détails'!I2328</f>
        <v>218.75</v>
      </c>
      <c r="J280" s="447">
        <f>'PA-Détails'!J2328</f>
        <v>0</v>
      </c>
      <c r="K280" s="36">
        <f>'PA-Détails'!K2328</f>
        <v>0</v>
      </c>
      <c r="L280" s="36">
        <f>'PA-Détails'!L2328</f>
        <v>0</v>
      </c>
      <c r="M280" s="36">
        <f>'PA-Détails'!M2328</f>
        <v>16250</v>
      </c>
      <c r="N280" s="36">
        <f>'PA-Détails'!N2328</f>
        <v>67500</v>
      </c>
      <c r="O280" s="36">
        <f>'PA-Détails'!O2328</f>
        <v>67500</v>
      </c>
      <c r="P280" s="36">
        <f>'PA-Détails'!P2328</f>
        <v>67500</v>
      </c>
      <c r="Q280" s="429">
        <f>'PA-Détails'!Q2328</f>
        <v>218750</v>
      </c>
      <c r="R280" s="570"/>
      <c r="S280" s="591">
        <f>'PA-Détails'!S2328</f>
        <v>0</v>
      </c>
      <c r="T280" s="597">
        <f>'PA-Détails'!T2328</f>
        <v>0</v>
      </c>
      <c r="U280" s="586">
        <f>'PA-Détails'!T2328</f>
        <v>0</v>
      </c>
    </row>
    <row r="281" spans="1:25" x14ac:dyDescent="0.2">
      <c r="A281" s="369" t="str">
        <f>'PA-Détails'!A2331</f>
        <v>8.6.2 Évaluation des besoins de fonctionnement des bureaux gestionnaires et définition des budgets types</v>
      </c>
      <c r="B281" s="446"/>
      <c r="C281" s="386" t="str">
        <f>'PA-Détails'!C2331</f>
        <v>à partir de 2017, tous les établissements élaborent un projet</v>
      </c>
      <c r="D281" s="168">
        <f>'PA-Détails'!D2331</f>
        <v>153.75</v>
      </c>
      <c r="E281" s="168">
        <f>'PA-Détails'!E2331</f>
        <v>57</v>
      </c>
      <c r="F281" s="168">
        <f>'PA-Détails'!F2331</f>
        <v>0</v>
      </c>
      <c r="G281" s="168">
        <f>'PA-Détails'!G2331</f>
        <v>0</v>
      </c>
      <c r="H281" s="168">
        <f>'PA-Détails'!H2331</f>
        <v>0</v>
      </c>
      <c r="I281" s="168">
        <f>'PA-Détails'!I2331</f>
        <v>210.75</v>
      </c>
      <c r="J281" s="447">
        <f>'PA-Détails'!J2331</f>
        <v>0</v>
      </c>
      <c r="K281" s="36">
        <f>'PA-Détails'!K2331</f>
        <v>0</v>
      </c>
      <c r="L281" s="36">
        <f>'PA-Détails'!L2331</f>
        <v>153750</v>
      </c>
      <c r="M281" s="36">
        <f>'PA-Détails'!M2331</f>
        <v>57000</v>
      </c>
      <c r="N281" s="36">
        <f>'PA-Détails'!N2331</f>
        <v>0</v>
      </c>
      <c r="O281" s="36">
        <f>'PA-Détails'!O2331</f>
        <v>0</v>
      </c>
      <c r="P281" s="36">
        <f>'PA-Détails'!P2331</f>
        <v>0</v>
      </c>
      <c r="Q281" s="429">
        <f>'PA-Détails'!Q2331</f>
        <v>210750</v>
      </c>
      <c r="R281" s="570"/>
      <c r="S281" s="591">
        <f>'PA-Détails'!S2331</f>
        <v>0</v>
      </c>
      <c r="T281" s="597">
        <f>'PA-Détails'!T2331</f>
        <v>0</v>
      </c>
      <c r="U281" s="586">
        <f>'PA-Détails'!T2331</f>
        <v>0</v>
      </c>
    </row>
    <row r="282" spans="1:25" x14ac:dyDescent="0.2">
      <c r="A282" s="369" t="str">
        <f>'PA-Détails'!A2334</f>
        <v>8.6.3 Évaluation des flux ascendants : contributions et circuits</v>
      </c>
      <c r="B282" s="446"/>
      <c r="C282" s="386" t="str">
        <f>'PA-Détails'!C2334</f>
        <v>Les flux acsendants sont évalués : montants et affectations à tous les niveaux</v>
      </c>
      <c r="D282" s="168">
        <f>'PA-Détails'!D2334</f>
        <v>141</v>
      </c>
      <c r="E282" s="168">
        <f>'PA-Détails'!E2334</f>
        <v>0</v>
      </c>
      <c r="F282" s="168">
        <f>'PA-Détails'!F2334</f>
        <v>0</v>
      </c>
      <c r="G282" s="168">
        <f>'PA-Détails'!G2334</f>
        <v>0</v>
      </c>
      <c r="H282" s="168">
        <f>'PA-Détails'!H2334</f>
        <v>0</v>
      </c>
      <c r="I282" s="168">
        <f>'PA-Détails'!I2334</f>
        <v>141</v>
      </c>
      <c r="J282" s="447">
        <f>'PA-Détails'!J2334</f>
        <v>0</v>
      </c>
      <c r="K282" s="36">
        <f>'PA-Détails'!K2334</f>
        <v>0</v>
      </c>
      <c r="L282" s="36">
        <f>'PA-Détails'!L2334</f>
        <v>141000</v>
      </c>
      <c r="M282" s="36">
        <f>'PA-Détails'!M2334</f>
        <v>0</v>
      </c>
      <c r="N282" s="36">
        <f>'PA-Détails'!N2334</f>
        <v>0</v>
      </c>
      <c r="O282" s="36">
        <f>'PA-Détails'!O2334</f>
        <v>0</v>
      </c>
      <c r="P282" s="36">
        <f>'PA-Détails'!P2334</f>
        <v>0</v>
      </c>
      <c r="Q282" s="429">
        <f>'PA-Détails'!Q2334</f>
        <v>141000</v>
      </c>
      <c r="R282" s="570"/>
      <c r="S282" s="591">
        <f>'PA-Détails'!S2334</f>
        <v>0</v>
      </c>
      <c r="T282" s="597">
        <f>'PA-Détails'!T2334</f>
        <v>0</v>
      </c>
      <c r="U282" s="586">
        <f>'PA-Détails'!T2334</f>
        <v>0</v>
      </c>
    </row>
    <row r="283" spans="1:25" x14ac:dyDescent="0.2">
      <c r="A283" s="369" t="str">
        <f>'PA-Détails'!A2336</f>
        <v>8.6.4 Commission des flux ascendants : Instance de concertation, de décision et de suivi évaluation</v>
      </c>
      <c r="B283" s="446"/>
      <c r="C283" s="386" t="str">
        <f>'PA-Détails'!C2336</f>
        <v>Les flux acsendants sont évalués : montants et affectations à tous les niveaux</v>
      </c>
      <c r="D283" s="168">
        <f>'PA-Détails'!D2336</f>
        <v>48.5</v>
      </c>
      <c r="E283" s="168">
        <f>'PA-Détails'!E2336</f>
        <v>48.5</v>
      </c>
      <c r="F283" s="168">
        <f>'PA-Détails'!F2336</f>
        <v>48.5</v>
      </c>
      <c r="G283" s="168">
        <f>'PA-Détails'!G2336</f>
        <v>0</v>
      </c>
      <c r="H283" s="168">
        <f>'PA-Détails'!H2336</f>
        <v>0</v>
      </c>
      <c r="I283" s="168">
        <f>'PA-Détails'!I2336</f>
        <v>145.5</v>
      </c>
      <c r="J283" s="447">
        <f>'PA-Détails'!J2336</f>
        <v>0</v>
      </c>
      <c r="K283" s="36">
        <f>'PA-Détails'!K2336</f>
        <v>0</v>
      </c>
      <c r="L283" s="36">
        <f>'PA-Détails'!L2336</f>
        <v>48500</v>
      </c>
      <c r="M283" s="36">
        <f>'PA-Détails'!M2336</f>
        <v>48500</v>
      </c>
      <c r="N283" s="36">
        <f>'PA-Détails'!N2336</f>
        <v>48500</v>
      </c>
      <c r="O283" s="36">
        <f>'PA-Détails'!O2336</f>
        <v>0</v>
      </c>
      <c r="P283" s="36">
        <f>'PA-Détails'!P2336</f>
        <v>0</v>
      </c>
      <c r="Q283" s="429">
        <f>'PA-Détails'!Q2336</f>
        <v>145500</v>
      </c>
      <c r="R283" s="570"/>
      <c r="S283" s="591">
        <f>'PA-Détails'!S2336</f>
        <v>0</v>
      </c>
      <c r="T283" s="597">
        <f>'PA-Détails'!T2336</f>
        <v>0</v>
      </c>
      <c r="U283" s="586">
        <f>'PA-Détails'!T2336</f>
        <v>0</v>
      </c>
    </row>
    <row r="284" spans="1:25" x14ac:dyDescent="0.2">
      <c r="A284" s="368" t="str">
        <f>'PA-Détails'!A2338</f>
        <v>8.7 Gestion financière des établissements : Renforcer la participation des communautés et des OSC dans la gestion des établissements</v>
      </c>
      <c r="B284" s="444"/>
      <c r="C284" s="385">
        <f>'PA-Détails'!C2338</f>
        <v>0</v>
      </c>
      <c r="D284" s="217">
        <f>'PA-Détails'!D2338</f>
        <v>164</v>
      </c>
      <c r="E284" s="217">
        <f>'PA-Détails'!E2338</f>
        <v>164</v>
      </c>
      <c r="F284" s="217">
        <f>'PA-Détails'!F2338</f>
        <v>0</v>
      </c>
      <c r="G284" s="217">
        <f>'PA-Détails'!G2338</f>
        <v>0</v>
      </c>
      <c r="H284" s="217">
        <f>'PA-Détails'!H2338</f>
        <v>0</v>
      </c>
      <c r="I284" s="217">
        <f>'PA-Détails'!I2338</f>
        <v>328</v>
      </c>
      <c r="J284" s="449">
        <f>'PA-Détails'!J2338</f>
        <v>0</v>
      </c>
      <c r="K284" s="32">
        <f>'PA-Détails'!K2338</f>
        <v>0</v>
      </c>
      <c r="L284" s="32">
        <f>'PA-Détails'!L2338</f>
        <v>164000</v>
      </c>
      <c r="M284" s="32">
        <f>'PA-Détails'!M2338</f>
        <v>164000</v>
      </c>
      <c r="N284" s="32">
        <f>'PA-Détails'!N2338</f>
        <v>0</v>
      </c>
      <c r="O284" s="32">
        <f>'PA-Détails'!O2338</f>
        <v>0</v>
      </c>
      <c r="P284" s="32">
        <f>'PA-Détails'!P2338</f>
        <v>0</v>
      </c>
      <c r="Q284" s="428">
        <f>'PA-Détails'!Q2338</f>
        <v>328000</v>
      </c>
      <c r="R284" s="570"/>
      <c r="S284" s="590">
        <f>'PA-Détails'!S2338</f>
        <v>0</v>
      </c>
      <c r="T284" s="596">
        <f>'PA-Détails'!T2338</f>
        <v>3</v>
      </c>
      <c r="U284" s="583">
        <f>'PA-Détails'!T2338</f>
        <v>3</v>
      </c>
    </row>
    <row r="285" spans="1:25" x14ac:dyDescent="0.2">
      <c r="A285" s="369" t="str">
        <f>'PA-Détails'!A2339</f>
        <v>8.7.1 Systématiser les projets d'établissement</v>
      </c>
      <c r="B285" s="446"/>
      <c r="C285" s="386" t="str">
        <f>'PA-Détails'!C2339</f>
        <v>à partir de 2017, tous les établissements élaborent un projet</v>
      </c>
      <c r="D285" s="168">
        <f>'PA-Détails'!D2339</f>
        <v>138</v>
      </c>
      <c r="E285" s="168">
        <f>'PA-Détails'!E2339</f>
        <v>138</v>
      </c>
      <c r="F285" s="168">
        <f>'PA-Détails'!F2339</f>
        <v>0</v>
      </c>
      <c r="G285" s="168">
        <f>'PA-Détails'!G2339</f>
        <v>0</v>
      </c>
      <c r="H285" s="168">
        <f>'PA-Détails'!H2339</f>
        <v>0</v>
      </c>
      <c r="I285" s="168">
        <f>'PA-Détails'!I2339</f>
        <v>276</v>
      </c>
      <c r="J285" s="447">
        <f>'PA-Détails'!J2339</f>
        <v>0</v>
      </c>
      <c r="K285" s="36">
        <f>'PA-Détails'!K2339</f>
        <v>0</v>
      </c>
      <c r="L285" s="36">
        <f>'PA-Détails'!L2339</f>
        <v>138000</v>
      </c>
      <c r="M285" s="36">
        <f>'PA-Détails'!M2339</f>
        <v>138000</v>
      </c>
      <c r="N285" s="36">
        <f>'PA-Détails'!N2339</f>
        <v>0</v>
      </c>
      <c r="O285" s="36">
        <f>'PA-Détails'!O2339</f>
        <v>0</v>
      </c>
      <c r="P285" s="36">
        <f>'PA-Détails'!P2339</f>
        <v>0</v>
      </c>
      <c r="Q285" s="429">
        <f>'PA-Détails'!Q2339</f>
        <v>276000</v>
      </c>
      <c r="R285" s="570"/>
      <c r="S285" s="591">
        <f>'PA-Détails'!S2339</f>
        <v>0</v>
      </c>
      <c r="T285" s="597">
        <f>'PA-Détails'!T2339</f>
        <v>0</v>
      </c>
      <c r="U285" s="586">
        <f>'PA-Détails'!T2339</f>
        <v>0</v>
      </c>
    </row>
    <row r="286" spans="1:25" x14ac:dyDescent="0.2">
      <c r="A286" s="369" t="str">
        <f>'PA-Détails'!A2343</f>
        <v>8.7.2 Outils standards pour le compte rendu du budget</v>
      </c>
      <c r="B286" s="446"/>
      <c r="C286" s="386" t="str">
        <f>'PA-Détails'!C2343</f>
        <v>Des rapports type sont élaborés et diffusés</v>
      </c>
      <c r="D286" s="168">
        <f>'PA-Détails'!D2343</f>
        <v>26</v>
      </c>
      <c r="E286" s="168">
        <f>'PA-Détails'!E2343</f>
        <v>26</v>
      </c>
      <c r="F286" s="168">
        <f>'PA-Détails'!F2343</f>
        <v>0</v>
      </c>
      <c r="G286" s="168">
        <f>'PA-Détails'!G2343</f>
        <v>0</v>
      </c>
      <c r="H286" s="168">
        <f>'PA-Détails'!H2343</f>
        <v>0</v>
      </c>
      <c r="I286" s="168">
        <f>'PA-Détails'!I2343</f>
        <v>52</v>
      </c>
      <c r="J286" s="447">
        <f>'PA-Détails'!J2343</f>
        <v>0</v>
      </c>
      <c r="K286" s="36">
        <f>'PA-Détails'!K2343</f>
        <v>0</v>
      </c>
      <c r="L286" s="36">
        <f>'PA-Détails'!L2343</f>
        <v>26000</v>
      </c>
      <c r="M286" s="36">
        <f>'PA-Détails'!M2343</f>
        <v>26000</v>
      </c>
      <c r="N286" s="36">
        <f>'PA-Détails'!N2343</f>
        <v>0</v>
      </c>
      <c r="O286" s="36">
        <f>'PA-Détails'!O2343</f>
        <v>0</v>
      </c>
      <c r="P286" s="36">
        <f>'PA-Détails'!P2343</f>
        <v>0</v>
      </c>
      <c r="Q286" s="429">
        <f>'PA-Détails'!Q2343</f>
        <v>52000</v>
      </c>
      <c r="R286" s="570"/>
      <c r="S286" s="591">
        <f>'PA-Détails'!S2343</f>
        <v>0</v>
      </c>
      <c r="T286" s="597">
        <f>'PA-Détails'!T2343</f>
        <v>0</v>
      </c>
      <c r="U286" s="586">
        <f>'PA-Détails'!T2343</f>
        <v>0</v>
      </c>
    </row>
    <row r="287" spans="1:25" x14ac:dyDescent="0.2">
      <c r="A287" s="368" t="str">
        <f>'PA-Détails'!A2345</f>
        <v>8.8 Gestion des manuels scolaires : amélioration des capacité de production et de gestion des manuels</v>
      </c>
      <c r="B287" s="444"/>
      <c r="C287" s="385">
        <f>'PA-Détails'!C2345</f>
        <v>0</v>
      </c>
      <c r="D287" s="217">
        <f>'PA-Détails'!D2345</f>
        <v>105.2</v>
      </c>
      <c r="E287" s="217">
        <f>'PA-Détails'!E2345</f>
        <v>25</v>
      </c>
      <c r="F287" s="217">
        <f>'PA-Détails'!F2345</f>
        <v>0</v>
      </c>
      <c r="G287" s="217">
        <f>'PA-Détails'!G2345</f>
        <v>0</v>
      </c>
      <c r="H287" s="217">
        <f>'PA-Détails'!H2345</f>
        <v>0</v>
      </c>
      <c r="I287" s="217">
        <f>'PA-Détails'!I2345</f>
        <v>130.19999999999999</v>
      </c>
      <c r="J287" s="449">
        <f>'PA-Détails'!J2345</f>
        <v>0</v>
      </c>
      <c r="K287" s="32">
        <f>'PA-Détails'!K2345</f>
        <v>0</v>
      </c>
      <c r="L287" s="32">
        <f>'PA-Détails'!L2345</f>
        <v>105200</v>
      </c>
      <c r="M287" s="32">
        <f>'PA-Détails'!M2345</f>
        <v>25000</v>
      </c>
      <c r="N287" s="32">
        <f>'PA-Détails'!N2345</f>
        <v>0</v>
      </c>
      <c r="O287" s="32">
        <f>'PA-Détails'!O2345</f>
        <v>0</v>
      </c>
      <c r="P287" s="32">
        <f>'PA-Détails'!P2345</f>
        <v>0</v>
      </c>
      <c r="Q287" s="428">
        <f>'PA-Détails'!Q2345</f>
        <v>130200</v>
      </c>
      <c r="R287" s="570"/>
      <c r="S287" s="592">
        <f>'PA-Détails'!S2345</f>
        <v>0</v>
      </c>
      <c r="T287" s="593">
        <f>'PA-Détails'!T2345</f>
        <v>3</v>
      </c>
      <c r="U287" s="588">
        <f>'PA-Détails'!T2345</f>
        <v>3</v>
      </c>
    </row>
    <row r="288" spans="1:25" x14ac:dyDescent="0.2">
      <c r="A288" s="369" t="str">
        <f>'PA-Détails'!A2346</f>
        <v>8.8.1 Étude sur la production des manuels</v>
      </c>
      <c r="B288" s="446"/>
      <c r="C288" s="386">
        <f>'PA-Détails'!C2346</f>
        <v>0</v>
      </c>
      <c r="D288" s="168">
        <f>'PA-Détails'!D2346</f>
        <v>0</v>
      </c>
      <c r="E288" s="168">
        <f>'PA-Détails'!E2346</f>
        <v>25</v>
      </c>
      <c r="F288" s="168">
        <f>'PA-Détails'!F2346</f>
        <v>0</v>
      </c>
      <c r="G288" s="168">
        <f>'PA-Détails'!G2346</f>
        <v>0</v>
      </c>
      <c r="H288" s="168">
        <f>'PA-Détails'!H2346</f>
        <v>0</v>
      </c>
      <c r="I288" s="168">
        <f>'PA-Détails'!I2346</f>
        <v>25</v>
      </c>
      <c r="J288" s="447">
        <f>'PA-Détails'!J2346</f>
        <v>0</v>
      </c>
      <c r="K288" s="36">
        <f>'PA-Détails'!K2346</f>
        <v>0</v>
      </c>
      <c r="L288" s="36">
        <f>'PA-Détails'!L2346</f>
        <v>0</v>
      </c>
      <c r="M288" s="36">
        <f>'PA-Détails'!M2346</f>
        <v>25000</v>
      </c>
      <c r="N288" s="36">
        <f>'PA-Détails'!N2346</f>
        <v>0</v>
      </c>
      <c r="O288" s="36">
        <f>'PA-Détails'!O2346</f>
        <v>0</v>
      </c>
      <c r="P288" s="36">
        <f>'PA-Détails'!P2346</f>
        <v>0</v>
      </c>
      <c r="Q288" s="429">
        <f>'PA-Détails'!Q2346</f>
        <v>25000</v>
      </c>
      <c r="R288" s="570"/>
      <c r="S288" s="594">
        <f>'PA-Détails'!S2346</f>
        <v>0</v>
      </c>
      <c r="T288" s="595">
        <f>'PA-Détails'!T2346</f>
        <v>0</v>
      </c>
      <c r="U288" s="586">
        <f>'PA-Détails'!T2346</f>
        <v>0</v>
      </c>
    </row>
    <row r="289" spans="1:21" x14ac:dyDescent="0.2">
      <c r="A289" s="369" t="str">
        <f>'PA-Détails'!A2348</f>
        <v>8.8.2 Amélioration des capacités de production et de gestion des manuels</v>
      </c>
      <c r="B289" s="446"/>
      <c r="C289" s="386">
        <f>'PA-Détails'!C2348</f>
        <v>0</v>
      </c>
      <c r="D289" s="168">
        <f>'PA-Détails'!D2348</f>
        <v>105.2</v>
      </c>
      <c r="E289" s="168">
        <f>'PA-Détails'!E2348</f>
        <v>0</v>
      </c>
      <c r="F289" s="168">
        <f>'PA-Détails'!F2348</f>
        <v>0</v>
      </c>
      <c r="G289" s="168">
        <f>'PA-Détails'!G2348</f>
        <v>0</v>
      </c>
      <c r="H289" s="168">
        <f>'PA-Détails'!H2348</f>
        <v>0</v>
      </c>
      <c r="I289" s="168">
        <f>'PA-Détails'!I2348</f>
        <v>105.2</v>
      </c>
      <c r="J289" s="447">
        <f>'PA-Détails'!J2348</f>
        <v>0</v>
      </c>
      <c r="K289" s="36">
        <f>'PA-Détails'!K2348</f>
        <v>0</v>
      </c>
      <c r="L289" s="36">
        <f>'PA-Détails'!L2348</f>
        <v>105200</v>
      </c>
      <c r="M289" s="36">
        <f>'PA-Détails'!M2348</f>
        <v>0</v>
      </c>
      <c r="N289" s="36">
        <f>'PA-Détails'!N2348</f>
        <v>0</v>
      </c>
      <c r="O289" s="36">
        <f>'PA-Détails'!O2348</f>
        <v>0</v>
      </c>
      <c r="P289" s="36">
        <f>'PA-Détails'!P2348</f>
        <v>0</v>
      </c>
      <c r="Q289" s="429">
        <f>'PA-Détails'!Q2348</f>
        <v>105200</v>
      </c>
      <c r="R289" s="570"/>
      <c r="S289" s="594">
        <f>'PA-Détails'!S2348</f>
        <v>0</v>
      </c>
      <c r="T289" s="595">
        <f>'PA-Détails'!T2348</f>
        <v>0</v>
      </c>
      <c r="U289" s="586">
        <f>'PA-Détails'!T2348</f>
        <v>0</v>
      </c>
    </row>
    <row r="290" spans="1:21" x14ac:dyDescent="0.2">
      <c r="A290" s="368" t="str">
        <f>'PA-Détails'!A2351</f>
        <v xml:space="preserve">8.9 Gestion décentralisée : Améliorer le cadre institutionnel pour une meilleure gestion décentralisée du secteur de l’éducation </v>
      </c>
      <c r="B290" s="444"/>
      <c r="C290" s="385">
        <f>'PA-Détails'!C2351</f>
        <v>0</v>
      </c>
      <c r="D290" s="217">
        <f>'PA-Détails'!D2351</f>
        <v>63.5</v>
      </c>
      <c r="E290" s="217">
        <f>'PA-Détails'!E2351</f>
        <v>175.4</v>
      </c>
      <c r="F290" s="217">
        <f>'PA-Détails'!F2351</f>
        <v>54</v>
      </c>
      <c r="G290" s="217">
        <f>'PA-Détails'!G2351</f>
        <v>0</v>
      </c>
      <c r="H290" s="217">
        <f>'PA-Détails'!H2351</f>
        <v>0</v>
      </c>
      <c r="I290" s="217">
        <f>'PA-Détails'!I2351</f>
        <v>292.89999999999998</v>
      </c>
      <c r="J290" s="449">
        <f>'PA-Détails'!J2351</f>
        <v>0</v>
      </c>
      <c r="K290" s="32">
        <f>'PA-Détails'!K2351</f>
        <v>0</v>
      </c>
      <c r="L290" s="32">
        <f>'PA-Détails'!L2351</f>
        <v>63500</v>
      </c>
      <c r="M290" s="32">
        <f>'PA-Détails'!M2351</f>
        <v>175400</v>
      </c>
      <c r="N290" s="32">
        <f>'PA-Détails'!N2351</f>
        <v>54000</v>
      </c>
      <c r="O290" s="32">
        <f>'PA-Détails'!O2351</f>
        <v>0</v>
      </c>
      <c r="P290" s="32">
        <f>'PA-Détails'!P2351</f>
        <v>0</v>
      </c>
      <c r="Q290" s="428">
        <f>'PA-Détails'!Q2351</f>
        <v>292900</v>
      </c>
      <c r="R290" s="570"/>
      <c r="S290" s="590">
        <f>'PA-Détails'!S2351</f>
        <v>0</v>
      </c>
      <c r="T290" s="596">
        <f>'PA-Détails'!T2351</f>
        <v>3</v>
      </c>
      <c r="U290" s="583">
        <f>'PA-Détails'!T2351</f>
        <v>3</v>
      </c>
    </row>
    <row r="291" spans="1:21" x14ac:dyDescent="0.2">
      <c r="A291" s="369" t="str">
        <f>'PA-Détails'!A2352</f>
        <v>8.9.1 Convention de gestion avec les confessions</v>
      </c>
      <c r="B291" s="446"/>
      <c r="C291" s="386">
        <f>'PA-Détails'!C2352</f>
        <v>0</v>
      </c>
      <c r="D291" s="168">
        <f>'PA-Détails'!D2352</f>
        <v>0</v>
      </c>
      <c r="E291" s="168">
        <f>'PA-Détails'!E2352</f>
        <v>101</v>
      </c>
      <c r="F291" s="168">
        <f>'PA-Détails'!F2352</f>
        <v>0</v>
      </c>
      <c r="G291" s="168">
        <f>'PA-Détails'!G2352</f>
        <v>0</v>
      </c>
      <c r="H291" s="168">
        <f>'PA-Détails'!H2352</f>
        <v>0</v>
      </c>
      <c r="I291" s="168">
        <f>'PA-Détails'!I2352</f>
        <v>101</v>
      </c>
      <c r="J291" s="447">
        <f>'PA-Détails'!J2352</f>
        <v>0</v>
      </c>
      <c r="K291" s="36">
        <f>'PA-Détails'!K2352</f>
        <v>0</v>
      </c>
      <c r="L291" s="36">
        <f>'PA-Détails'!L2352</f>
        <v>0</v>
      </c>
      <c r="M291" s="36">
        <f>'PA-Détails'!M2352</f>
        <v>101000</v>
      </c>
      <c r="N291" s="36">
        <f>'PA-Détails'!N2352</f>
        <v>0</v>
      </c>
      <c r="O291" s="36">
        <f>'PA-Détails'!O2352</f>
        <v>0</v>
      </c>
      <c r="P291" s="36">
        <f>'PA-Détails'!P2352</f>
        <v>0</v>
      </c>
      <c r="Q291" s="429">
        <f>'PA-Détails'!Q2352</f>
        <v>101000</v>
      </c>
      <c r="R291" s="570"/>
      <c r="S291" s="591">
        <f>'PA-Détails'!S2352</f>
        <v>0</v>
      </c>
      <c r="T291" s="597">
        <f>'PA-Détails'!T2352</f>
        <v>0</v>
      </c>
      <c r="U291" s="586">
        <f>'PA-Détails'!T2352</f>
        <v>0</v>
      </c>
    </row>
    <row r="292" spans="1:21" x14ac:dyDescent="0.2">
      <c r="A292" s="369" t="str">
        <f>'PA-Détails'!A2354</f>
        <v>8.9.2 Rôles des acteurs centraux, provinciaux, BG et établissements</v>
      </c>
      <c r="B292" s="446"/>
      <c r="C292" s="386" t="str">
        <f>'PA-Détails'!C2354</f>
        <v>Textes règlementaires pris en 2016 et 2017</v>
      </c>
      <c r="D292" s="168">
        <f>'PA-Détails'!D2354</f>
        <v>9.5</v>
      </c>
      <c r="E292" s="168">
        <f>'PA-Détails'!E2354</f>
        <v>20.399999999999999</v>
      </c>
      <c r="F292" s="168">
        <f>'PA-Détails'!F2354</f>
        <v>0</v>
      </c>
      <c r="G292" s="168">
        <f>'PA-Détails'!G2354</f>
        <v>0</v>
      </c>
      <c r="H292" s="168">
        <f>'PA-Détails'!H2354</f>
        <v>0</v>
      </c>
      <c r="I292" s="168">
        <f>'PA-Détails'!I2354</f>
        <v>29.9</v>
      </c>
      <c r="J292" s="447">
        <f>'PA-Détails'!J2354</f>
        <v>0</v>
      </c>
      <c r="K292" s="36">
        <f>'PA-Détails'!K2354</f>
        <v>0</v>
      </c>
      <c r="L292" s="36">
        <f>'PA-Détails'!L2354</f>
        <v>9500</v>
      </c>
      <c r="M292" s="36">
        <f>'PA-Détails'!M2354</f>
        <v>20400</v>
      </c>
      <c r="N292" s="36">
        <f>'PA-Détails'!N2354</f>
        <v>0</v>
      </c>
      <c r="O292" s="36">
        <f>'PA-Détails'!O2354</f>
        <v>0</v>
      </c>
      <c r="P292" s="36">
        <f>'PA-Détails'!P2354</f>
        <v>0</v>
      </c>
      <c r="Q292" s="429">
        <f>'PA-Détails'!Q2354</f>
        <v>29900</v>
      </c>
      <c r="R292" s="570"/>
      <c r="S292" s="591">
        <f>'PA-Détails'!S2354</f>
        <v>0</v>
      </c>
      <c r="T292" s="597">
        <f>'PA-Détails'!T2354</f>
        <v>0</v>
      </c>
      <c r="U292" s="586">
        <f>'PA-Détails'!T2354</f>
        <v>0</v>
      </c>
    </row>
    <row r="293" spans="1:21" x14ac:dyDescent="0.2">
      <c r="A293" s="369" t="str">
        <f>'PA-Détails'!A2356</f>
        <v>8.9.3 Renforcement des COPA et COGES</v>
      </c>
      <c r="B293" s="446"/>
      <c r="C293" s="386">
        <f>'PA-Détails'!C2356</f>
        <v>0</v>
      </c>
      <c r="D293" s="168">
        <f>'PA-Détails'!D2356</f>
        <v>54</v>
      </c>
      <c r="E293" s="168">
        <f>'PA-Détails'!E2356</f>
        <v>54</v>
      </c>
      <c r="F293" s="168">
        <f>'PA-Détails'!F2356</f>
        <v>54</v>
      </c>
      <c r="G293" s="168">
        <f>'PA-Détails'!G2356</f>
        <v>0</v>
      </c>
      <c r="H293" s="168">
        <f>'PA-Détails'!H2356</f>
        <v>0</v>
      </c>
      <c r="I293" s="168">
        <f>'PA-Détails'!I2356</f>
        <v>162</v>
      </c>
      <c r="J293" s="447">
        <f>'PA-Détails'!J2356</f>
        <v>0</v>
      </c>
      <c r="K293" s="36">
        <f>'PA-Détails'!K2356</f>
        <v>0</v>
      </c>
      <c r="L293" s="36">
        <f>'PA-Détails'!L2356</f>
        <v>54000</v>
      </c>
      <c r="M293" s="36">
        <f>'PA-Détails'!M2356</f>
        <v>54000</v>
      </c>
      <c r="N293" s="36">
        <f>'PA-Détails'!N2356</f>
        <v>54000</v>
      </c>
      <c r="O293" s="36">
        <f>'PA-Détails'!O2356</f>
        <v>0</v>
      </c>
      <c r="P293" s="36">
        <f>'PA-Détails'!P2356</f>
        <v>0</v>
      </c>
      <c r="Q293" s="429">
        <f>'PA-Détails'!Q2356</f>
        <v>162000</v>
      </c>
      <c r="R293" s="570"/>
      <c r="S293" s="591">
        <f>'PA-Détails'!S2356</f>
        <v>0</v>
      </c>
      <c r="T293" s="597">
        <f>'PA-Détails'!T2356</f>
        <v>0</v>
      </c>
      <c r="U293" s="586">
        <f>'PA-Détails'!T2356</f>
        <v>0</v>
      </c>
    </row>
    <row r="294" spans="1:21" x14ac:dyDescent="0.2">
      <c r="A294" s="368" t="str">
        <f>'PA-Détails'!A2358</f>
        <v>8.10 Curricula et Méthodes pédagogiques innovantes : Réformer les programmes, harmoniser les référentiels de compétences et promouvoir des méthodes pédagogiques innovantes</v>
      </c>
      <c r="B294" s="444"/>
      <c r="C294" s="385">
        <f>'PA-Détails'!C2358</f>
        <v>0</v>
      </c>
      <c r="D294" s="217">
        <f>'PA-Détails'!D2358</f>
        <v>144.85</v>
      </c>
      <c r="E294" s="217">
        <f>'PA-Détails'!E2358</f>
        <v>45</v>
      </c>
      <c r="F294" s="217">
        <f>'PA-Détails'!F2358</f>
        <v>45</v>
      </c>
      <c r="G294" s="217">
        <f>'PA-Détails'!G2358</f>
        <v>45</v>
      </c>
      <c r="H294" s="217">
        <f>'PA-Détails'!H2358</f>
        <v>10</v>
      </c>
      <c r="I294" s="217">
        <f>'PA-Détails'!I2358</f>
        <v>289.85000000000002</v>
      </c>
      <c r="J294" s="449">
        <f>'PA-Détails'!J2358</f>
        <v>0</v>
      </c>
      <c r="K294" s="32">
        <f>'PA-Détails'!K2358</f>
        <v>0</v>
      </c>
      <c r="L294" s="32">
        <f>'PA-Détails'!L2358</f>
        <v>144850</v>
      </c>
      <c r="M294" s="32">
        <f>'PA-Détails'!M2358</f>
        <v>45000</v>
      </c>
      <c r="N294" s="32">
        <f>'PA-Détails'!N2358</f>
        <v>45000</v>
      </c>
      <c r="O294" s="32">
        <f>'PA-Détails'!O2358</f>
        <v>45000</v>
      </c>
      <c r="P294" s="32">
        <f>'PA-Détails'!P2358</f>
        <v>10000</v>
      </c>
      <c r="Q294" s="428">
        <f>'PA-Détails'!Q2358</f>
        <v>289850</v>
      </c>
      <c r="R294" s="570"/>
      <c r="S294" s="581">
        <f>'PA-Détails'!S2358</f>
        <v>0</v>
      </c>
      <c r="T294" s="582">
        <f>'PA-Détails'!T2358</f>
        <v>3</v>
      </c>
      <c r="U294" s="583">
        <f>'PA-Détails'!T2358</f>
        <v>3</v>
      </c>
    </row>
    <row r="295" spans="1:21" x14ac:dyDescent="0.2">
      <c r="A295" s="369" t="str">
        <f>'PA-Détails'!A2359</f>
        <v xml:space="preserve">8.10.1 Création d'un Comité scientifique </v>
      </c>
      <c r="B295" s="446"/>
      <c r="C295" s="386" t="str">
        <f>'PA-Détails'!C2359</f>
        <v xml:space="preserve">Un Comité scientifique réunissant tous les secteurs chargé de définir les socles de compétences et les profils de sortie est constitué </v>
      </c>
      <c r="D295" s="168">
        <f>'PA-Détails'!D2359</f>
        <v>13.1</v>
      </c>
      <c r="E295" s="168">
        <f>'PA-Détails'!E2359</f>
        <v>10</v>
      </c>
      <c r="F295" s="168">
        <f>'PA-Détails'!F2359</f>
        <v>10</v>
      </c>
      <c r="G295" s="168">
        <f>'PA-Détails'!G2359</f>
        <v>10</v>
      </c>
      <c r="H295" s="168">
        <f>'PA-Détails'!H2359</f>
        <v>10</v>
      </c>
      <c r="I295" s="168">
        <f>'PA-Détails'!I2359</f>
        <v>53.1</v>
      </c>
      <c r="J295" s="447">
        <f>'PA-Détails'!J2359</f>
        <v>0</v>
      </c>
      <c r="K295" s="36">
        <f>'PA-Détails'!K2359</f>
        <v>0</v>
      </c>
      <c r="L295" s="36">
        <f>'PA-Détails'!L2359</f>
        <v>13100</v>
      </c>
      <c r="M295" s="36">
        <f>'PA-Détails'!M2359</f>
        <v>10000</v>
      </c>
      <c r="N295" s="36">
        <f>'PA-Détails'!N2359</f>
        <v>10000</v>
      </c>
      <c r="O295" s="36">
        <f>'PA-Détails'!O2359</f>
        <v>10000</v>
      </c>
      <c r="P295" s="36">
        <f>'PA-Détails'!P2359</f>
        <v>10000</v>
      </c>
      <c r="Q295" s="429">
        <f>'PA-Détails'!Q2359</f>
        <v>53100</v>
      </c>
      <c r="R295" s="570"/>
      <c r="S295" s="584">
        <f>'PA-Détails'!S2359</f>
        <v>0</v>
      </c>
      <c r="T295" s="585">
        <f>'PA-Détails'!T2359</f>
        <v>0</v>
      </c>
      <c r="U295" s="586">
        <f>'PA-Détails'!T2359</f>
        <v>0</v>
      </c>
    </row>
    <row r="296" spans="1:21" x14ac:dyDescent="0.2">
      <c r="A296" s="370" t="str">
        <f>'PA-Détails'!A2362</f>
        <v>8.10.2 Réforme des curricula</v>
      </c>
      <c r="B296" s="452"/>
      <c r="C296" s="389" t="str">
        <f>'PA-Détails'!C2362</f>
        <v>Étude en 2016</v>
      </c>
      <c r="D296" s="168">
        <f>'PA-Détails'!D2362</f>
        <v>92.5</v>
      </c>
      <c r="E296" s="168">
        <f>'PA-Détails'!E2362</f>
        <v>35</v>
      </c>
      <c r="F296" s="168">
        <f>'PA-Détails'!F2362</f>
        <v>35</v>
      </c>
      <c r="G296" s="168">
        <f>'PA-Détails'!G2362</f>
        <v>35</v>
      </c>
      <c r="H296" s="168">
        <f>'PA-Détails'!H2362</f>
        <v>0</v>
      </c>
      <c r="I296" s="168">
        <f>'PA-Détails'!I2362</f>
        <v>197.5</v>
      </c>
      <c r="J296" s="389">
        <f>'PA-Détails'!J2362</f>
        <v>0</v>
      </c>
      <c r="K296" s="168">
        <f>'PA-Détails'!K2362</f>
        <v>0</v>
      </c>
      <c r="L296" s="36">
        <f>'PA-Détails'!L2362</f>
        <v>92500</v>
      </c>
      <c r="M296" s="36">
        <f>'PA-Détails'!M2362</f>
        <v>35000</v>
      </c>
      <c r="N296" s="36">
        <f>'PA-Détails'!N2362</f>
        <v>35000</v>
      </c>
      <c r="O296" s="36">
        <f>'PA-Détails'!O2362</f>
        <v>35000</v>
      </c>
      <c r="P296" s="36">
        <f>'PA-Détails'!P2362</f>
        <v>0</v>
      </c>
      <c r="Q296" s="429">
        <f>'PA-Détails'!Q2362</f>
        <v>197500</v>
      </c>
      <c r="R296" s="570"/>
      <c r="S296" s="584">
        <f>'PA-Détails'!S2362</f>
        <v>0</v>
      </c>
      <c r="T296" s="585">
        <f>'PA-Détails'!T2362</f>
        <v>0</v>
      </c>
      <c r="U296" s="586">
        <f>'PA-Détails'!T2362</f>
        <v>0</v>
      </c>
    </row>
    <row r="297" spans="1:21" x14ac:dyDescent="0.2">
      <c r="A297" s="370" t="str">
        <f>'PA-Détails'!A2365</f>
        <v>8.10.3 Former les enseignants aux méthodes innovantes</v>
      </c>
      <c r="B297" s="452"/>
      <c r="C297" s="389">
        <f>'PA-Détails'!C2365</f>
        <v>0</v>
      </c>
      <c r="D297" s="168">
        <f>'PA-Détails'!D2365</f>
        <v>39.25</v>
      </c>
      <c r="E297" s="168">
        <f>'PA-Détails'!E2365</f>
        <v>0</v>
      </c>
      <c r="F297" s="168">
        <f>'PA-Détails'!F2365</f>
        <v>0</v>
      </c>
      <c r="G297" s="168">
        <f>'PA-Détails'!G2365</f>
        <v>0</v>
      </c>
      <c r="H297" s="168">
        <f>'PA-Détails'!H2365</f>
        <v>0</v>
      </c>
      <c r="I297" s="168">
        <f>'PA-Détails'!I2365</f>
        <v>39.25</v>
      </c>
      <c r="J297" s="389">
        <f>'PA-Détails'!J2365</f>
        <v>0</v>
      </c>
      <c r="K297" s="168">
        <f>'PA-Détails'!K2365</f>
        <v>0</v>
      </c>
      <c r="L297" s="36">
        <f>'PA-Détails'!L2365</f>
        <v>39250</v>
      </c>
      <c r="M297" s="36">
        <f>'PA-Détails'!M2365</f>
        <v>0</v>
      </c>
      <c r="N297" s="36">
        <f>'PA-Détails'!N2365</f>
        <v>0</v>
      </c>
      <c r="O297" s="36">
        <f>'PA-Détails'!O2365</f>
        <v>0</v>
      </c>
      <c r="P297" s="36">
        <f>'PA-Détails'!P2365</f>
        <v>0</v>
      </c>
      <c r="Q297" s="429">
        <f>'PA-Détails'!Q2365</f>
        <v>39250</v>
      </c>
      <c r="R297" s="570"/>
      <c r="S297" s="584">
        <f>'PA-Détails'!S2365</f>
        <v>0</v>
      </c>
      <c r="T297" s="585">
        <f>'PA-Détails'!T2365</f>
        <v>0</v>
      </c>
      <c r="U297" s="586">
        <f>'PA-Détails'!T2363</f>
        <v>0</v>
      </c>
    </row>
    <row r="298" spans="1:21" x14ac:dyDescent="0.2">
      <c r="A298" s="368" t="str">
        <f>'PA-Détails'!A2367</f>
        <v>8.11 Assurance qualité et Pilotage de la qualité : développer une culture et des mécanismes de suivi et évaluation et de pilotage de la qualité des apprentissages</v>
      </c>
      <c r="B298" s="444"/>
      <c r="C298" s="385">
        <f>'PA-Détails'!C2367</f>
        <v>0</v>
      </c>
      <c r="D298" s="217">
        <f>'PA-Détails'!D2367</f>
        <v>464.3</v>
      </c>
      <c r="E298" s="217">
        <f>'PA-Détails'!E2367</f>
        <v>835.3</v>
      </c>
      <c r="F298" s="217">
        <f>'PA-Détails'!F2367</f>
        <v>558</v>
      </c>
      <c r="G298" s="217">
        <f>'PA-Détails'!G2367</f>
        <v>613</v>
      </c>
      <c r="H298" s="217">
        <f>'PA-Détails'!H2367</f>
        <v>558</v>
      </c>
      <c r="I298" s="217">
        <f>'PA-Détails'!I2367</f>
        <v>3028.6</v>
      </c>
      <c r="J298" s="449">
        <f>'PA-Détails'!J2367</f>
        <v>0</v>
      </c>
      <c r="K298" s="32">
        <f>'PA-Détails'!K2367</f>
        <v>0</v>
      </c>
      <c r="L298" s="32">
        <f>'PA-Détails'!L2367</f>
        <v>464300</v>
      </c>
      <c r="M298" s="32">
        <f>'PA-Détails'!M2367</f>
        <v>835300</v>
      </c>
      <c r="N298" s="32">
        <f>'PA-Détails'!N2367</f>
        <v>558000</v>
      </c>
      <c r="O298" s="32">
        <f>'PA-Détails'!O2367</f>
        <v>613000</v>
      </c>
      <c r="P298" s="32">
        <f>'PA-Détails'!P2367</f>
        <v>558000</v>
      </c>
      <c r="Q298" s="428">
        <f>'PA-Détails'!Q2367</f>
        <v>3028600</v>
      </c>
      <c r="R298" s="570"/>
      <c r="S298" s="581">
        <f>'PA-Détails'!S2367</f>
        <v>0</v>
      </c>
      <c r="T298" s="582">
        <f>'PA-Détails'!T2367</f>
        <v>3</v>
      </c>
      <c r="U298" s="583">
        <f>'PA-Détails'!T2367</f>
        <v>3</v>
      </c>
    </row>
    <row r="299" spans="1:21" x14ac:dyDescent="0.2">
      <c r="A299" s="369" t="str">
        <f>'PA-Détails'!A2368</f>
        <v>8.11.1 Formation des inspecteurs de l'ESU</v>
      </c>
      <c r="B299" s="446"/>
      <c r="C299" s="387" t="str">
        <f>'PA-Détails'!C2368</f>
        <v>Tous les inspecteurs bénéficient de deux semaines de formation tous les deux ans</v>
      </c>
      <c r="D299" s="168">
        <f>'PA-Détails'!D2368</f>
        <v>8.5</v>
      </c>
      <c r="E299" s="168">
        <f>'PA-Détails'!E2368</f>
        <v>55</v>
      </c>
      <c r="F299" s="168">
        <f>'PA-Détails'!F2368</f>
        <v>0</v>
      </c>
      <c r="G299" s="168">
        <f>'PA-Détails'!G2368</f>
        <v>55</v>
      </c>
      <c r="H299" s="168">
        <f>'PA-Détails'!H2368</f>
        <v>0</v>
      </c>
      <c r="I299" s="168">
        <f>'PA-Détails'!I2368</f>
        <v>118.5</v>
      </c>
      <c r="J299" s="447">
        <f>'PA-Détails'!J2368</f>
        <v>0</v>
      </c>
      <c r="K299" s="36">
        <f>'PA-Détails'!K2368</f>
        <v>0</v>
      </c>
      <c r="L299" s="36">
        <f>'PA-Détails'!L2368</f>
        <v>8500</v>
      </c>
      <c r="M299" s="36">
        <f>'PA-Détails'!M2368</f>
        <v>55000</v>
      </c>
      <c r="N299" s="36">
        <f>'PA-Détails'!N2368</f>
        <v>0</v>
      </c>
      <c r="O299" s="36">
        <f>'PA-Détails'!O2368</f>
        <v>55000</v>
      </c>
      <c r="P299" s="36">
        <f>'PA-Détails'!P2368</f>
        <v>0</v>
      </c>
      <c r="Q299" s="429">
        <f>'PA-Détails'!Q2368</f>
        <v>118500</v>
      </c>
      <c r="R299" s="570"/>
      <c r="S299" s="584">
        <f>'PA-Détails'!S2368</f>
        <v>0</v>
      </c>
      <c r="T299" s="585">
        <f>'PA-Détails'!T2368</f>
        <v>0</v>
      </c>
      <c r="U299" s="586">
        <f>'PA-Détails'!T2368</f>
        <v>0</v>
      </c>
    </row>
    <row r="300" spans="1:21" x14ac:dyDescent="0.2">
      <c r="A300" s="369" t="str">
        <f>'PA-Détails'!A2371</f>
        <v>8.11.2 Évaluation des acquis scolaires : mise en place d'un système d'évaluation des acquis scolaires</v>
      </c>
      <c r="B300" s="446"/>
      <c r="C300" s="386">
        <f>'PA-Détails'!C2371</f>
        <v>0</v>
      </c>
      <c r="D300" s="168">
        <f>'PA-Détails'!D2371</f>
        <v>436.3</v>
      </c>
      <c r="E300" s="168">
        <f>'PA-Détails'!E2371</f>
        <v>556.79999999999995</v>
      </c>
      <c r="F300" s="168">
        <f>'PA-Détails'!F2371</f>
        <v>548</v>
      </c>
      <c r="G300" s="168">
        <f>'PA-Détails'!G2371</f>
        <v>548</v>
      </c>
      <c r="H300" s="168">
        <f>'PA-Détails'!H2371</f>
        <v>548</v>
      </c>
      <c r="I300" s="168">
        <f>'PA-Détails'!I2371</f>
        <v>2637.1</v>
      </c>
      <c r="J300" s="447">
        <f>'PA-Détails'!J2371</f>
        <v>0</v>
      </c>
      <c r="K300" s="36">
        <f>'PA-Détails'!K2371</f>
        <v>0</v>
      </c>
      <c r="L300" s="36">
        <f>'PA-Détails'!L2371</f>
        <v>436300</v>
      </c>
      <c r="M300" s="36">
        <f>'PA-Détails'!M2371</f>
        <v>556800</v>
      </c>
      <c r="N300" s="36">
        <f>'PA-Détails'!N2371</f>
        <v>548000</v>
      </c>
      <c r="O300" s="36">
        <f>'PA-Détails'!O2371</f>
        <v>548000</v>
      </c>
      <c r="P300" s="36">
        <f>'PA-Détails'!P2371</f>
        <v>548000</v>
      </c>
      <c r="Q300" s="429">
        <f>'PA-Détails'!Q2371</f>
        <v>2637100</v>
      </c>
      <c r="R300" s="570"/>
      <c r="S300" s="584">
        <f>'PA-Détails'!S2371</f>
        <v>0</v>
      </c>
      <c r="T300" s="585">
        <f>'PA-Détails'!T2371</f>
        <v>0</v>
      </c>
      <c r="U300" s="586">
        <f>'PA-Détails'!T2371</f>
        <v>0</v>
      </c>
    </row>
    <row r="301" spans="1:21" x14ac:dyDescent="0.2">
      <c r="A301" s="369" t="str">
        <f>'PA-Détails'!A2375</f>
        <v>8.11.3 EPT : Mettre en place une Commission Nationale de Qualification et de Certification</v>
      </c>
      <c r="B301" s="446"/>
      <c r="C301" s="386">
        <f>'PA-Détails'!C2375</f>
        <v>0</v>
      </c>
      <c r="D301" s="168">
        <f>'PA-Détails'!D2375</f>
        <v>19.5</v>
      </c>
      <c r="E301" s="168">
        <f>'PA-Détails'!E2375</f>
        <v>10</v>
      </c>
      <c r="F301" s="168">
        <f>'PA-Détails'!F2375</f>
        <v>10</v>
      </c>
      <c r="G301" s="168">
        <f>'PA-Détails'!G2375</f>
        <v>10</v>
      </c>
      <c r="H301" s="168">
        <f>'PA-Détails'!H2375</f>
        <v>10</v>
      </c>
      <c r="I301" s="168">
        <f>'PA-Détails'!I2375</f>
        <v>59.5</v>
      </c>
      <c r="J301" s="447">
        <f>'PA-Détails'!J2375</f>
        <v>0</v>
      </c>
      <c r="K301" s="36">
        <f>'PA-Détails'!K2375</f>
        <v>0</v>
      </c>
      <c r="L301" s="36">
        <f>'PA-Détails'!L2375</f>
        <v>19500</v>
      </c>
      <c r="M301" s="36">
        <f>'PA-Détails'!M2375</f>
        <v>10000</v>
      </c>
      <c r="N301" s="36">
        <f>'PA-Détails'!N2375</f>
        <v>10000</v>
      </c>
      <c r="O301" s="36">
        <f>'PA-Détails'!O2375</f>
        <v>10000</v>
      </c>
      <c r="P301" s="36">
        <f>'PA-Détails'!P2375</f>
        <v>10000</v>
      </c>
      <c r="Q301" s="429">
        <f>'PA-Détails'!Q2375</f>
        <v>59500</v>
      </c>
      <c r="R301" s="570"/>
      <c r="S301" s="584">
        <f>'PA-Détails'!S2375</f>
        <v>0</v>
      </c>
      <c r="T301" s="585">
        <f>'PA-Détails'!T2375</f>
        <v>0</v>
      </c>
      <c r="U301" s="586"/>
    </row>
    <row r="302" spans="1:21" x14ac:dyDescent="0.2">
      <c r="A302" s="369" t="str">
        <f>'PA-Détails'!A2379</f>
        <v>8.11.4 Pilotage de la qualité : Guides de diagnostic de facteurs de non qualité</v>
      </c>
      <c r="B302" s="446"/>
      <c r="C302" s="387" t="str">
        <f>'PA-Détails'!C2379</f>
        <v>Guide élaboré et diffusé aux établissements en 2017</v>
      </c>
      <c r="D302" s="168">
        <f>'PA-Détails'!D2379</f>
        <v>0</v>
      </c>
      <c r="E302" s="168">
        <f>'PA-Détails'!E2379</f>
        <v>202.5</v>
      </c>
      <c r="F302" s="168">
        <f>'PA-Détails'!F2379</f>
        <v>0</v>
      </c>
      <c r="G302" s="168">
        <f>'PA-Détails'!G2379</f>
        <v>0</v>
      </c>
      <c r="H302" s="168">
        <f>'PA-Détails'!H2379</f>
        <v>0</v>
      </c>
      <c r="I302" s="168">
        <f>'PA-Détails'!I2379</f>
        <v>202.5</v>
      </c>
      <c r="J302" s="447">
        <f>'PA-Détails'!J2379</f>
        <v>0</v>
      </c>
      <c r="K302" s="36">
        <f>'PA-Détails'!K2379</f>
        <v>0</v>
      </c>
      <c r="L302" s="36">
        <f>'PA-Détails'!L2379</f>
        <v>0</v>
      </c>
      <c r="M302" s="36">
        <f>'PA-Détails'!M2379</f>
        <v>202500</v>
      </c>
      <c r="N302" s="36">
        <f>'PA-Détails'!N2379</f>
        <v>0</v>
      </c>
      <c r="O302" s="36">
        <f>'PA-Détails'!O2379</f>
        <v>0</v>
      </c>
      <c r="P302" s="36">
        <f>'PA-Détails'!P2379</f>
        <v>0</v>
      </c>
      <c r="Q302" s="429">
        <f>'PA-Détails'!Q2379</f>
        <v>202500</v>
      </c>
      <c r="R302" s="570"/>
      <c r="S302" s="584">
        <f>'PA-Détails'!S2379</f>
        <v>0</v>
      </c>
      <c r="T302" s="585">
        <f>'PA-Détails'!T2379</f>
        <v>0</v>
      </c>
      <c r="U302" s="586">
        <f>'PA-Détails'!T2379</f>
        <v>0</v>
      </c>
    </row>
    <row r="303" spans="1:21" x14ac:dyDescent="0.2">
      <c r="A303" s="369" t="str">
        <f>'PA-Détails'!A2382</f>
        <v>8.11.5 Formation des inspecteurs et directeurs</v>
      </c>
      <c r="B303" s="446"/>
      <c r="C303" s="387" t="str">
        <f>'PA-Détails'!C2382</f>
        <v>Préparation d'un module de formation pouvant être utilisé pendant les périodes de formation en 2017</v>
      </c>
      <c r="D303" s="168">
        <f>'PA-Détails'!D2382</f>
        <v>0</v>
      </c>
      <c r="E303" s="168">
        <f>'PA-Détails'!E2382</f>
        <v>11</v>
      </c>
      <c r="F303" s="168">
        <f>'PA-Détails'!F2382</f>
        <v>0</v>
      </c>
      <c r="G303" s="168">
        <f>'PA-Détails'!G2382</f>
        <v>0</v>
      </c>
      <c r="H303" s="168">
        <f>'PA-Détails'!H2382</f>
        <v>0</v>
      </c>
      <c r="I303" s="168">
        <f>'PA-Détails'!I2382</f>
        <v>11</v>
      </c>
      <c r="J303" s="447">
        <f>'PA-Détails'!J2382</f>
        <v>0</v>
      </c>
      <c r="K303" s="36">
        <f>'PA-Détails'!K2382</f>
        <v>0</v>
      </c>
      <c r="L303" s="36">
        <f>'PA-Détails'!L2382</f>
        <v>0</v>
      </c>
      <c r="M303" s="36">
        <f>'PA-Détails'!M2382</f>
        <v>11000</v>
      </c>
      <c r="N303" s="36">
        <f>'PA-Détails'!N2382</f>
        <v>0</v>
      </c>
      <c r="O303" s="36">
        <f>'PA-Détails'!O2382</f>
        <v>0</v>
      </c>
      <c r="P303" s="36">
        <f>'PA-Détails'!P2382</f>
        <v>0</v>
      </c>
      <c r="Q303" s="429">
        <f>'PA-Détails'!Q2382</f>
        <v>11000</v>
      </c>
      <c r="R303" s="570"/>
      <c r="S303" s="584">
        <f>'PA-Détails'!S2382</f>
        <v>0</v>
      </c>
      <c r="T303" s="585">
        <f>'PA-Détails'!T2382</f>
        <v>0</v>
      </c>
      <c r="U303" s="586">
        <f>'PA-Détails'!T2382</f>
        <v>0</v>
      </c>
    </row>
    <row r="304" spans="1:21" x14ac:dyDescent="0.2">
      <c r="A304" s="368" t="str">
        <f>'PA-Détails'!A2384</f>
        <v xml:space="preserve">8.12 Gestion des flux d'élèves : améliorer les instruments de gestion des flux et mise en place de l’éducation de base </v>
      </c>
      <c r="B304" s="444"/>
      <c r="C304" s="385">
        <f>'PA-Détails'!C2384</f>
        <v>0</v>
      </c>
      <c r="D304" s="217">
        <f>'PA-Détails'!D2384</f>
        <v>0</v>
      </c>
      <c r="E304" s="217">
        <f>'PA-Détails'!E2384</f>
        <v>138.9</v>
      </c>
      <c r="F304" s="217">
        <f>'PA-Détails'!F2384</f>
        <v>61.25</v>
      </c>
      <c r="G304" s="217">
        <f>'PA-Détails'!G2384</f>
        <v>0</v>
      </c>
      <c r="H304" s="217">
        <f>'PA-Détails'!H2384</f>
        <v>0</v>
      </c>
      <c r="I304" s="217">
        <f>'PA-Détails'!I2384</f>
        <v>200.15</v>
      </c>
      <c r="J304" s="449">
        <f>'PA-Détails'!J2384</f>
        <v>0</v>
      </c>
      <c r="K304" s="32">
        <f>'PA-Détails'!K2384</f>
        <v>0</v>
      </c>
      <c r="L304" s="32">
        <f>'PA-Détails'!L2384</f>
        <v>0</v>
      </c>
      <c r="M304" s="32">
        <f>'PA-Détails'!M2384</f>
        <v>138900</v>
      </c>
      <c r="N304" s="32">
        <f>'PA-Détails'!N2384</f>
        <v>61250</v>
      </c>
      <c r="O304" s="32">
        <f>'PA-Détails'!O2384</f>
        <v>0</v>
      </c>
      <c r="P304" s="32">
        <f>'PA-Détails'!P2384</f>
        <v>0</v>
      </c>
      <c r="Q304" s="428">
        <f>'PA-Détails'!Q2384</f>
        <v>200150</v>
      </c>
      <c r="R304" s="570"/>
      <c r="S304" s="581">
        <f>'PA-Détails'!S2384</f>
        <v>0</v>
      </c>
      <c r="T304" s="582">
        <f>'PA-Détails'!T2384</f>
        <v>3</v>
      </c>
      <c r="U304" s="583">
        <f>'PA-Détails'!T2384</f>
        <v>3</v>
      </c>
    </row>
    <row r="305" spans="1:21" x14ac:dyDescent="0.2">
      <c r="A305" s="370" t="str">
        <f>'PA-Détails'!A2385</f>
        <v>8.12.1 Étude sur les passerelles</v>
      </c>
      <c r="B305" s="452"/>
      <c r="C305" s="390" t="str">
        <f>'PA-Détails'!C2385</f>
        <v>Étude menée en 2017</v>
      </c>
      <c r="D305" s="168">
        <f>'PA-Détails'!D2385</f>
        <v>0</v>
      </c>
      <c r="E305" s="168">
        <f>'PA-Détails'!E2385</f>
        <v>47.5</v>
      </c>
      <c r="F305" s="168">
        <f>'PA-Détails'!F2385</f>
        <v>0</v>
      </c>
      <c r="G305" s="168">
        <f>'PA-Détails'!G2385</f>
        <v>0</v>
      </c>
      <c r="H305" s="168">
        <f>'PA-Détails'!H2385</f>
        <v>0</v>
      </c>
      <c r="I305" s="168">
        <f>'PA-Détails'!I2385</f>
        <v>47.5</v>
      </c>
      <c r="J305" s="447">
        <f>'PA-Détails'!J2385</f>
        <v>0</v>
      </c>
      <c r="K305" s="168">
        <f>'PA-Détails'!K2385</f>
        <v>0</v>
      </c>
      <c r="L305" s="36">
        <f>'PA-Détails'!L2385</f>
        <v>0</v>
      </c>
      <c r="M305" s="36">
        <f>'PA-Détails'!M2385</f>
        <v>47500</v>
      </c>
      <c r="N305" s="36">
        <f>'PA-Détails'!N2385</f>
        <v>0</v>
      </c>
      <c r="O305" s="36">
        <f>'PA-Détails'!O2385</f>
        <v>0</v>
      </c>
      <c r="P305" s="36">
        <f>'PA-Détails'!P2385</f>
        <v>0</v>
      </c>
      <c r="Q305" s="429">
        <f>'PA-Détails'!Q2385</f>
        <v>47500</v>
      </c>
      <c r="R305" s="570"/>
      <c r="S305" s="584">
        <f>'PA-Détails'!S2385</f>
        <v>0</v>
      </c>
      <c r="T305" s="585">
        <f>'PA-Détails'!T2385</f>
        <v>0</v>
      </c>
      <c r="U305" s="586">
        <f>'PA-Détails'!T2385</f>
        <v>0</v>
      </c>
    </row>
    <row r="306" spans="1:21" x14ac:dyDescent="0.2">
      <c r="A306" s="369" t="str">
        <f>'PA-Détails'!A2388</f>
        <v>8.12.2 Services d'orientation</v>
      </c>
      <c r="B306" s="446"/>
      <c r="C306" s="387" t="str">
        <f>'PA-Détails'!C2388</f>
        <v>Les services d'orientation ont des moyens renforcés</v>
      </c>
      <c r="D306" s="168">
        <f>'PA-Détails'!D2388</f>
        <v>0</v>
      </c>
      <c r="E306" s="168">
        <f>'PA-Détails'!E2388</f>
        <v>91.4</v>
      </c>
      <c r="F306" s="168">
        <f>'PA-Détails'!F2388</f>
        <v>22</v>
      </c>
      <c r="G306" s="168">
        <f>'PA-Détails'!G2388</f>
        <v>0</v>
      </c>
      <c r="H306" s="168">
        <f>'PA-Détails'!H2388</f>
        <v>0</v>
      </c>
      <c r="I306" s="168">
        <f>'PA-Détails'!I2388</f>
        <v>113.4</v>
      </c>
      <c r="J306" s="447">
        <f>'PA-Détails'!J2388</f>
        <v>0</v>
      </c>
      <c r="K306" s="36">
        <f>'PA-Détails'!K2388</f>
        <v>0</v>
      </c>
      <c r="L306" s="36">
        <f>'PA-Détails'!L2388</f>
        <v>0</v>
      </c>
      <c r="M306" s="36">
        <f>'PA-Détails'!M2388</f>
        <v>91400</v>
      </c>
      <c r="N306" s="36">
        <f>'PA-Détails'!N2388</f>
        <v>22000</v>
      </c>
      <c r="O306" s="36">
        <f>'PA-Détails'!O2388</f>
        <v>0</v>
      </c>
      <c r="P306" s="36">
        <f>'PA-Détails'!P2388</f>
        <v>0</v>
      </c>
      <c r="Q306" s="429">
        <f>'PA-Détails'!Q2388</f>
        <v>113400</v>
      </c>
      <c r="R306" s="570"/>
      <c r="S306" s="584">
        <f>'PA-Détails'!S2388</f>
        <v>0</v>
      </c>
      <c r="T306" s="585">
        <f>'PA-Détails'!T2388</f>
        <v>0</v>
      </c>
      <c r="U306" s="586">
        <f>'PA-Détails'!T2388</f>
        <v>0</v>
      </c>
    </row>
    <row r="307" spans="1:21" x14ac:dyDescent="0.2">
      <c r="A307" s="369" t="str">
        <f>'PA-Détails'!A2393</f>
        <v>8.12.3 Étude réforme du TENAFEP</v>
      </c>
      <c r="B307" s="446"/>
      <c r="C307" s="387" t="str">
        <f>'PA-Détails'!C2393</f>
        <v>Étude menée en 2018</v>
      </c>
      <c r="D307" s="168">
        <f>'PA-Détails'!D2393</f>
        <v>0</v>
      </c>
      <c r="E307" s="168">
        <f>'PA-Détails'!E2393</f>
        <v>0</v>
      </c>
      <c r="F307" s="168">
        <f>'PA-Détails'!F2393</f>
        <v>39.25</v>
      </c>
      <c r="G307" s="168">
        <f>'PA-Détails'!G2393</f>
        <v>0</v>
      </c>
      <c r="H307" s="168">
        <f>'PA-Détails'!H2393</f>
        <v>0</v>
      </c>
      <c r="I307" s="168">
        <f>'PA-Détails'!I2393</f>
        <v>39.25</v>
      </c>
      <c r="J307" s="447">
        <f>'PA-Détails'!J2393</f>
        <v>0</v>
      </c>
      <c r="K307" s="36">
        <f>'PA-Détails'!K2393</f>
        <v>0</v>
      </c>
      <c r="L307" s="36">
        <f>'PA-Détails'!L2393</f>
        <v>0</v>
      </c>
      <c r="M307" s="36">
        <f>'PA-Détails'!M2393</f>
        <v>0</v>
      </c>
      <c r="N307" s="36">
        <f>'PA-Détails'!N2393</f>
        <v>39250</v>
      </c>
      <c r="O307" s="36">
        <f>'PA-Détails'!O2393</f>
        <v>0</v>
      </c>
      <c r="P307" s="36">
        <f>'PA-Détails'!P2393</f>
        <v>0</v>
      </c>
      <c r="Q307" s="429">
        <f>'PA-Détails'!Q2393</f>
        <v>39250</v>
      </c>
      <c r="R307" s="570"/>
      <c r="S307" s="591">
        <f>'PA-Détails'!S2393</f>
        <v>0</v>
      </c>
      <c r="T307" s="585">
        <f>'PA-Détails'!T2393</f>
        <v>0</v>
      </c>
      <c r="U307" s="586">
        <f>'PA-Détails'!T2393</f>
        <v>0</v>
      </c>
    </row>
    <row r="308" spans="1:21" x14ac:dyDescent="0.2">
      <c r="A308" s="368" t="str">
        <f>'PA-Détails'!A2395</f>
        <v>8.13 Redoublements: mettre en place une politique de réduction des redoublements au primaire et d'une nouvelle réglementation des redoublements au secondaire et au supérieur</v>
      </c>
      <c r="B308" s="444"/>
      <c r="C308" s="385">
        <f>'PA-Détails'!C2395</f>
        <v>0</v>
      </c>
      <c r="D308" s="217">
        <f>'PA-Détails'!D2395</f>
        <v>116.8</v>
      </c>
      <c r="E308" s="217">
        <f>'PA-Détails'!E2395</f>
        <v>127.3</v>
      </c>
      <c r="F308" s="217">
        <f>'PA-Détails'!F2395</f>
        <v>236.1</v>
      </c>
      <c r="G308" s="217">
        <f>'PA-Détails'!G2395</f>
        <v>0</v>
      </c>
      <c r="H308" s="217">
        <f>'PA-Détails'!H2395</f>
        <v>0</v>
      </c>
      <c r="I308" s="217">
        <f>'PA-Détails'!I2395</f>
        <v>480.2</v>
      </c>
      <c r="J308" s="449">
        <f>'PA-Détails'!J2395</f>
        <v>0</v>
      </c>
      <c r="K308" s="32">
        <f>'PA-Détails'!K2395</f>
        <v>0</v>
      </c>
      <c r="L308" s="32">
        <f>'PA-Détails'!L2395</f>
        <v>116800</v>
      </c>
      <c r="M308" s="32">
        <f>'PA-Détails'!M2395</f>
        <v>127300</v>
      </c>
      <c r="N308" s="32">
        <f>'PA-Détails'!N2395</f>
        <v>236100</v>
      </c>
      <c r="O308" s="32">
        <f>'PA-Détails'!O2395</f>
        <v>0</v>
      </c>
      <c r="P308" s="32">
        <f>'PA-Détails'!P2395</f>
        <v>0</v>
      </c>
      <c r="Q308" s="428">
        <f>'PA-Détails'!Q2395</f>
        <v>480200</v>
      </c>
      <c r="R308" s="570"/>
      <c r="S308" s="590">
        <f>'PA-Détails'!S2395</f>
        <v>0</v>
      </c>
      <c r="T308" s="596">
        <f>'PA-Détails'!T2395</f>
        <v>3</v>
      </c>
      <c r="U308" s="583">
        <f>'PA-Détails'!T2395</f>
        <v>3</v>
      </c>
    </row>
    <row r="309" spans="1:21" x14ac:dyDescent="0.2">
      <c r="A309" s="369" t="str">
        <f>'PA-Détails'!A2396</f>
        <v>8.13.1 Guide pratique sur la question du redoublement au primaire</v>
      </c>
      <c r="B309" s="446"/>
      <c r="C309" s="387" t="str">
        <f>'PA-Détails'!C2396</f>
        <v>Guide élaboré en 2016 et diffusé aux établissements</v>
      </c>
      <c r="D309" s="168">
        <f>'PA-Détails'!D2396</f>
        <v>61</v>
      </c>
      <c r="E309" s="168">
        <f>'PA-Détails'!E2396</f>
        <v>46</v>
      </c>
      <c r="F309" s="168">
        <f>'PA-Détails'!F2396</f>
        <v>46</v>
      </c>
      <c r="G309" s="168">
        <f>'PA-Détails'!G2396</f>
        <v>0</v>
      </c>
      <c r="H309" s="168">
        <f>'PA-Détails'!H2396</f>
        <v>0</v>
      </c>
      <c r="I309" s="168">
        <f>'PA-Détails'!I2396</f>
        <v>153</v>
      </c>
      <c r="J309" s="447">
        <f>'PA-Détails'!J2396</f>
        <v>0</v>
      </c>
      <c r="K309" s="36">
        <f>'PA-Détails'!K2396</f>
        <v>0</v>
      </c>
      <c r="L309" s="36">
        <f>'PA-Détails'!L2396</f>
        <v>61000</v>
      </c>
      <c r="M309" s="36">
        <f>'PA-Détails'!M2396</f>
        <v>46000</v>
      </c>
      <c r="N309" s="36">
        <f>'PA-Détails'!N2396</f>
        <v>46000</v>
      </c>
      <c r="O309" s="36">
        <f>'PA-Détails'!O2396</f>
        <v>0</v>
      </c>
      <c r="P309" s="36">
        <f>'PA-Détails'!P2396</f>
        <v>0</v>
      </c>
      <c r="Q309" s="429">
        <f>'PA-Détails'!Q2396</f>
        <v>153000</v>
      </c>
      <c r="R309" s="570"/>
      <c r="S309" s="591">
        <f>'PA-Détails'!S2396</f>
        <v>0</v>
      </c>
      <c r="T309" s="597">
        <f>'PA-Détails'!T2396</f>
        <v>0</v>
      </c>
      <c r="U309" s="586">
        <f>'PA-Détails'!T2396</f>
        <v>0</v>
      </c>
    </row>
    <row r="310" spans="1:21" x14ac:dyDescent="0.2">
      <c r="A310" s="369" t="str">
        <f>'PA-Détails'!A2399</f>
        <v>8.13.2 Campagne de sensibilisation</v>
      </c>
      <c r="B310" s="446"/>
      <c r="C310" s="387" t="str">
        <f>'PA-Détails'!C2399</f>
        <v>Tous les directeurs et inspecteurs sensibilisés entre 2016 et 2018</v>
      </c>
      <c r="D310" s="168">
        <f>'PA-Détails'!D2399</f>
        <v>52.5</v>
      </c>
      <c r="E310" s="168">
        <f>'PA-Détails'!E2399</f>
        <v>52.5</v>
      </c>
      <c r="F310" s="168">
        <f>'PA-Détails'!F2399</f>
        <v>52.5</v>
      </c>
      <c r="G310" s="168">
        <f>'PA-Détails'!G2399</f>
        <v>0</v>
      </c>
      <c r="H310" s="168">
        <f>'PA-Détails'!H2399</f>
        <v>0</v>
      </c>
      <c r="I310" s="168">
        <f>'PA-Détails'!I2399</f>
        <v>157.5</v>
      </c>
      <c r="J310" s="447">
        <f>'PA-Détails'!J2399</f>
        <v>0</v>
      </c>
      <c r="K310" s="36">
        <f>'PA-Détails'!K2399</f>
        <v>0</v>
      </c>
      <c r="L310" s="36">
        <f>'PA-Détails'!L2399</f>
        <v>52500</v>
      </c>
      <c r="M310" s="36">
        <f>'PA-Détails'!M2399</f>
        <v>52500</v>
      </c>
      <c r="N310" s="36">
        <f>'PA-Détails'!N2399</f>
        <v>52500</v>
      </c>
      <c r="O310" s="36">
        <f>'PA-Détails'!O2399</f>
        <v>0</v>
      </c>
      <c r="P310" s="36">
        <f>'PA-Détails'!P2399</f>
        <v>0</v>
      </c>
      <c r="Q310" s="429">
        <f>'PA-Détails'!Q2399</f>
        <v>157500</v>
      </c>
      <c r="R310" s="570"/>
      <c r="S310" s="591">
        <f>'PA-Détails'!S2399</f>
        <v>0</v>
      </c>
      <c r="T310" s="597">
        <f>'PA-Détails'!T2399</f>
        <v>0</v>
      </c>
      <c r="U310" s="586">
        <f>'PA-Détails'!T2399</f>
        <v>0</v>
      </c>
    </row>
    <row r="311" spans="1:21" x14ac:dyDescent="0.2">
      <c r="A311" s="370" t="str">
        <f>'PA-Détails'!A2401</f>
        <v>8.13.3 Systématisation du rattrapage</v>
      </c>
      <c r="B311" s="452"/>
      <c r="C311" s="390" t="str">
        <f>'PA-Détails'!C2401</f>
        <v>En 2025, tous les directeurs d'écoles maternelles, primaires et secondaires ont reçu une formation</v>
      </c>
      <c r="D311" s="168">
        <f>'PA-Détails'!D2401</f>
        <v>3.3</v>
      </c>
      <c r="E311" s="168">
        <f>'PA-Détails'!E2401</f>
        <v>3.3</v>
      </c>
      <c r="F311" s="168">
        <f>'PA-Détails'!F2401</f>
        <v>0</v>
      </c>
      <c r="G311" s="168">
        <f>'PA-Détails'!G2401</f>
        <v>0</v>
      </c>
      <c r="H311" s="168">
        <f>'PA-Détails'!H2401</f>
        <v>0</v>
      </c>
      <c r="I311" s="168">
        <f>'PA-Détails'!I2401</f>
        <v>6.6</v>
      </c>
      <c r="J311" s="447">
        <f>'PA-Détails'!J2401</f>
        <v>0</v>
      </c>
      <c r="K311" s="168">
        <f>'PA-Détails'!K2401</f>
        <v>0</v>
      </c>
      <c r="L311" s="36">
        <f>'PA-Détails'!L2401</f>
        <v>3300</v>
      </c>
      <c r="M311" s="36">
        <f>'PA-Détails'!M2401</f>
        <v>3300</v>
      </c>
      <c r="N311" s="36">
        <f>'PA-Détails'!N2401</f>
        <v>0</v>
      </c>
      <c r="O311" s="36">
        <f>'PA-Détails'!O2401</f>
        <v>0</v>
      </c>
      <c r="P311" s="36">
        <f>'PA-Détails'!P2401</f>
        <v>0</v>
      </c>
      <c r="Q311" s="429">
        <f>'PA-Détails'!Q2401</f>
        <v>6600</v>
      </c>
      <c r="R311" s="570"/>
      <c r="S311" s="591">
        <f>'PA-Détails'!S2401</f>
        <v>0</v>
      </c>
      <c r="T311" s="597">
        <f>'PA-Détails'!T2401</f>
        <v>0</v>
      </c>
      <c r="U311" s="586">
        <f>'PA-Détails'!T2401</f>
        <v>0</v>
      </c>
    </row>
    <row r="312" spans="1:21" x14ac:dyDescent="0.2">
      <c r="A312" s="369" t="str">
        <f>'PA-Détails'!A2403</f>
        <v>8.13.4 Système de gestion et de suivi des scolarités au secondaire et au supérieur</v>
      </c>
      <c r="B312" s="446"/>
      <c r="C312" s="386">
        <f>'PA-Détails'!C2403</f>
        <v>0</v>
      </c>
      <c r="D312" s="168">
        <f>'PA-Détails'!D2403</f>
        <v>0</v>
      </c>
      <c r="E312" s="168">
        <f>'PA-Détails'!E2403</f>
        <v>25.5</v>
      </c>
      <c r="F312" s="168">
        <f>'PA-Détails'!F2403</f>
        <v>137.6</v>
      </c>
      <c r="G312" s="168">
        <f>'PA-Détails'!G2403</f>
        <v>0</v>
      </c>
      <c r="H312" s="168">
        <f>'PA-Détails'!H2403</f>
        <v>0</v>
      </c>
      <c r="I312" s="168">
        <f>'PA-Détails'!I2403</f>
        <v>163.1</v>
      </c>
      <c r="J312" s="447">
        <f>'PA-Détails'!J2403</f>
        <v>0</v>
      </c>
      <c r="K312" s="36">
        <f>'PA-Détails'!K2403</f>
        <v>0</v>
      </c>
      <c r="L312" s="36">
        <f>'PA-Détails'!L2403</f>
        <v>0</v>
      </c>
      <c r="M312" s="36">
        <f>'PA-Détails'!M2403</f>
        <v>25500</v>
      </c>
      <c r="N312" s="36">
        <f>'PA-Détails'!N2403</f>
        <v>137600</v>
      </c>
      <c r="O312" s="36">
        <f>'PA-Détails'!O2403</f>
        <v>0</v>
      </c>
      <c r="P312" s="36">
        <f>'PA-Détails'!P2403</f>
        <v>0</v>
      </c>
      <c r="Q312" s="429">
        <f>'PA-Détails'!Q2403</f>
        <v>163100</v>
      </c>
      <c r="R312" s="570"/>
      <c r="S312" s="591">
        <f>'PA-Détails'!S2403</f>
        <v>0</v>
      </c>
      <c r="T312" s="597">
        <f>'PA-Détails'!T2403</f>
        <v>0</v>
      </c>
      <c r="U312" s="586">
        <f>'PA-Détails'!T2403</f>
        <v>0</v>
      </c>
    </row>
    <row r="313" spans="1:21" x14ac:dyDescent="0.2">
      <c r="A313" s="368" t="str">
        <f>'PA-Détails'!A2406</f>
        <v>8.14 Scolarisation des filles : Encourager la scolarisation des filles</v>
      </c>
      <c r="B313" s="444"/>
      <c r="C313" s="385">
        <f>'PA-Détails'!C2406</f>
        <v>0</v>
      </c>
      <c r="D313" s="217">
        <f>'PA-Détails'!D2406</f>
        <v>629.6</v>
      </c>
      <c r="E313" s="217">
        <f>'PA-Détails'!E2406</f>
        <v>585.31299999999999</v>
      </c>
      <c r="F313" s="217">
        <f>'PA-Détails'!F2406</f>
        <v>586.31299999999999</v>
      </c>
      <c r="G313" s="217">
        <f>'PA-Détails'!G2406</f>
        <v>482.25</v>
      </c>
      <c r="H313" s="217">
        <f>'PA-Détails'!H2406</f>
        <v>512.25</v>
      </c>
      <c r="I313" s="217">
        <f>'PA-Détails'!I2406</f>
        <v>2795.7260000000001</v>
      </c>
      <c r="J313" s="449">
        <f>'PA-Détails'!J2406</f>
        <v>0</v>
      </c>
      <c r="K313" s="32">
        <f>'PA-Détails'!K2406</f>
        <v>0</v>
      </c>
      <c r="L313" s="32">
        <f>'PA-Détails'!L2406</f>
        <v>629600</v>
      </c>
      <c r="M313" s="32">
        <f>'PA-Détails'!M2406</f>
        <v>585313</v>
      </c>
      <c r="N313" s="32">
        <f>'PA-Détails'!N2406</f>
        <v>586313</v>
      </c>
      <c r="O313" s="32">
        <f>'PA-Détails'!O2406</f>
        <v>482250</v>
      </c>
      <c r="P313" s="32">
        <f>'PA-Détails'!P2406</f>
        <v>512250</v>
      </c>
      <c r="Q313" s="428">
        <f>'PA-Détails'!Q2406</f>
        <v>2795726</v>
      </c>
      <c r="R313" s="570"/>
      <c r="S313" s="590">
        <f>'PA-Détails'!S2406</f>
        <v>0</v>
      </c>
      <c r="T313" s="582">
        <f>'PA-Détails'!T2406</f>
        <v>3</v>
      </c>
      <c r="U313" s="583">
        <f>'PA-Détails'!T2406</f>
        <v>3</v>
      </c>
    </row>
    <row r="314" spans="1:21" x14ac:dyDescent="0.2">
      <c r="A314" s="369" t="str">
        <f>'PA-Détails'!A2407</f>
        <v>8.14.1 Actions de communication pour agir sur les comportements</v>
      </c>
      <c r="B314" s="446"/>
      <c r="C314" s="386" t="str">
        <f>'PA-Détails'!C2407</f>
        <v>Un plan de communication est établi et des actions menées dans les médias</v>
      </c>
      <c r="D314" s="168">
        <f>'PA-Détails'!D2407</f>
        <v>220.9</v>
      </c>
      <c r="E314" s="168">
        <f>'PA-Détails'!E2407</f>
        <v>104.8</v>
      </c>
      <c r="F314" s="168">
        <f>'PA-Détails'!F2407</f>
        <v>104.8</v>
      </c>
      <c r="G314" s="168">
        <f>'PA-Détails'!G2407</f>
        <v>104.8</v>
      </c>
      <c r="H314" s="168">
        <f>'PA-Détails'!H2407</f>
        <v>104.8</v>
      </c>
      <c r="I314" s="168">
        <f>'PA-Détails'!I2407</f>
        <v>640.1</v>
      </c>
      <c r="J314" s="447">
        <f>'PA-Détails'!J2407</f>
        <v>0</v>
      </c>
      <c r="K314" s="36">
        <f>'PA-Détails'!K2407</f>
        <v>0</v>
      </c>
      <c r="L314" s="36">
        <f>'PA-Détails'!L2407</f>
        <v>220900</v>
      </c>
      <c r="M314" s="36">
        <f>'PA-Détails'!M2407</f>
        <v>104800</v>
      </c>
      <c r="N314" s="36">
        <f>'PA-Détails'!N2407</f>
        <v>104800</v>
      </c>
      <c r="O314" s="36">
        <f>'PA-Détails'!O2407</f>
        <v>104800</v>
      </c>
      <c r="P314" s="36">
        <f>'PA-Détails'!P2407</f>
        <v>104800</v>
      </c>
      <c r="Q314" s="429">
        <f>'PA-Détails'!Q2407</f>
        <v>640100</v>
      </c>
      <c r="R314" s="570"/>
      <c r="S314" s="591">
        <f>'PA-Détails'!S2407</f>
        <v>0</v>
      </c>
      <c r="T314" s="585">
        <f>'PA-Détails'!T2407</f>
        <v>0</v>
      </c>
      <c r="U314" s="586">
        <f>'PA-Détails'!T2407</f>
        <v>0</v>
      </c>
    </row>
    <row r="315" spans="1:21" x14ac:dyDescent="0.2">
      <c r="A315" s="369" t="str">
        <f>'PA-Détails'!A2411</f>
        <v xml:space="preserve">8.14.2 Code de conduite et sanctions contre les violences </v>
      </c>
      <c r="B315" s="446"/>
      <c r="C315" s="386" t="str">
        <f>'PA-Détails'!C2411</f>
        <v>Les cas de violence sont systématiquement rapportés et les dossiers instruits</v>
      </c>
      <c r="D315" s="168">
        <f>'PA-Détails'!D2411</f>
        <v>179.5</v>
      </c>
      <c r="E315" s="168">
        <f>'PA-Détails'!E2411</f>
        <v>125</v>
      </c>
      <c r="F315" s="168">
        <f>'PA-Détails'!F2411</f>
        <v>155</v>
      </c>
      <c r="G315" s="168">
        <f>'PA-Détails'!G2411</f>
        <v>185</v>
      </c>
      <c r="H315" s="168">
        <f>'PA-Détails'!H2411</f>
        <v>215</v>
      </c>
      <c r="I315" s="168">
        <f>'PA-Détails'!I2411</f>
        <v>859.5</v>
      </c>
      <c r="J315" s="447">
        <f>'PA-Détails'!J2411</f>
        <v>0</v>
      </c>
      <c r="K315" s="36">
        <f>'PA-Détails'!K2411</f>
        <v>0</v>
      </c>
      <c r="L315" s="36">
        <f>'PA-Détails'!L2411</f>
        <v>179500</v>
      </c>
      <c r="M315" s="36">
        <f>'PA-Détails'!M2411</f>
        <v>125000</v>
      </c>
      <c r="N315" s="36">
        <f>'PA-Détails'!N2411</f>
        <v>155000</v>
      </c>
      <c r="O315" s="36">
        <f>'PA-Détails'!O2411</f>
        <v>185000</v>
      </c>
      <c r="P315" s="36">
        <f>'PA-Détails'!P2411</f>
        <v>215000</v>
      </c>
      <c r="Q315" s="429">
        <f>'PA-Détails'!Q2411</f>
        <v>859500</v>
      </c>
      <c r="R315" s="570"/>
      <c r="S315" s="591">
        <f>'PA-Détails'!S2411</f>
        <v>0</v>
      </c>
      <c r="T315" s="585">
        <f>'PA-Détails'!T2411</f>
        <v>0</v>
      </c>
      <c r="U315" s="586">
        <f>'PA-Détails'!T2411</f>
        <v>0</v>
      </c>
    </row>
    <row r="316" spans="1:21" x14ac:dyDescent="0.2">
      <c r="A316" s="369" t="str">
        <f>'PA-Détails'!A2415</f>
        <v>8.14.3 Proposition de modèles féminins inspirants</v>
      </c>
      <c r="B316" s="446"/>
      <c r="C316" s="386" t="str">
        <f>'PA-Détails'!C2415</f>
        <v>Encourager le recrutement de femmes enseignantes</v>
      </c>
      <c r="D316" s="168">
        <f>'PA-Détails'!D2415</f>
        <v>22</v>
      </c>
      <c r="E316" s="168">
        <f>'PA-Détails'!E2415</f>
        <v>38</v>
      </c>
      <c r="F316" s="168">
        <f>'PA-Détails'!F2415</f>
        <v>57</v>
      </c>
      <c r="G316" s="168">
        <f>'PA-Détails'!G2415</f>
        <v>57</v>
      </c>
      <c r="H316" s="168">
        <f>'PA-Détails'!H2415</f>
        <v>57</v>
      </c>
      <c r="I316" s="168">
        <f>'PA-Détails'!I2415</f>
        <v>231</v>
      </c>
      <c r="J316" s="447">
        <f>'PA-Détails'!J2415</f>
        <v>0</v>
      </c>
      <c r="K316" s="36">
        <f>'PA-Détails'!K2415</f>
        <v>0</v>
      </c>
      <c r="L316" s="36">
        <f>'PA-Détails'!L2415</f>
        <v>22000</v>
      </c>
      <c r="M316" s="36">
        <f>'PA-Détails'!M2415</f>
        <v>38000</v>
      </c>
      <c r="N316" s="36">
        <f>'PA-Détails'!N2415</f>
        <v>57000</v>
      </c>
      <c r="O316" s="36">
        <f>'PA-Détails'!O2415</f>
        <v>57000</v>
      </c>
      <c r="P316" s="36">
        <f>'PA-Détails'!P2415</f>
        <v>57000</v>
      </c>
      <c r="Q316" s="429">
        <f>'PA-Détails'!Q2415</f>
        <v>231000</v>
      </c>
      <c r="R316" s="570"/>
      <c r="S316" s="591">
        <f>'PA-Détails'!S2415</f>
        <v>0</v>
      </c>
      <c r="T316" s="585">
        <f>'PA-Détails'!T2415</f>
        <v>0</v>
      </c>
      <c r="U316" s="586">
        <f>'PA-Détails'!T2415</f>
        <v>0</v>
      </c>
    </row>
    <row r="317" spans="1:21" x14ac:dyDescent="0.2">
      <c r="A317" s="369" t="str">
        <f>'PA-Détails'!A2418</f>
        <v>8.14.4 Information sur la prévention des mariages et grossesses précoces</v>
      </c>
      <c r="B317" s="446"/>
      <c r="C317" s="386" t="str">
        <f>'PA-Détails'!C2418</f>
        <v>Des campagnes de sensibilisation sont menées</v>
      </c>
      <c r="D317" s="168">
        <f>'PA-Détails'!D2418</f>
        <v>172.95</v>
      </c>
      <c r="E317" s="168">
        <f>'PA-Détails'!E2418</f>
        <v>135.44999999999999</v>
      </c>
      <c r="F317" s="168">
        <f>'PA-Détails'!F2418</f>
        <v>135.44999999999999</v>
      </c>
      <c r="G317" s="168">
        <f>'PA-Détails'!G2418</f>
        <v>135.44999999999999</v>
      </c>
      <c r="H317" s="168">
        <f>'PA-Détails'!H2418</f>
        <v>135.44999999999999</v>
      </c>
      <c r="I317" s="168">
        <f>'PA-Détails'!I2418</f>
        <v>714.75</v>
      </c>
      <c r="J317" s="447">
        <f>'PA-Détails'!J2418</f>
        <v>0</v>
      </c>
      <c r="K317" s="36">
        <f>'PA-Détails'!K2418</f>
        <v>0</v>
      </c>
      <c r="L317" s="36">
        <f>'PA-Détails'!L2418</f>
        <v>172950</v>
      </c>
      <c r="M317" s="36">
        <f>'PA-Détails'!M2418</f>
        <v>135450</v>
      </c>
      <c r="N317" s="36">
        <f>'PA-Détails'!N2418</f>
        <v>135450</v>
      </c>
      <c r="O317" s="36">
        <f>'PA-Détails'!O2418</f>
        <v>135450</v>
      </c>
      <c r="P317" s="36">
        <f>'PA-Détails'!P2418</f>
        <v>135450</v>
      </c>
      <c r="Q317" s="429">
        <f>'PA-Détails'!Q2418</f>
        <v>714750</v>
      </c>
      <c r="R317" s="570"/>
      <c r="S317" s="591">
        <f>'PA-Détails'!S2418</f>
        <v>0</v>
      </c>
      <c r="T317" s="585">
        <f>'PA-Détails'!T2418</f>
        <v>0</v>
      </c>
      <c r="U317" s="586">
        <f>'PA-Détails'!T2418</f>
        <v>0</v>
      </c>
    </row>
    <row r="318" spans="1:21" x14ac:dyDescent="0.2">
      <c r="A318" s="369" t="str">
        <f>'PA-Détails'!A2421</f>
        <v>8.14.5 Éliminer les stéréotypes genre dans les programmes et les manuels</v>
      </c>
      <c r="B318" s="446"/>
      <c r="C318" s="386" t="str">
        <f>'PA-Détails'!C2421</f>
        <v>Les préoccupations genre sont prises en compte lors de la révision des programmes et manuels</v>
      </c>
      <c r="D318" s="168">
        <f>'PA-Détails'!D2421</f>
        <v>34.25</v>
      </c>
      <c r="E318" s="168">
        <f>'PA-Détails'!E2421</f>
        <v>182.06299999999999</v>
      </c>
      <c r="F318" s="168">
        <f>'PA-Détails'!F2421</f>
        <v>134.06299999999999</v>
      </c>
      <c r="G318" s="168">
        <f>'PA-Détails'!G2421</f>
        <v>0</v>
      </c>
      <c r="H318" s="168">
        <f>'PA-Détails'!H2421</f>
        <v>0</v>
      </c>
      <c r="I318" s="168">
        <f>'PA-Détails'!I2421</f>
        <v>350.37599999999998</v>
      </c>
      <c r="J318" s="447">
        <f>'PA-Détails'!J2421</f>
        <v>0</v>
      </c>
      <c r="K318" s="36">
        <f>'PA-Détails'!K2421</f>
        <v>0</v>
      </c>
      <c r="L318" s="36">
        <f>'PA-Détails'!L2421</f>
        <v>34250</v>
      </c>
      <c r="M318" s="36">
        <f>'PA-Détails'!M2421</f>
        <v>182063</v>
      </c>
      <c r="N318" s="36">
        <f>'PA-Détails'!N2421</f>
        <v>134063</v>
      </c>
      <c r="O318" s="36">
        <f>'PA-Détails'!O2421</f>
        <v>0</v>
      </c>
      <c r="P318" s="36">
        <f>'PA-Détails'!P2421</f>
        <v>0</v>
      </c>
      <c r="Q318" s="429">
        <f>'PA-Détails'!Q2421</f>
        <v>350376</v>
      </c>
      <c r="R318" s="570"/>
      <c r="S318" s="591">
        <f>'PA-Détails'!S2421</f>
        <v>0</v>
      </c>
      <c r="T318" s="585">
        <f>'PA-Détails'!T2421</f>
        <v>0</v>
      </c>
      <c r="U318" s="586">
        <f>'PA-Détails'!T2421</f>
        <v>0</v>
      </c>
    </row>
    <row r="319" spans="1:21" x14ac:dyDescent="0.2">
      <c r="A319" s="368" t="str">
        <f>'PA-Détails'!A2426</f>
        <v>8.15 Préparation de rentrée : mettre en place un dispositif assurant le respect du temps scolaire et d’enseignement</v>
      </c>
      <c r="B319" s="444"/>
      <c r="C319" s="385">
        <f>'PA-Détails'!C2426</f>
        <v>0</v>
      </c>
      <c r="D319" s="217">
        <f>'PA-Détails'!D2426</f>
        <v>0</v>
      </c>
      <c r="E319" s="217">
        <f>'PA-Détails'!E2426</f>
        <v>10.9</v>
      </c>
      <c r="F319" s="217">
        <f>'PA-Détails'!F2426</f>
        <v>13</v>
      </c>
      <c r="G319" s="217">
        <f>'PA-Détails'!G2426</f>
        <v>0</v>
      </c>
      <c r="H319" s="217">
        <f>'PA-Détails'!H2426</f>
        <v>0</v>
      </c>
      <c r="I319" s="217">
        <f>'PA-Détails'!I2426</f>
        <v>23.9</v>
      </c>
      <c r="J319" s="449">
        <f>'PA-Détails'!J2426</f>
        <v>0</v>
      </c>
      <c r="K319" s="32">
        <f>'PA-Détails'!K2426</f>
        <v>0</v>
      </c>
      <c r="L319" s="32">
        <f>'PA-Détails'!L2426</f>
        <v>0</v>
      </c>
      <c r="M319" s="32">
        <f>'PA-Détails'!M2426</f>
        <v>10900</v>
      </c>
      <c r="N319" s="32">
        <f>'PA-Détails'!N2426</f>
        <v>13000</v>
      </c>
      <c r="O319" s="32">
        <f>'PA-Détails'!O2426</f>
        <v>0</v>
      </c>
      <c r="P319" s="32">
        <f>'PA-Détails'!P2426</f>
        <v>0</v>
      </c>
      <c r="Q319" s="428">
        <f>'PA-Détails'!Q2426</f>
        <v>23900</v>
      </c>
      <c r="R319" s="570"/>
      <c r="S319" s="590">
        <f>'PA-Détails'!S2426</f>
        <v>0</v>
      </c>
      <c r="T319" s="596">
        <f>'PA-Détails'!T2426</f>
        <v>3</v>
      </c>
      <c r="U319" s="583">
        <f>'PA-Détails'!T2426</f>
        <v>3</v>
      </c>
    </row>
    <row r="320" spans="1:21" x14ac:dyDescent="0.2">
      <c r="A320" s="369" t="str">
        <f>'PA-Détails'!A2427</f>
        <v>8.15.1 Préparation de la rentrée scolaire</v>
      </c>
      <c r="B320" s="446"/>
      <c r="C320" s="386">
        <f>'PA-Détails'!C2427</f>
        <v>0</v>
      </c>
      <c r="D320" s="168">
        <f>'PA-Détails'!D2427</f>
        <v>0</v>
      </c>
      <c r="E320" s="168">
        <f>'PA-Détails'!E2427</f>
        <v>0</v>
      </c>
      <c r="F320" s="168">
        <f>'PA-Détails'!F2427</f>
        <v>0</v>
      </c>
      <c r="G320" s="168">
        <f>'PA-Détails'!G2427</f>
        <v>0</v>
      </c>
      <c r="H320" s="168">
        <f>'PA-Détails'!H2427</f>
        <v>0</v>
      </c>
      <c r="I320" s="168">
        <f>'PA-Détails'!I2427</f>
        <v>0</v>
      </c>
      <c r="J320" s="447">
        <f>'PA-Détails'!J2427</f>
        <v>0</v>
      </c>
      <c r="K320" s="36">
        <f>'PA-Détails'!K2427</f>
        <v>0</v>
      </c>
      <c r="L320" s="36">
        <f>'PA-Détails'!L2427</f>
        <v>0</v>
      </c>
      <c r="M320" s="36">
        <f>'PA-Détails'!M2427</f>
        <v>0</v>
      </c>
      <c r="N320" s="36">
        <f>'PA-Détails'!N2427</f>
        <v>0</v>
      </c>
      <c r="O320" s="36">
        <f>'PA-Détails'!O2427</f>
        <v>0</v>
      </c>
      <c r="P320" s="36">
        <f>'PA-Détails'!P2427</f>
        <v>0</v>
      </c>
      <c r="Q320" s="429">
        <f>'PA-Détails'!Q2427</f>
        <v>0</v>
      </c>
      <c r="R320" s="570"/>
      <c r="S320" s="591">
        <f>'PA-Détails'!S2427</f>
        <v>0</v>
      </c>
      <c r="T320" s="597">
        <f>'PA-Détails'!T2427</f>
        <v>0</v>
      </c>
      <c r="U320" s="586">
        <f>'PA-Détails'!T2427</f>
        <v>0</v>
      </c>
    </row>
    <row r="321" spans="1:25" x14ac:dyDescent="0.2">
      <c r="A321" s="369" t="str">
        <f>'PA-Détails'!A2430</f>
        <v xml:space="preserve">8.15.2 Procédure de paiement des salaires </v>
      </c>
      <c r="B321" s="446"/>
      <c r="C321" s="386">
        <f>'PA-Détails'!C2430</f>
        <v>0</v>
      </c>
      <c r="D321" s="168">
        <f>'PA-Détails'!D2430</f>
        <v>0</v>
      </c>
      <c r="E321" s="168">
        <f>'PA-Détails'!E2430</f>
        <v>0</v>
      </c>
      <c r="F321" s="168">
        <f>'PA-Détails'!F2430</f>
        <v>13</v>
      </c>
      <c r="G321" s="168">
        <f>'PA-Détails'!G2430</f>
        <v>0</v>
      </c>
      <c r="H321" s="168">
        <f>'PA-Détails'!H2430</f>
        <v>0</v>
      </c>
      <c r="I321" s="168">
        <f>'PA-Détails'!I2430</f>
        <v>13</v>
      </c>
      <c r="J321" s="447">
        <f>'PA-Détails'!J2430</f>
        <v>0</v>
      </c>
      <c r="K321" s="36">
        <f>'PA-Détails'!K2430</f>
        <v>0</v>
      </c>
      <c r="L321" s="36">
        <f>'PA-Détails'!L2430</f>
        <v>0</v>
      </c>
      <c r="M321" s="36">
        <f>'PA-Détails'!M2430</f>
        <v>0</v>
      </c>
      <c r="N321" s="36">
        <f>'PA-Détails'!N2430</f>
        <v>13000</v>
      </c>
      <c r="O321" s="36">
        <f>'PA-Détails'!O2430</f>
        <v>0</v>
      </c>
      <c r="P321" s="36">
        <f>'PA-Détails'!P2430</f>
        <v>0</v>
      </c>
      <c r="Q321" s="429">
        <f>'PA-Détails'!Q2430</f>
        <v>13000</v>
      </c>
      <c r="R321" s="570"/>
      <c r="S321" s="591">
        <f>'PA-Détails'!S2430</f>
        <v>0</v>
      </c>
      <c r="T321" s="597">
        <f>'PA-Détails'!T2430</f>
        <v>0</v>
      </c>
      <c r="U321" s="586">
        <f>'PA-Détails'!T2430</f>
        <v>0</v>
      </c>
    </row>
    <row r="322" spans="1:25" x14ac:dyDescent="0.2">
      <c r="A322" s="369" t="str">
        <f>'PA-Détails'!A2432</f>
        <v>8.15.3 Rattrapage des heures perdues</v>
      </c>
      <c r="B322" s="446"/>
      <c r="C322" s="387" t="str">
        <f>'PA-Détails'!C2432</f>
        <v xml:space="preserve">Dispositions pour imposer à chaque école le rattrapage des heures perdues </v>
      </c>
      <c r="D322" s="168">
        <f>'PA-Détails'!D2432</f>
        <v>0</v>
      </c>
      <c r="E322" s="168">
        <f>'PA-Détails'!E2432</f>
        <v>10.9</v>
      </c>
      <c r="F322" s="168">
        <f>'PA-Détails'!F2432</f>
        <v>0</v>
      </c>
      <c r="G322" s="168">
        <f>'PA-Détails'!G2432</f>
        <v>0</v>
      </c>
      <c r="H322" s="168">
        <f>'PA-Détails'!H2432</f>
        <v>0</v>
      </c>
      <c r="I322" s="168">
        <f>'PA-Détails'!I2432</f>
        <v>10.9</v>
      </c>
      <c r="J322" s="447">
        <f>'PA-Détails'!J2432</f>
        <v>0</v>
      </c>
      <c r="K322" s="36">
        <f>'PA-Détails'!K2432</f>
        <v>0</v>
      </c>
      <c r="L322" s="36">
        <f>'PA-Détails'!L2432</f>
        <v>0</v>
      </c>
      <c r="M322" s="36">
        <f>'PA-Détails'!M2432</f>
        <v>10900</v>
      </c>
      <c r="N322" s="36">
        <f>'PA-Détails'!N2432</f>
        <v>0</v>
      </c>
      <c r="O322" s="36">
        <f>'PA-Détails'!O2432</f>
        <v>0</v>
      </c>
      <c r="P322" s="36">
        <f>'PA-Détails'!P2432</f>
        <v>0</v>
      </c>
      <c r="Q322" s="429">
        <f>'PA-Détails'!Q2432</f>
        <v>10900</v>
      </c>
      <c r="R322" s="570"/>
      <c r="S322" s="591">
        <f>'PA-Détails'!S2432</f>
        <v>0</v>
      </c>
      <c r="T322" s="597">
        <f>'PA-Détails'!T2432</f>
        <v>0</v>
      </c>
      <c r="U322" s="586">
        <f>'PA-Détails'!T2432</f>
        <v>0</v>
      </c>
    </row>
    <row r="323" spans="1:25" x14ac:dyDescent="0.2">
      <c r="A323" s="368" t="str">
        <f>'PA-Détails'!A2434</f>
        <v xml:space="preserve">8.16 Système d'information central et provincial : Renforcer le système d’information et de gestion de l’éducation (SIGE) et développer les outils et les initiatives d’exploitation locale des données </v>
      </c>
      <c r="B323" s="444"/>
      <c r="C323" s="385">
        <f>'PA-Détails'!C2434</f>
        <v>0</v>
      </c>
      <c r="D323" s="217">
        <f>'PA-Détails'!D2434</f>
        <v>754.83</v>
      </c>
      <c r="E323" s="217">
        <f>'PA-Détails'!E2434</f>
        <v>731.23</v>
      </c>
      <c r="F323" s="217">
        <f>'PA-Détails'!F2434</f>
        <v>763.23</v>
      </c>
      <c r="G323" s="217">
        <f>'PA-Détails'!G2434</f>
        <v>819.23</v>
      </c>
      <c r="H323" s="217">
        <f>'PA-Détails'!H2434</f>
        <v>875.23</v>
      </c>
      <c r="I323" s="217">
        <f>'PA-Détails'!I2434</f>
        <v>3943.75</v>
      </c>
      <c r="J323" s="449">
        <f>'PA-Détails'!J2434</f>
        <v>0</v>
      </c>
      <c r="K323" s="32">
        <f>'PA-Détails'!K2434</f>
        <v>0</v>
      </c>
      <c r="L323" s="32">
        <f>'PA-Détails'!L2434</f>
        <v>754830</v>
      </c>
      <c r="M323" s="32">
        <f>'PA-Détails'!M2434</f>
        <v>731230</v>
      </c>
      <c r="N323" s="32">
        <f>'PA-Détails'!N2434</f>
        <v>763230</v>
      </c>
      <c r="O323" s="32">
        <f>'PA-Détails'!O2434</f>
        <v>819230</v>
      </c>
      <c r="P323" s="32">
        <f>'PA-Détails'!P2434</f>
        <v>875230</v>
      </c>
      <c r="Q323" s="428">
        <f>'PA-Détails'!Q2434</f>
        <v>3943750</v>
      </c>
      <c r="R323" s="570"/>
      <c r="S323" s="581">
        <f>'PA-Détails'!S2434</f>
        <v>0</v>
      </c>
      <c r="T323" s="582">
        <f>'PA-Détails'!T2434</f>
        <v>3</v>
      </c>
      <c r="U323" s="583">
        <f>'PA-Détails'!T2434</f>
        <v>3</v>
      </c>
    </row>
    <row r="324" spans="1:25" s="162" customFormat="1" x14ac:dyDescent="0.2">
      <c r="A324" s="370" t="str">
        <f>'PA-Détails'!A2435</f>
        <v>8.16.1 Équipement informatique et collecte statistique</v>
      </c>
      <c r="B324" s="452"/>
      <c r="C324" s="389" t="str">
        <f>'PA-Détails'!C2435</f>
        <v xml:space="preserve">Les structures centrales et déconcentrées sont dotées en capacités et moyens pour collecter et traiter les données </v>
      </c>
      <c r="D324" s="168">
        <f>'PA-Détails'!D2435</f>
        <v>367.35</v>
      </c>
      <c r="E324" s="168">
        <f>'PA-Détails'!E2435</f>
        <v>344.35</v>
      </c>
      <c r="F324" s="168">
        <f>'PA-Détails'!F2435</f>
        <v>299.35000000000002</v>
      </c>
      <c r="G324" s="168">
        <f>'PA-Détails'!G2435</f>
        <v>299.35000000000002</v>
      </c>
      <c r="H324" s="168">
        <f>'PA-Détails'!H2435</f>
        <v>299.35000000000002</v>
      </c>
      <c r="I324" s="168">
        <f>'PA-Détails'!I2435</f>
        <v>1609.75</v>
      </c>
      <c r="J324" s="389">
        <f>'PA-Détails'!J2435</f>
        <v>0</v>
      </c>
      <c r="K324" s="168">
        <f>'PA-Détails'!K2435</f>
        <v>0</v>
      </c>
      <c r="L324" s="168">
        <f>'PA-Détails'!L2435</f>
        <v>367350</v>
      </c>
      <c r="M324" s="168">
        <f>'PA-Détails'!M2435</f>
        <v>344350</v>
      </c>
      <c r="N324" s="168">
        <f>'PA-Détails'!N2435</f>
        <v>299350</v>
      </c>
      <c r="O324" s="168">
        <f>'PA-Détails'!O2435</f>
        <v>299350</v>
      </c>
      <c r="P324" s="168">
        <f>'PA-Détails'!P2435</f>
        <v>299350</v>
      </c>
      <c r="Q324" s="432">
        <f>'PA-Détails'!Q2435</f>
        <v>1609750</v>
      </c>
      <c r="R324" s="570"/>
      <c r="S324" s="584">
        <f>'PA-Détails'!S2435</f>
        <v>0</v>
      </c>
      <c r="T324" s="585">
        <f>'PA-Détails'!T2435</f>
        <v>0</v>
      </c>
      <c r="U324" s="586">
        <f>'PA-Détails'!T2435</f>
        <v>0</v>
      </c>
      <c r="V324" s="572"/>
      <c r="W324" s="572"/>
      <c r="X324" s="572"/>
      <c r="Y324" s="572"/>
    </row>
    <row r="325" spans="1:25" s="162" customFormat="1" x14ac:dyDescent="0.2">
      <c r="A325" s="370" t="str">
        <f>'PA-Détails'!A2439</f>
        <v>8.16.2 Traitement, analyse, publication et diffusion des données</v>
      </c>
      <c r="B325" s="461"/>
      <c r="C325" s="389" t="str">
        <f>'PA-Détails'!C2439</f>
        <v>Les données et indicateurs statistiques sont produites et diffusées avant la fin de l'année scolaire/académique</v>
      </c>
      <c r="D325" s="168">
        <f>'PA-Détails'!D2439</f>
        <v>278.2</v>
      </c>
      <c r="E325" s="168">
        <f>'PA-Détails'!E2439</f>
        <v>294.2</v>
      </c>
      <c r="F325" s="168">
        <f>'PA-Détails'!F2439</f>
        <v>334.2</v>
      </c>
      <c r="G325" s="168">
        <f>'PA-Détails'!G2439</f>
        <v>374.2</v>
      </c>
      <c r="H325" s="168">
        <f>'PA-Détails'!H2439</f>
        <v>414.2</v>
      </c>
      <c r="I325" s="168">
        <f>'PA-Détails'!I2439</f>
        <v>1695</v>
      </c>
      <c r="J325" s="389">
        <f>'PA-Détails'!J2439</f>
        <v>0</v>
      </c>
      <c r="K325" s="168">
        <f>'PA-Détails'!K2439</f>
        <v>0</v>
      </c>
      <c r="L325" s="168">
        <f>'PA-Détails'!L2439</f>
        <v>278200</v>
      </c>
      <c r="M325" s="168">
        <f>'PA-Détails'!M2439</f>
        <v>294200</v>
      </c>
      <c r="N325" s="168">
        <f>'PA-Détails'!N2439</f>
        <v>334200</v>
      </c>
      <c r="O325" s="168">
        <f>'PA-Détails'!O2439</f>
        <v>374200</v>
      </c>
      <c r="P325" s="168">
        <f>'PA-Détails'!P2439</f>
        <v>414200</v>
      </c>
      <c r="Q325" s="432">
        <f>'PA-Détails'!Q2439</f>
        <v>1695000</v>
      </c>
      <c r="R325" s="570"/>
      <c r="S325" s="591">
        <f>'PA-Détails'!S2439</f>
        <v>0</v>
      </c>
      <c r="T325" s="585">
        <f>'PA-Détails'!T2439</f>
        <v>0</v>
      </c>
      <c r="U325" s="586">
        <f>'PA-Détails'!T2439</f>
        <v>0</v>
      </c>
      <c r="V325" s="572"/>
      <c r="W325" s="572"/>
      <c r="X325" s="572"/>
      <c r="Y325" s="572"/>
    </row>
    <row r="326" spans="1:25" s="162" customFormat="1" x14ac:dyDescent="0.2">
      <c r="A326" s="370" t="str">
        <f>'PA-Détails'!A2442</f>
        <v>8.16.3 Consolidation et publication de la carte scolaire/universitaire</v>
      </c>
      <c r="B326" s="461"/>
      <c r="C326" s="389">
        <f>'PA-Détails'!C2442</f>
        <v>0</v>
      </c>
      <c r="D326" s="168">
        <f>'PA-Détails'!D2442</f>
        <v>59.28</v>
      </c>
      <c r="E326" s="168">
        <f>'PA-Détails'!E2442</f>
        <v>65.680000000000007</v>
      </c>
      <c r="F326" s="168">
        <f>'PA-Détails'!F2442</f>
        <v>81.680000000000007</v>
      </c>
      <c r="G326" s="168">
        <f>'PA-Détails'!G2442</f>
        <v>97.68</v>
      </c>
      <c r="H326" s="168">
        <f>'PA-Détails'!H2442</f>
        <v>113.68</v>
      </c>
      <c r="I326" s="168">
        <f>'PA-Détails'!I2442</f>
        <v>418</v>
      </c>
      <c r="J326" s="389">
        <f>'PA-Détails'!J2442</f>
        <v>0</v>
      </c>
      <c r="K326" s="168">
        <f>'PA-Détails'!K2442</f>
        <v>0</v>
      </c>
      <c r="L326" s="168">
        <f>'PA-Détails'!L2442</f>
        <v>59280</v>
      </c>
      <c r="M326" s="168">
        <f>'PA-Détails'!M2442</f>
        <v>65680</v>
      </c>
      <c r="N326" s="168">
        <f>'PA-Détails'!N2442</f>
        <v>81680</v>
      </c>
      <c r="O326" s="168">
        <f>'PA-Détails'!O2442</f>
        <v>97680</v>
      </c>
      <c r="P326" s="168">
        <f>'PA-Détails'!P2442</f>
        <v>113680</v>
      </c>
      <c r="Q326" s="432">
        <f>'PA-Détails'!Q2442</f>
        <v>418000</v>
      </c>
      <c r="R326" s="570"/>
      <c r="S326" s="591">
        <f>'PA-Détails'!S2442</f>
        <v>0</v>
      </c>
      <c r="T326" s="585">
        <f>'PA-Détails'!T2442</f>
        <v>0</v>
      </c>
      <c r="U326" s="586">
        <f>'PA-Détails'!T2442</f>
        <v>0</v>
      </c>
      <c r="V326" s="572"/>
      <c r="W326" s="572"/>
      <c r="X326" s="572"/>
      <c r="Y326" s="572"/>
    </row>
    <row r="327" spans="1:25" s="162" customFormat="1" x14ac:dyDescent="0.2">
      <c r="A327" s="370" t="str">
        <f>'PA-Détails'!A2445</f>
        <v>8.16.4 Définition des tableaux de bord provinciaux</v>
      </c>
      <c r="B327" s="452"/>
      <c r="C327" s="389" t="str">
        <f>'PA-Détails'!C2445</f>
        <v xml:space="preserve">A partir de 2017, chaque Proved publie un tableau de bord </v>
      </c>
      <c r="D327" s="168">
        <f>'PA-Détails'!D2445</f>
        <v>50</v>
      </c>
      <c r="E327" s="168">
        <f>'PA-Détails'!E2445</f>
        <v>0</v>
      </c>
      <c r="F327" s="168">
        <f>'PA-Détails'!F2445</f>
        <v>0</v>
      </c>
      <c r="G327" s="168">
        <f>'PA-Détails'!G2445</f>
        <v>0</v>
      </c>
      <c r="H327" s="168">
        <f>'PA-Détails'!H2445</f>
        <v>0</v>
      </c>
      <c r="I327" s="168">
        <f>'PA-Détails'!I2445</f>
        <v>50</v>
      </c>
      <c r="J327" s="389">
        <f>'PA-Détails'!J2445</f>
        <v>0</v>
      </c>
      <c r="K327" s="168">
        <f>'PA-Détails'!K2445</f>
        <v>0</v>
      </c>
      <c r="L327" s="168">
        <f>'PA-Détails'!L2445</f>
        <v>50000</v>
      </c>
      <c r="M327" s="168">
        <f>'PA-Détails'!M2445</f>
        <v>0</v>
      </c>
      <c r="N327" s="168">
        <f>'PA-Détails'!N2445</f>
        <v>0</v>
      </c>
      <c r="O327" s="168">
        <f>'PA-Détails'!O2445</f>
        <v>0</v>
      </c>
      <c r="P327" s="168">
        <f>'PA-Détails'!P2445</f>
        <v>0</v>
      </c>
      <c r="Q327" s="432">
        <f>'PA-Détails'!Q2445</f>
        <v>50000</v>
      </c>
      <c r="R327" s="570"/>
      <c r="S327" s="584">
        <f>'PA-Détails'!S2445</f>
        <v>0</v>
      </c>
      <c r="T327" s="585">
        <f>'PA-Détails'!T2445</f>
        <v>0</v>
      </c>
      <c r="U327" s="586">
        <f>'PA-Détails'!T2445</f>
        <v>0</v>
      </c>
      <c r="V327" s="572"/>
      <c r="W327" s="572"/>
      <c r="X327" s="572"/>
      <c r="Y327" s="572"/>
    </row>
    <row r="328" spans="1:25" s="162" customFormat="1" x14ac:dyDescent="0.2">
      <c r="A328" s="370" t="str">
        <f>'PA-Détails'!A2448</f>
        <v>8.16.5 Généralisation des tableaux de bord provinciaux</v>
      </c>
      <c r="B328" s="452"/>
      <c r="C328" s="390" t="str">
        <f>'PA-Détails'!C2448</f>
        <v>Les cadres et agents d'exécution de planification sont formés</v>
      </c>
      <c r="D328" s="168">
        <f>'PA-Détails'!D2448</f>
        <v>0</v>
      </c>
      <c r="E328" s="168">
        <f>'PA-Détails'!E2448</f>
        <v>27</v>
      </c>
      <c r="F328" s="168">
        <f>'PA-Détails'!F2448</f>
        <v>48</v>
      </c>
      <c r="G328" s="168">
        <f>'PA-Détails'!G2448</f>
        <v>48</v>
      </c>
      <c r="H328" s="168">
        <f>'PA-Détails'!H2448</f>
        <v>48</v>
      </c>
      <c r="I328" s="168">
        <f>'PA-Détails'!I2448</f>
        <v>171</v>
      </c>
      <c r="J328" s="389">
        <f>'PA-Détails'!J2448</f>
        <v>0</v>
      </c>
      <c r="K328" s="168">
        <f>'PA-Détails'!K2448</f>
        <v>0</v>
      </c>
      <c r="L328" s="168">
        <f>'PA-Détails'!L2448</f>
        <v>0</v>
      </c>
      <c r="M328" s="168">
        <f>'PA-Détails'!M2448</f>
        <v>27000</v>
      </c>
      <c r="N328" s="168">
        <f>'PA-Détails'!N2448</f>
        <v>48000</v>
      </c>
      <c r="O328" s="168">
        <f>'PA-Détails'!O2448</f>
        <v>48000</v>
      </c>
      <c r="P328" s="168">
        <f>'PA-Détails'!P2448</f>
        <v>48000</v>
      </c>
      <c r="Q328" s="432">
        <f>'PA-Détails'!Q2448</f>
        <v>171000</v>
      </c>
      <c r="R328" s="570"/>
      <c r="S328" s="584">
        <f>'PA-Détails'!S2448</f>
        <v>0</v>
      </c>
      <c r="T328" s="585">
        <f>'PA-Détails'!T2448</f>
        <v>0</v>
      </c>
      <c r="U328" s="586">
        <f>'PA-Détails'!T2448</f>
        <v>0</v>
      </c>
      <c r="V328" s="572"/>
      <c r="W328" s="572"/>
      <c r="X328" s="572"/>
      <c r="Y328" s="572"/>
    </row>
    <row r="329" spans="1:25" x14ac:dyDescent="0.2">
      <c r="A329" s="368" t="str">
        <f>'PA-Détails'!A2451</f>
        <v>8.17 Politique nationale Éducation en situation d’urgence, post-conflits &amp; post catastrophes : identifier les stratégies pour prévenir et atténuer les risques de conflits et de catastrophes et Renforcer des capacités institutionnelles et améliorer la gestion des risques</v>
      </c>
      <c r="B329" s="444"/>
      <c r="C329" s="385">
        <f>'PA-Détails'!C2451</f>
        <v>0</v>
      </c>
      <c r="D329" s="217">
        <f>'PA-Détails'!D2451</f>
        <v>4238.3500000000004</v>
      </c>
      <c r="E329" s="217">
        <f>'PA-Détails'!E2451</f>
        <v>4209.95</v>
      </c>
      <c r="F329" s="217">
        <f>'PA-Détails'!F2451</f>
        <v>4210.3500000000004</v>
      </c>
      <c r="G329" s="217">
        <f>'PA-Détails'!G2451</f>
        <v>4159.3500000000004</v>
      </c>
      <c r="H329" s="217">
        <f>'PA-Détails'!H2451</f>
        <v>4159.3500000000004</v>
      </c>
      <c r="I329" s="217">
        <f>'PA-Détails'!I2451</f>
        <v>20977.35</v>
      </c>
      <c r="J329" s="449">
        <f>'PA-Détails'!J2451</f>
        <v>0</v>
      </c>
      <c r="K329" s="32">
        <f>'PA-Détails'!K2451</f>
        <v>0</v>
      </c>
      <c r="L329" s="32">
        <f>'PA-Détails'!L2451</f>
        <v>4238350</v>
      </c>
      <c r="M329" s="32">
        <f>'PA-Détails'!M2451</f>
        <v>4209950</v>
      </c>
      <c r="N329" s="32">
        <f>'PA-Détails'!N2451</f>
        <v>4210350</v>
      </c>
      <c r="O329" s="32">
        <f>'PA-Détails'!O2451</f>
        <v>4159350</v>
      </c>
      <c r="P329" s="32">
        <f>'PA-Détails'!P2451</f>
        <v>4159350</v>
      </c>
      <c r="Q329" s="428">
        <f>'PA-Détails'!Q2451</f>
        <v>20977350</v>
      </c>
      <c r="R329" s="570"/>
      <c r="S329" s="590">
        <f>'PA-Détails'!S2451</f>
        <v>0</v>
      </c>
      <c r="T329" s="582">
        <f>'PA-Détails'!T2451</f>
        <v>3</v>
      </c>
      <c r="U329" s="583">
        <f>'PA-Détails'!T2451</f>
        <v>3</v>
      </c>
    </row>
    <row r="330" spans="1:25" x14ac:dyDescent="0.2">
      <c r="A330" s="369" t="str">
        <f>'PA-Détails'!A2452</f>
        <v>8.17.1 Prévention des catastrophes : Création d'une cellule de coordination</v>
      </c>
      <c r="B330" s="446"/>
      <c r="C330" s="386" t="str">
        <f>'PA-Détails'!C2452</f>
        <v>La cellule de coordination est créée en 2016</v>
      </c>
      <c r="D330" s="168">
        <f>'PA-Détails'!D2452</f>
        <v>13</v>
      </c>
      <c r="E330" s="168">
        <f>'PA-Détails'!E2452</f>
        <v>0</v>
      </c>
      <c r="F330" s="168">
        <f>'PA-Détails'!F2452</f>
        <v>0</v>
      </c>
      <c r="G330" s="168">
        <f>'PA-Détails'!G2452</f>
        <v>0</v>
      </c>
      <c r="H330" s="168">
        <f>'PA-Détails'!H2452</f>
        <v>0</v>
      </c>
      <c r="I330" s="168">
        <f>'PA-Détails'!I2452</f>
        <v>13</v>
      </c>
      <c r="J330" s="447">
        <f>'PA-Détails'!J2452</f>
        <v>0</v>
      </c>
      <c r="K330" s="36">
        <f>'PA-Détails'!K2452</f>
        <v>0</v>
      </c>
      <c r="L330" s="36">
        <f>'PA-Détails'!L2452</f>
        <v>13000</v>
      </c>
      <c r="M330" s="36">
        <f>'PA-Détails'!M2452</f>
        <v>0</v>
      </c>
      <c r="N330" s="36">
        <f>'PA-Détails'!N2452</f>
        <v>0</v>
      </c>
      <c r="O330" s="36">
        <f>'PA-Détails'!O2452</f>
        <v>0</v>
      </c>
      <c r="P330" s="36">
        <f>'PA-Détails'!P2452</f>
        <v>0</v>
      </c>
      <c r="Q330" s="429">
        <f>'PA-Détails'!Q2452</f>
        <v>13000</v>
      </c>
      <c r="R330" s="570"/>
      <c r="S330" s="584">
        <f>'PA-Détails'!S2452</f>
        <v>0</v>
      </c>
      <c r="T330" s="585">
        <f>'PA-Détails'!T2452</f>
        <v>0</v>
      </c>
      <c r="U330" s="586">
        <f>'PA-Détails'!T2452</f>
        <v>0</v>
      </c>
    </row>
    <row r="331" spans="1:25" x14ac:dyDescent="0.2">
      <c r="A331" s="369" t="str">
        <f>'PA-Détails'!A2454</f>
        <v>8.17.2 Étude sur la vulnérabilité</v>
      </c>
      <c r="B331" s="446"/>
      <c r="C331" s="386">
        <f>'PA-Détails'!C2454</f>
        <v>0</v>
      </c>
      <c r="D331" s="168">
        <f>'PA-Détails'!D2454</f>
        <v>0</v>
      </c>
      <c r="E331" s="168">
        <f>'PA-Détails'!E2454</f>
        <v>25.5</v>
      </c>
      <c r="F331" s="168">
        <f>'PA-Détails'!F2454</f>
        <v>0</v>
      </c>
      <c r="G331" s="168">
        <f>'PA-Détails'!G2454</f>
        <v>0</v>
      </c>
      <c r="H331" s="168">
        <f>'PA-Détails'!H2454</f>
        <v>0</v>
      </c>
      <c r="I331" s="168">
        <f>'PA-Détails'!I2454</f>
        <v>25.5</v>
      </c>
      <c r="J331" s="447">
        <f>'PA-Détails'!J2454</f>
        <v>0</v>
      </c>
      <c r="K331" s="36">
        <f>'PA-Détails'!K2454</f>
        <v>0</v>
      </c>
      <c r="L331" s="36">
        <f>'PA-Détails'!L2454</f>
        <v>0</v>
      </c>
      <c r="M331" s="36">
        <f>'PA-Détails'!M2454</f>
        <v>25500</v>
      </c>
      <c r="N331" s="36">
        <f>'PA-Détails'!N2454</f>
        <v>0</v>
      </c>
      <c r="O331" s="36">
        <f>'PA-Détails'!O2454</f>
        <v>0</v>
      </c>
      <c r="P331" s="36">
        <f>'PA-Détails'!P2454</f>
        <v>0</v>
      </c>
      <c r="Q331" s="429">
        <f>'PA-Détails'!Q2454</f>
        <v>25500</v>
      </c>
      <c r="R331" s="570"/>
      <c r="S331" s="591">
        <f>'PA-Détails'!S2454</f>
        <v>0</v>
      </c>
      <c r="T331" s="585">
        <f>'PA-Détails'!T2454</f>
        <v>0</v>
      </c>
      <c r="U331" s="586">
        <f>'PA-Détails'!T2454</f>
        <v>0</v>
      </c>
    </row>
    <row r="332" spans="1:25" x14ac:dyDescent="0.2">
      <c r="A332" s="369" t="str">
        <f>'PA-Détails'!A2456</f>
        <v>8.17.3 Définition des stratégies pour prévenir et atténuer les risques</v>
      </c>
      <c r="B332" s="446"/>
      <c r="C332" s="386">
        <f>'PA-Détails'!C2456</f>
        <v>0</v>
      </c>
      <c r="D332" s="168">
        <f>'PA-Détails'!D2456</f>
        <v>0</v>
      </c>
      <c r="E332" s="168">
        <f>'PA-Détails'!E2456</f>
        <v>0</v>
      </c>
      <c r="F332" s="168">
        <f>'PA-Détails'!F2456</f>
        <v>45.5</v>
      </c>
      <c r="G332" s="168">
        <f>'PA-Détails'!G2456</f>
        <v>0</v>
      </c>
      <c r="H332" s="168">
        <f>'PA-Détails'!H2456</f>
        <v>0</v>
      </c>
      <c r="I332" s="168">
        <f>'PA-Détails'!I2456</f>
        <v>45.5</v>
      </c>
      <c r="J332" s="447">
        <f>'PA-Détails'!J2456</f>
        <v>0</v>
      </c>
      <c r="K332" s="36">
        <f>'PA-Détails'!K2456</f>
        <v>0</v>
      </c>
      <c r="L332" s="36">
        <f>'PA-Détails'!L2456</f>
        <v>0</v>
      </c>
      <c r="M332" s="36">
        <f>'PA-Détails'!M2456</f>
        <v>0</v>
      </c>
      <c r="N332" s="36">
        <f>'PA-Détails'!N2456</f>
        <v>45500</v>
      </c>
      <c r="O332" s="36">
        <f>'PA-Détails'!O2456</f>
        <v>0</v>
      </c>
      <c r="P332" s="36">
        <f>'PA-Détails'!P2456</f>
        <v>0</v>
      </c>
      <c r="Q332" s="429">
        <f>'PA-Détails'!Q2456</f>
        <v>45500</v>
      </c>
      <c r="R332" s="570"/>
      <c r="S332" s="591">
        <f>'PA-Détails'!S2456</f>
        <v>0</v>
      </c>
      <c r="T332" s="585">
        <f>'PA-Détails'!T2456</f>
        <v>0</v>
      </c>
      <c r="U332" s="586">
        <f>'PA-Détails'!T2456</f>
        <v>0</v>
      </c>
    </row>
    <row r="333" spans="1:25" x14ac:dyDescent="0.2">
      <c r="A333" s="369" t="str">
        <f>'PA-Détails'!A2459</f>
        <v>8.17.4 Renforcer le rôle de coordination aux niveaux central et décentralisés</v>
      </c>
      <c r="B333" s="446"/>
      <c r="C333" s="386">
        <f>'PA-Détails'!C2459</f>
        <v>0</v>
      </c>
      <c r="D333" s="168">
        <f>'PA-Détails'!D2459</f>
        <v>11.5</v>
      </c>
      <c r="E333" s="168">
        <f>'PA-Détails'!E2459</f>
        <v>0</v>
      </c>
      <c r="F333" s="168">
        <f>'PA-Détails'!F2459</f>
        <v>0</v>
      </c>
      <c r="G333" s="168">
        <f>'PA-Détails'!G2459</f>
        <v>0</v>
      </c>
      <c r="H333" s="168">
        <f>'PA-Détails'!H2459</f>
        <v>0</v>
      </c>
      <c r="I333" s="168">
        <f>'PA-Détails'!I2459</f>
        <v>11.5</v>
      </c>
      <c r="J333" s="447">
        <f>'PA-Détails'!J2459</f>
        <v>0</v>
      </c>
      <c r="K333" s="36">
        <f>'PA-Détails'!K2459</f>
        <v>0</v>
      </c>
      <c r="L333" s="36">
        <f>'PA-Détails'!L2459</f>
        <v>11500</v>
      </c>
      <c r="M333" s="36">
        <f>'PA-Détails'!M2459</f>
        <v>0</v>
      </c>
      <c r="N333" s="36">
        <f>'PA-Détails'!N2459</f>
        <v>0</v>
      </c>
      <c r="O333" s="36">
        <f>'PA-Détails'!O2459</f>
        <v>0</v>
      </c>
      <c r="P333" s="36">
        <f>'PA-Détails'!P2459</f>
        <v>0</v>
      </c>
      <c r="Q333" s="429">
        <f>'PA-Détails'!Q2459</f>
        <v>11500</v>
      </c>
      <c r="R333" s="570"/>
      <c r="S333" s="591">
        <f>'PA-Détails'!S2459</f>
        <v>0</v>
      </c>
      <c r="T333" s="585">
        <f>'PA-Détails'!T2459</f>
        <v>0</v>
      </c>
      <c r="U333" s="586">
        <f>'PA-Détails'!T2459</f>
        <v>0</v>
      </c>
    </row>
    <row r="334" spans="1:25" x14ac:dyDescent="0.2">
      <c r="A334" s="369" t="str">
        <f>'PA-Détails'!A2461</f>
        <v>8.17.5 Plans d'action pour les zones à risque</v>
      </c>
      <c r="B334" s="446"/>
      <c r="C334" s="386">
        <f>'PA-Détails'!C2461</f>
        <v>0</v>
      </c>
      <c r="D334" s="168">
        <f>'PA-Détails'!D2461</f>
        <v>34.5</v>
      </c>
      <c r="E334" s="168">
        <f>'PA-Détails'!E2461</f>
        <v>0</v>
      </c>
      <c r="F334" s="168">
        <f>'PA-Détails'!F2461</f>
        <v>0</v>
      </c>
      <c r="G334" s="168">
        <f>'PA-Détails'!G2461</f>
        <v>0</v>
      </c>
      <c r="H334" s="168">
        <f>'PA-Détails'!H2461</f>
        <v>0</v>
      </c>
      <c r="I334" s="168">
        <f>'PA-Détails'!I2461</f>
        <v>34.5</v>
      </c>
      <c r="J334" s="447">
        <f>'PA-Détails'!J2461</f>
        <v>0</v>
      </c>
      <c r="K334" s="36">
        <f>'PA-Détails'!K2461</f>
        <v>0</v>
      </c>
      <c r="L334" s="36">
        <f>'PA-Détails'!L2461</f>
        <v>34500</v>
      </c>
      <c r="M334" s="36">
        <f>'PA-Détails'!M2461</f>
        <v>0</v>
      </c>
      <c r="N334" s="36">
        <f>'PA-Détails'!N2461</f>
        <v>0</v>
      </c>
      <c r="O334" s="36">
        <f>'PA-Détails'!O2461</f>
        <v>0</v>
      </c>
      <c r="P334" s="36">
        <f>'PA-Détails'!P2461</f>
        <v>0</v>
      </c>
      <c r="Q334" s="429">
        <f>'PA-Détails'!Q2461</f>
        <v>34500</v>
      </c>
      <c r="R334" s="570"/>
      <c r="S334" s="591">
        <f>'PA-Détails'!S2461</f>
        <v>0</v>
      </c>
      <c r="T334" s="585">
        <f>'PA-Détails'!T2461</f>
        <v>0</v>
      </c>
      <c r="U334" s="586">
        <f>'PA-Détails'!T2461</f>
        <v>0</v>
      </c>
    </row>
    <row r="335" spans="1:25" x14ac:dyDescent="0.2">
      <c r="A335" s="369" t="str">
        <f>'PA-Détails'!A2463</f>
        <v>8.17.6 Intégrer la réduction des risques dans les programmes des ministères en charge de l'éducation</v>
      </c>
      <c r="B335" s="446"/>
      <c r="C335" s="386">
        <f>'PA-Détails'!C2463</f>
        <v>0</v>
      </c>
      <c r="D335" s="168">
        <f>'PA-Détails'!D2463</f>
        <v>0</v>
      </c>
      <c r="E335" s="168">
        <f>'PA-Détails'!E2463</f>
        <v>19.600000000000001</v>
      </c>
      <c r="F335" s="168">
        <f>'PA-Détails'!F2463</f>
        <v>0</v>
      </c>
      <c r="G335" s="168">
        <f>'PA-Détails'!G2463</f>
        <v>0</v>
      </c>
      <c r="H335" s="168">
        <f>'PA-Détails'!H2463</f>
        <v>0</v>
      </c>
      <c r="I335" s="168">
        <f>'PA-Détails'!I2463</f>
        <v>19.600000000000001</v>
      </c>
      <c r="J335" s="447">
        <f>'PA-Détails'!J2463</f>
        <v>0</v>
      </c>
      <c r="K335" s="36">
        <f>'PA-Détails'!K2463</f>
        <v>0</v>
      </c>
      <c r="L335" s="36">
        <f>'PA-Détails'!L2463</f>
        <v>0</v>
      </c>
      <c r="M335" s="36">
        <f>'PA-Détails'!M2463</f>
        <v>19600</v>
      </c>
      <c r="N335" s="36">
        <f>'PA-Détails'!N2463</f>
        <v>0</v>
      </c>
      <c r="O335" s="36">
        <f>'PA-Détails'!O2463</f>
        <v>0</v>
      </c>
      <c r="P335" s="36">
        <f>'PA-Détails'!P2463</f>
        <v>0</v>
      </c>
      <c r="Q335" s="429">
        <f>'PA-Détails'!Q2463</f>
        <v>19600</v>
      </c>
      <c r="R335" s="570"/>
      <c r="S335" s="591">
        <f>'PA-Détails'!S2463</f>
        <v>0</v>
      </c>
      <c r="T335" s="585">
        <f>'PA-Détails'!T2463</f>
        <v>0</v>
      </c>
      <c r="U335" s="586">
        <f>'PA-Détails'!T2463</f>
        <v>0</v>
      </c>
    </row>
    <row r="336" spans="1:25" x14ac:dyDescent="0.2">
      <c r="A336" s="369" t="str">
        <f>'PA-Détails'!A2465</f>
        <v>8.17.7 Évaluer et réparer les dégâts sur les infrastructures</v>
      </c>
      <c r="B336" s="446"/>
      <c r="C336" s="386">
        <f>'PA-Détails'!C2465</f>
        <v>0</v>
      </c>
      <c r="D336" s="168">
        <f>'PA-Détails'!D2465</f>
        <v>2109.4</v>
      </c>
      <c r="E336" s="168">
        <f>'PA-Détails'!E2465</f>
        <v>2109.4</v>
      </c>
      <c r="F336" s="168">
        <f>'PA-Détails'!F2465</f>
        <v>2109.4</v>
      </c>
      <c r="G336" s="168">
        <f>'PA-Détails'!G2465</f>
        <v>2109.4</v>
      </c>
      <c r="H336" s="168">
        <f>'PA-Détails'!H2465</f>
        <v>2109.4</v>
      </c>
      <c r="I336" s="168">
        <f>'PA-Détails'!I2465</f>
        <v>10547</v>
      </c>
      <c r="J336" s="447">
        <f>'PA-Détails'!J2465</f>
        <v>0</v>
      </c>
      <c r="K336" s="36">
        <f>'PA-Détails'!K2465</f>
        <v>0</v>
      </c>
      <c r="L336" s="36">
        <f>'PA-Détails'!L2465</f>
        <v>2109400</v>
      </c>
      <c r="M336" s="36">
        <f>'PA-Détails'!M2465</f>
        <v>2109400</v>
      </c>
      <c r="N336" s="36">
        <f>'PA-Détails'!N2465</f>
        <v>2109400</v>
      </c>
      <c r="O336" s="36">
        <f>'PA-Détails'!O2465</f>
        <v>2109400</v>
      </c>
      <c r="P336" s="36">
        <f>'PA-Détails'!P2465</f>
        <v>2109400</v>
      </c>
      <c r="Q336" s="429">
        <f>'PA-Détails'!Q2465</f>
        <v>10547000</v>
      </c>
      <c r="R336" s="570"/>
      <c r="S336" s="591">
        <f>'PA-Détails'!S2465</f>
        <v>0</v>
      </c>
      <c r="T336" s="585">
        <f>'PA-Détails'!T2465</f>
        <v>0</v>
      </c>
      <c r="U336" s="586">
        <f>'PA-Détails'!T2465</f>
        <v>0</v>
      </c>
    </row>
    <row r="337" spans="1:25" x14ac:dyDescent="0.2">
      <c r="A337" s="369" t="str">
        <f>'PA-Détails'!A2470</f>
        <v>8.17.8 Renforcer le contrôle qualité des constructions</v>
      </c>
      <c r="B337" s="446"/>
      <c r="C337" s="386">
        <f>'PA-Détails'!C2470</f>
        <v>0</v>
      </c>
      <c r="D337" s="168">
        <f>'PA-Détails'!D2470</f>
        <v>34.4</v>
      </c>
      <c r="E337" s="168">
        <f>'PA-Détails'!E2470</f>
        <v>26.4</v>
      </c>
      <c r="F337" s="168">
        <f>'PA-Détails'!F2470</f>
        <v>26.4</v>
      </c>
      <c r="G337" s="168">
        <f>'PA-Détails'!G2470</f>
        <v>26.4</v>
      </c>
      <c r="H337" s="168">
        <f>'PA-Détails'!H2470</f>
        <v>26.4</v>
      </c>
      <c r="I337" s="168">
        <f>'PA-Détails'!I2470</f>
        <v>140</v>
      </c>
      <c r="J337" s="447">
        <f>'PA-Détails'!J2470</f>
        <v>0</v>
      </c>
      <c r="K337" s="36">
        <f>'PA-Détails'!K2470</f>
        <v>0</v>
      </c>
      <c r="L337" s="36">
        <f>'PA-Détails'!L2470</f>
        <v>34400</v>
      </c>
      <c r="M337" s="36">
        <f>'PA-Détails'!M2470</f>
        <v>26400</v>
      </c>
      <c r="N337" s="36">
        <f>'PA-Détails'!N2470</f>
        <v>26400</v>
      </c>
      <c r="O337" s="36">
        <f>'PA-Détails'!O2470</f>
        <v>26400</v>
      </c>
      <c r="P337" s="36">
        <f>'PA-Détails'!P2470</f>
        <v>26400</v>
      </c>
      <c r="Q337" s="429">
        <f>'PA-Détails'!Q2470</f>
        <v>140000</v>
      </c>
      <c r="R337" s="570"/>
      <c r="S337" s="591">
        <f>'PA-Détails'!S2470</f>
        <v>0</v>
      </c>
      <c r="T337" s="585">
        <f>'PA-Détails'!T2470</f>
        <v>0</v>
      </c>
      <c r="U337" s="586">
        <f>'PA-Détails'!T2470</f>
        <v>0</v>
      </c>
    </row>
    <row r="338" spans="1:25" x14ac:dyDescent="0.2">
      <c r="A338" s="369" t="str">
        <f>'PA-Détails'!A2473</f>
        <v>8.17.9 Fourniture de repas pendant les crises</v>
      </c>
      <c r="B338" s="446"/>
      <c r="C338" s="386">
        <f>'PA-Détails'!C2473</f>
        <v>0</v>
      </c>
      <c r="D338" s="168">
        <f>'PA-Détails'!D2473</f>
        <v>1260</v>
      </c>
      <c r="E338" s="168">
        <f>'PA-Détails'!E2473</f>
        <v>1260</v>
      </c>
      <c r="F338" s="168">
        <f>'PA-Détails'!F2473</f>
        <v>1260</v>
      </c>
      <c r="G338" s="168">
        <f>'PA-Détails'!G2473</f>
        <v>1260</v>
      </c>
      <c r="H338" s="168">
        <f>'PA-Détails'!H2473</f>
        <v>1260</v>
      </c>
      <c r="I338" s="168">
        <f>'PA-Détails'!I2473</f>
        <v>6300</v>
      </c>
      <c r="J338" s="447">
        <f>'PA-Détails'!J2473</f>
        <v>0</v>
      </c>
      <c r="K338" s="36">
        <f>'PA-Détails'!K2473</f>
        <v>0</v>
      </c>
      <c r="L338" s="36">
        <f>'PA-Détails'!L2473</f>
        <v>1260000</v>
      </c>
      <c r="M338" s="36">
        <f>'PA-Détails'!M2473</f>
        <v>1260000</v>
      </c>
      <c r="N338" s="36">
        <f>'PA-Détails'!N2473</f>
        <v>1260000</v>
      </c>
      <c r="O338" s="36">
        <f>'PA-Détails'!O2473</f>
        <v>1260000</v>
      </c>
      <c r="P338" s="36">
        <f>'PA-Détails'!P2473</f>
        <v>1260000</v>
      </c>
      <c r="Q338" s="429">
        <f>'PA-Détails'!Q2473</f>
        <v>6300000</v>
      </c>
      <c r="R338" s="570"/>
      <c r="S338" s="591">
        <f>'PA-Détails'!S2473</f>
        <v>0</v>
      </c>
      <c r="T338" s="585">
        <f>'PA-Détails'!T2473</f>
        <v>0</v>
      </c>
      <c r="U338" s="586">
        <f>'PA-Détails'!T2473</f>
        <v>0</v>
      </c>
    </row>
    <row r="339" spans="1:25" x14ac:dyDescent="0.2">
      <c r="A339" s="369" t="str">
        <f>'PA-Détails'!A2475</f>
        <v>8.17.10 Renforcer les dispositifs d'accueil des déplacés</v>
      </c>
      <c r="B339" s="446"/>
      <c r="C339" s="386">
        <f>'PA-Détails'!C2475</f>
        <v>0</v>
      </c>
      <c r="D339" s="168">
        <f>'PA-Détails'!D2475</f>
        <v>410</v>
      </c>
      <c r="E339" s="168">
        <f>'PA-Détails'!E2475</f>
        <v>410</v>
      </c>
      <c r="F339" s="168">
        <f>'PA-Détails'!F2475</f>
        <v>410</v>
      </c>
      <c r="G339" s="168">
        <f>'PA-Détails'!G2475</f>
        <v>410</v>
      </c>
      <c r="H339" s="168">
        <f>'PA-Détails'!H2475</f>
        <v>410</v>
      </c>
      <c r="I339" s="168">
        <f>'PA-Détails'!I2475</f>
        <v>2050</v>
      </c>
      <c r="J339" s="447">
        <f>'PA-Détails'!J2475</f>
        <v>0</v>
      </c>
      <c r="K339" s="36">
        <f>'PA-Détails'!K2475</f>
        <v>0</v>
      </c>
      <c r="L339" s="36">
        <f>'PA-Détails'!L2475</f>
        <v>410000</v>
      </c>
      <c r="M339" s="36">
        <f>'PA-Détails'!M2475</f>
        <v>410000</v>
      </c>
      <c r="N339" s="36">
        <f>'PA-Détails'!N2475</f>
        <v>410000</v>
      </c>
      <c r="O339" s="36">
        <f>'PA-Détails'!O2475</f>
        <v>410000</v>
      </c>
      <c r="P339" s="36">
        <f>'PA-Détails'!P2475</f>
        <v>410000</v>
      </c>
      <c r="Q339" s="429">
        <f>'PA-Détails'!Q2475</f>
        <v>2050000</v>
      </c>
      <c r="R339" s="570"/>
      <c r="S339" s="591">
        <f>'PA-Détails'!S2475</f>
        <v>0</v>
      </c>
      <c r="T339" s="585">
        <f>'PA-Détails'!T2475</f>
        <v>0</v>
      </c>
      <c r="U339" s="586">
        <f>'PA-Détails'!T2475</f>
        <v>0</v>
      </c>
    </row>
    <row r="340" spans="1:25" x14ac:dyDescent="0.2">
      <c r="A340" s="369" t="str">
        <f>'PA-Détails'!A2478</f>
        <v>8.17.11 Adaptation des calendriers et horaires</v>
      </c>
      <c r="B340" s="446"/>
      <c r="C340" s="386">
        <f>'PA-Détails'!C2478</f>
        <v>0</v>
      </c>
      <c r="D340" s="168">
        <f>'PA-Détails'!D2478</f>
        <v>6.9</v>
      </c>
      <c r="E340" s="168">
        <f>'PA-Détails'!E2478</f>
        <v>0.4</v>
      </c>
      <c r="F340" s="168">
        <f>'PA-Détails'!F2478</f>
        <v>0.4</v>
      </c>
      <c r="G340" s="168">
        <f>'PA-Détails'!G2478</f>
        <v>0.4</v>
      </c>
      <c r="H340" s="168">
        <f>'PA-Détails'!H2478</f>
        <v>0.4</v>
      </c>
      <c r="I340" s="168">
        <f>'PA-Détails'!I2478</f>
        <v>8.5</v>
      </c>
      <c r="J340" s="447">
        <f>'PA-Détails'!J2478</f>
        <v>0</v>
      </c>
      <c r="K340" s="36">
        <f>'PA-Détails'!K2478</f>
        <v>0</v>
      </c>
      <c r="L340" s="36">
        <f>'PA-Détails'!L2478</f>
        <v>6900</v>
      </c>
      <c r="M340" s="36">
        <f>'PA-Détails'!M2478</f>
        <v>400</v>
      </c>
      <c r="N340" s="36">
        <f>'PA-Détails'!N2478</f>
        <v>400</v>
      </c>
      <c r="O340" s="36">
        <f>'PA-Détails'!O2478</f>
        <v>400</v>
      </c>
      <c r="P340" s="36">
        <f>'PA-Détails'!P2478</f>
        <v>400</v>
      </c>
      <c r="Q340" s="429">
        <f>'PA-Détails'!Q2478</f>
        <v>8500</v>
      </c>
      <c r="R340" s="570"/>
      <c r="S340" s="591">
        <f>'PA-Détails'!S2478</f>
        <v>0</v>
      </c>
      <c r="T340" s="585">
        <f>'PA-Détails'!T2478</f>
        <v>0</v>
      </c>
      <c r="U340" s="586">
        <f>'PA-Détails'!T2478</f>
        <v>0</v>
      </c>
    </row>
    <row r="341" spans="1:25" x14ac:dyDescent="0.2">
      <c r="A341" s="369" t="str">
        <f>'PA-Détails'!A2480</f>
        <v>8.17.12 Appui psychologique aux enfants traumatisés</v>
      </c>
      <c r="B341" s="446"/>
      <c r="C341" s="386">
        <f>'PA-Détails'!C2480</f>
        <v>0</v>
      </c>
      <c r="D341" s="168">
        <f>'PA-Détails'!D2480</f>
        <v>355.5</v>
      </c>
      <c r="E341" s="168">
        <f>'PA-Détails'!E2480</f>
        <v>355.5</v>
      </c>
      <c r="F341" s="168">
        <f>'PA-Détails'!F2480</f>
        <v>355.5</v>
      </c>
      <c r="G341" s="168">
        <f>'PA-Détails'!G2480</f>
        <v>350</v>
      </c>
      <c r="H341" s="168">
        <f>'PA-Détails'!H2480</f>
        <v>350</v>
      </c>
      <c r="I341" s="168">
        <f>'PA-Détails'!I2480</f>
        <v>1766.5</v>
      </c>
      <c r="J341" s="447">
        <f>'PA-Détails'!J2480</f>
        <v>0</v>
      </c>
      <c r="K341" s="36">
        <f>'PA-Détails'!K2480</f>
        <v>0</v>
      </c>
      <c r="L341" s="36">
        <f>'PA-Détails'!L2480</f>
        <v>355500</v>
      </c>
      <c r="M341" s="36">
        <f>'PA-Détails'!M2480</f>
        <v>355500</v>
      </c>
      <c r="N341" s="36">
        <f>'PA-Détails'!N2480</f>
        <v>355500</v>
      </c>
      <c r="O341" s="36">
        <f>'PA-Détails'!O2480</f>
        <v>350000</v>
      </c>
      <c r="P341" s="36">
        <f>'PA-Détails'!P2480</f>
        <v>350000</v>
      </c>
      <c r="Q341" s="429">
        <f>'PA-Détails'!Q2480</f>
        <v>1766500</v>
      </c>
      <c r="R341" s="570"/>
      <c r="S341" s="591">
        <f>'PA-Détails'!S2480</f>
        <v>0</v>
      </c>
      <c r="T341" s="585">
        <f>'PA-Détails'!T2480</f>
        <v>0</v>
      </c>
      <c r="U341" s="586">
        <f>'PA-Détails'!T2480</f>
        <v>0</v>
      </c>
    </row>
    <row r="342" spans="1:25" x14ac:dyDescent="0.2">
      <c r="A342" s="369" t="str">
        <f>'PA-Détails'!A2483</f>
        <v>8.17.13 Exemption des frais directs pour les élèves/étudiants déplacés</v>
      </c>
      <c r="B342" s="446"/>
      <c r="C342" s="386">
        <f>'PA-Détails'!C2483</f>
        <v>0</v>
      </c>
      <c r="D342" s="168">
        <f>'PA-Détails'!D2483</f>
        <v>3.15</v>
      </c>
      <c r="E342" s="168">
        <f>'PA-Détails'!E2483</f>
        <v>3.15</v>
      </c>
      <c r="F342" s="168">
        <f>'PA-Détails'!F2483</f>
        <v>3.15</v>
      </c>
      <c r="G342" s="168">
        <f>'PA-Détails'!G2483</f>
        <v>3.15</v>
      </c>
      <c r="H342" s="168">
        <f>'PA-Détails'!H2483</f>
        <v>3.15</v>
      </c>
      <c r="I342" s="168">
        <f>'PA-Détails'!I2483</f>
        <v>15.75</v>
      </c>
      <c r="J342" s="447">
        <f>'PA-Détails'!J2483</f>
        <v>0</v>
      </c>
      <c r="K342" s="36">
        <f>'PA-Détails'!K2483</f>
        <v>0</v>
      </c>
      <c r="L342" s="36">
        <f>'PA-Détails'!L2483</f>
        <v>3150</v>
      </c>
      <c r="M342" s="36">
        <f>'PA-Détails'!M2483</f>
        <v>3150</v>
      </c>
      <c r="N342" s="36">
        <f>'PA-Détails'!N2483</f>
        <v>3150</v>
      </c>
      <c r="O342" s="36">
        <f>'PA-Détails'!O2483</f>
        <v>3150</v>
      </c>
      <c r="P342" s="36">
        <f>'PA-Détails'!P2483</f>
        <v>3150</v>
      </c>
      <c r="Q342" s="429">
        <f>'PA-Détails'!Q2483</f>
        <v>15750</v>
      </c>
      <c r="R342" s="570"/>
      <c r="S342" s="591">
        <f>'PA-Détails'!S2483</f>
        <v>0</v>
      </c>
      <c r="T342" s="585">
        <f>'PA-Détails'!T2483</f>
        <v>0</v>
      </c>
      <c r="U342" s="586">
        <f>'PA-Détails'!T2483</f>
        <v>0</v>
      </c>
    </row>
    <row r="343" spans="1:25" x14ac:dyDescent="0.2">
      <c r="A343" s="368" t="str">
        <f>'PA-Détails'!A2486</f>
        <v>8.18 Éducation à la nouvelle citoyenneté et à la paix et Prévention des violences</v>
      </c>
      <c r="B343" s="444"/>
      <c r="C343" s="385">
        <f>'PA-Détails'!C2486</f>
        <v>0</v>
      </c>
      <c r="D343" s="217">
        <f>'PA-Détails'!D2486</f>
        <v>157.5</v>
      </c>
      <c r="E343" s="217">
        <f>'PA-Détails'!E2486</f>
        <v>510.3</v>
      </c>
      <c r="F343" s="217">
        <f>'PA-Détails'!F2486</f>
        <v>377.3</v>
      </c>
      <c r="G343" s="217">
        <f>'PA-Détails'!G2486</f>
        <v>278.8</v>
      </c>
      <c r="H343" s="217">
        <f>'PA-Détails'!H2486</f>
        <v>207</v>
      </c>
      <c r="I343" s="217">
        <f>'PA-Détails'!I2486</f>
        <v>1530.9</v>
      </c>
      <c r="J343" s="449">
        <f>'PA-Détails'!J2486</f>
        <v>0</v>
      </c>
      <c r="K343" s="32">
        <f>'PA-Détails'!K2486</f>
        <v>0</v>
      </c>
      <c r="L343" s="32">
        <f>'PA-Détails'!L2486</f>
        <v>157500</v>
      </c>
      <c r="M343" s="32">
        <f>'PA-Détails'!M2486</f>
        <v>510300</v>
      </c>
      <c r="N343" s="32">
        <f>'PA-Détails'!N2486</f>
        <v>377300</v>
      </c>
      <c r="O343" s="32">
        <f>'PA-Détails'!O2486</f>
        <v>278800</v>
      </c>
      <c r="P343" s="32">
        <f>'PA-Détails'!P2486</f>
        <v>207000</v>
      </c>
      <c r="Q343" s="428">
        <f>'PA-Détails'!Q2486</f>
        <v>1530900</v>
      </c>
      <c r="R343" s="570"/>
      <c r="S343" s="590">
        <f>'PA-Détails'!S2486</f>
        <v>0</v>
      </c>
      <c r="T343" s="582">
        <f>'PA-Détails'!T2486</f>
        <v>3</v>
      </c>
      <c r="U343" s="583">
        <f>'PA-Détails'!T2486</f>
        <v>3</v>
      </c>
    </row>
    <row r="344" spans="1:25" x14ac:dyDescent="0.2">
      <c r="A344" s="369" t="str">
        <f>'PA-Détails'!A2487</f>
        <v>8.18.1 Élaboration d'une stratégie et d'un plan d'action pour l'éducation à la paix et à la nouvelle citoyenneté</v>
      </c>
      <c r="B344" s="446"/>
      <c r="C344" s="386">
        <f>'PA-Détails'!C2487</f>
        <v>0</v>
      </c>
      <c r="D344" s="168">
        <f>'PA-Détails'!D2487</f>
        <v>68</v>
      </c>
      <c r="E344" s="168">
        <f>'PA-Détails'!E2487</f>
        <v>98.5</v>
      </c>
      <c r="F344" s="168">
        <f>'PA-Détails'!F2487</f>
        <v>98.5</v>
      </c>
      <c r="G344" s="168">
        <f>'PA-Détails'!G2487</f>
        <v>0</v>
      </c>
      <c r="H344" s="168">
        <f>'PA-Détails'!H2487</f>
        <v>0</v>
      </c>
      <c r="I344" s="168">
        <f>'PA-Détails'!I2487</f>
        <v>265</v>
      </c>
      <c r="J344" s="447">
        <f>'PA-Détails'!J2487</f>
        <v>0</v>
      </c>
      <c r="K344" s="36">
        <f>'PA-Détails'!K2487</f>
        <v>0</v>
      </c>
      <c r="L344" s="36">
        <f>'PA-Détails'!L2487</f>
        <v>68000</v>
      </c>
      <c r="M344" s="36">
        <f>'PA-Détails'!M2487</f>
        <v>98500</v>
      </c>
      <c r="N344" s="36">
        <f>'PA-Détails'!N2487</f>
        <v>98500</v>
      </c>
      <c r="O344" s="36">
        <f>'PA-Détails'!O2487</f>
        <v>0</v>
      </c>
      <c r="P344" s="36">
        <f>'PA-Détails'!P2487</f>
        <v>0</v>
      </c>
      <c r="Q344" s="429">
        <f>'PA-Détails'!Q2487</f>
        <v>265000</v>
      </c>
      <c r="R344" s="570"/>
      <c r="S344" s="591">
        <f>'PA-Détails'!S2487</f>
        <v>0</v>
      </c>
      <c r="T344" s="585">
        <f>'PA-Détails'!T2487</f>
        <v>0</v>
      </c>
      <c r="U344" s="586">
        <f>'PA-Détails'!T2487</f>
        <v>0</v>
      </c>
    </row>
    <row r="345" spans="1:25" x14ac:dyDescent="0.2">
      <c r="A345" s="369" t="str">
        <f>'PA-Détails'!A2492</f>
        <v>8.18.2 Élaboration d'instruments et outils d'éducation à la paix et à la Nouvelle citoyenneté</v>
      </c>
      <c r="B345" s="446"/>
      <c r="C345" s="386">
        <f>'PA-Détails'!C2492</f>
        <v>0</v>
      </c>
      <c r="D345" s="168">
        <f>'PA-Détails'!D2492</f>
        <v>0</v>
      </c>
      <c r="E345" s="168">
        <f>'PA-Détails'!E2492</f>
        <v>52</v>
      </c>
      <c r="F345" s="168">
        <f>'PA-Détails'!F2492</f>
        <v>0</v>
      </c>
      <c r="G345" s="168">
        <f>'PA-Détails'!G2492</f>
        <v>0</v>
      </c>
      <c r="H345" s="168">
        <f>'PA-Détails'!H2492</f>
        <v>0</v>
      </c>
      <c r="I345" s="168">
        <f>'PA-Détails'!I2492</f>
        <v>52</v>
      </c>
      <c r="J345" s="447">
        <f>'PA-Détails'!J2492</f>
        <v>0</v>
      </c>
      <c r="K345" s="36">
        <f>'PA-Détails'!K2492</f>
        <v>0</v>
      </c>
      <c r="L345" s="36">
        <f>'PA-Détails'!L2492</f>
        <v>0</v>
      </c>
      <c r="M345" s="36">
        <f>'PA-Détails'!M2492</f>
        <v>52000</v>
      </c>
      <c r="N345" s="36">
        <f>'PA-Détails'!N2492</f>
        <v>0</v>
      </c>
      <c r="O345" s="36">
        <f>'PA-Détails'!O2492</f>
        <v>0</v>
      </c>
      <c r="P345" s="36">
        <f>'PA-Détails'!P2492</f>
        <v>0</v>
      </c>
      <c r="Q345" s="429">
        <f>'PA-Détails'!Q2492</f>
        <v>52000</v>
      </c>
      <c r="R345" s="570"/>
      <c r="S345" s="591">
        <f>'PA-Détails'!S2492</f>
        <v>0</v>
      </c>
      <c r="T345" s="585">
        <f>'PA-Détails'!T2492</f>
        <v>0</v>
      </c>
      <c r="U345" s="586">
        <f>'PA-Détails'!T2492</f>
        <v>0</v>
      </c>
    </row>
    <row r="346" spans="1:25" x14ac:dyDescent="0.2">
      <c r="A346" s="369" t="str">
        <f>'PA-Détails'!A2495</f>
        <v>8.18.3 Assurer une large diffusion des principes d'éducation à la paix et à la Nouvelle citoyenneté</v>
      </c>
      <c r="B346" s="446"/>
      <c r="C346" s="386">
        <f>'PA-Détails'!C2495</f>
        <v>0</v>
      </c>
      <c r="D346" s="168">
        <f>'PA-Détails'!D2495</f>
        <v>0</v>
      </c>
      <c r="E346" s="168">
        <f>'PA-Détails'!E2495</f>
        <v>187.8</v>
      </c>
      <c r="F346" s="168">
        <f>'PA-Détails'!F2495</f>
        <v>124.3</v>
      </c>
      <c r="G346" s="168">
        <f>'PA-Détails'!G2495</f>
        <v>124.3</v>
      </c>
      <c r="H346" s="168">
        <f>'PA-Détails'!H2495</f>
        <v>52.5</v>
      </c>
      <c r="I346" s="168">
        <f>'PA-Détails'!I2495</f>
        <v>488.9</v>
      </c>
      <c r="J346" s="447">
        <f>'PA-Détails'!J2495</f>
        <v>0</v>
      </c>
      <c r="K346" s="36">
        <f>'PA-Détails'!K2495</f>
        <v>0</v>
      </c>
      <c r="L346" s="36">
        <f>'PA-Détails'!L2495</f>
        <v>0</v>
      </c>
      <c r="M346" s="36">
        <f>'PA-Détails'!M2495</f>
        <v>187800</v>
      </c>
      <c r="N346" s="36">
        <f>'PA-Détails'!N2495</f>
        <v>124300</v>
      </c>
      <c r="O346" s="36">
        <f>'PA-Détails'!O2495</f>
        <v>124300</v>
      </c>
      <c r="P346" s="36">
        <f>'PA-Détails'!P2495</f>
        <v>52500</v>
      </c>
      <c r="Q346" s="429">
        <f>'PA-Détails'!Q2495</f>
        <v>488900</v>
      </c>
      <c r="R346" s="570"/>
      <c r="S346" s="591">
        <f>'PA-Détails'!S2495</f>
        <v>0</v>
      </c>
      <c r="T346" s="585">
        <f>'PA-Détails'!T2495</f>
        <v>0</v>
      </c>
      <c r="U346" s="586">
        <f>'PA-Détails'!T2495</f>
        <v>0</v>
      </c>
    </row>
    <row r="347" spans="1:25" x14ac:dyDescent="0.2">
      <c r="A347" s="369" t="str">
        <f>'PA-Détails'!A2499</f>
        <v>8.18.4 Renforcer des capacités institutionnelles et humaines</v>
      </c>
      <c r="B347" s="446"/>
      <c r="C347" s="386">
        <f>'PA-Détails'!C2499</f>
        <v>0</v>
      </c>
      <c r="D347" s="168">
        <f>'PA-Détails'!D2499</f>
        <v>0</v>
      </c>
      <c r="E347" s="168">
        <f>'PA-Détails'!E2499</f>
        <v>127.5</v>
      </c>
      <c r="F347" s="168">
        <f>'PA-Détails'!F2499</f>
        <v>110</v>
      </c>
      <c r="G347" s="168">
        <f>'PA-Détails'!G2499</f>
        <v>110</v>
      </c>
      <c r="H347" s="168">
        <f>'PA-Détails'!H2499</f>
        <v>110</v>
      </c>
      <c r="I347" s="168">
        <f>'PA-Détails'!I2499</f>
        <v>457.5</v>
      </c>
      <c r="J347" s="447">
        <f>'PA-Détails'!J2499</f>
        <v>0</v>
      </c>
      <c r="K347" s="36">
        <f>'PA-Détails'!K2499</f>
        <v>0</v>
      </c>
      <c r="L347" s="36">
        <f>'PA-Détails'!L2499</f>
        <v>0</v>
      </c>
      <c r="M347" s="36">
        <f>'PA-Détails'!M2499</f>
        <v>127500</v>
      </c>
      <c r="N347" s="36">
        <f>'PA-Détails'!N2499</f>
        <v>110000</v>
      </c>
      <c r="O347" s="36">
        <f>'PA-Détails'!O2499</f>
        <v>110000</v>
      </c>
      <c r="P347" s="36">
        <f>'PA-Détails'!P2499</f>
        <v>110000</v>
      </c>
      <c r="Q347" s="429">
        <f>'PA-Détails'!Q2499</f>
        <v>457500</v>
      </c>
      <c r="R347" s="570"/>
      <c r="S347" s="591">
        <f>'PA-Détails'!S2499</f>
        <v>0</v>
      </c>
      <c r="T347" s="585">
        <f>'PA-Détails'!T2499</f>
        <v>0</v>
      </c>
      <c r="U347" s="586">
        <f>'PA-Détails'!T2499</f>
        <v>0</v>
      </c>
    </row>
    <row r="348" spans="1:25" s="162" customFormat="1" x14ac:dyDescent="0.2">
      <c r="A348" s="370" t="str">
        <f>'PA-Détails'!A2502</f>
        <v>8.18.5 Prévention des violences : Développement des services sociaux des établissements</v>
      </c>
      <c r="B348" s="452"/>
      <c r="C348" s="389">
        <f>'PA-Détails'!C2502</f>
        <v>0</v>
      </c>
      <c r="D348" s="168">
        <f>'PA-Détails'!D2502</f>
        <v>72</v>
      </c>
      <c r="E348" s="168">
        <f>'PA-Détails'!E2502</f>
        <v>27</v>
      </c>
      <c r="F348" s="168">
        <f>'PA-Détails'!F2502</f>
        <v>27</v>
      </c>
      <c r="G348" s="168">
        <f>'PA-Détails'!G2502</f>
        <v>27</v>
      </c>
      <c r="H348" s="168">
        <f>'PA-Détails'!H2502</f>
        <v>27</v>
      </c>
      <c r="I348" s="168">
        <f>'PA-Détails'!I2502</f>
        <v>180</v>
      </c>
      <c r="J348" s="389">
        <f>'PA-Détails'!J2502</f>
        <v>0</v>
      </c>
      <c r="K348" s="168">
        <f>'PA-Détails'!K2502</f>
        <v>0</v>
      </c>
      <c r="L348" s="168">
        <f>'PA-Détails'!L2502</f>
        <v>72000</v>
      </c>
      <c r="M348" s="168">
        <f>'PA-Détails'!M2502</f>
        <v>27000</v>
      </c>
      <c r="N348" s="168">
        <f>'PA-Détails'!N2502</f>
        <v>27000</v>
      </c>
      <c r="O348" s="168">
        <f>'PA-Détails'!O2502</f>
        <v>27000</v>
      </c>
      <c r="P348" s="168">
        <f>'PA-Détails'!P2502</f>
        <v>27000</v>
      </c>
      <c r="Q348" s="432">
        <f>'PA-Détails'!Q2502</f>
        <v>180000</v>
      </c>
      <c r="R348" s="570"/>
      <c r="S348" s="591">
        <f>'PA-Détails'!S2502</f>
        <v>0</v>
      </c>
      <c r="T348" s="585">
        <f>'PA-Détails'!T2502</f>
        <v>0</v>
      </c>
      <c r="U348" s="586">
        <f>'PA-Détails'!T2502</f>
        <v>0</v>
      </c>
      <c r="V348" s="572"/>
      <c r="W348" s="572"/>
      <c r="X348" s="572"/>
      <c r="Y348" s="572"/>
    </row>
    <row r="349" spans="1:25" s="162" customFormat="1" ht="12" x14ac:dyDescent="0.2">
      <c r="A349" s="370" t="str">
        <f>'PA-Détails'!A2504</f>
        <v>8.18.6 Assurer des campagnes de sensibilisation sur la prévention des violences</v>
      </c>
      <c r="B349" s="462"/>
      <c r="C349" s="389">
        <f>'PA-Détails'!C2504</f>
        <v>0</v>
      </c>
      <c r="D349" s="376">
        <f>'PA-Détails'!D2504</f>
        <v>17.5</v>
      </c>
      <c r="E349" s="168">
        <f>'PA-Détails'!E2504</f>
        <v>17.5</v>
      </c>
      <c r="F349" s="168">
        <f>'PA-Détails'!F2504</f>
        <v>17.5</v>
      </c>
      <c r="G349" s="168">
        <f>'PA-Détails'!G2504</f>
        <v>17.5</v>
      </c>
      <c r="H349" s="168">
        <f>'PA-Détails'!H2504</f>
        <v>17.5</v>
      </c>
      <c r="I349" s="168">
        <f>'PA-Détails'!I2504</f>
        <v>87.5</v>
      </c>
      <c r="J349" s="389">
        <f>'PA-Détails'!J2504</f>
        <v>0</v>
      </c>
      <c r="K349" s="168">
        <f>'PA-Détails'!K2504</f>
        <v>0</v>
      </c>
      <c r="L349" s="168">
        <f>'PA-Détails'!L2504</f>
        <v>17500</v>
      </c>
      <c r="M349" s="168">
        <f>'PA-Détails'!M2504</f>
        <v>17500</v>
      </c>
      <c r="N349" s="168">
        <f>'PA-Détails'!N2504</f>
        <v>17500</v>
      </c>
      <c r="O349" s="168">
        <f>'PA-Détails'!O2504</f>
        <v>17500</v>
      </c>
      <c r="P349" s="168">
        <f>'PA-Détails'!P2504</f>
        <v>17500</v>
      </c>
      <c r="Q349" s="432">
        <f>'PA-Détails'!Q2504</f>
        <v>87500</v>
      </c>
      <c r="R349" s="570"/>
      <c r="S349" s="591">
        <f>'PA-Détails'!S2504</f>
        <v>0</v>
      </c>
      <c r="T349" s="585">
        <f>'PA-Détails'!T2504</f>
        <v>0</v>
      </c>
      <c r="U349" s="586">
        <f>'PA-Détails'!T2504</f>
        <v>0</v>
      </c>
      <c r="V349" s="572"/>
      <c r="W349" s="572"/>
      <c r="X349" s="572"/>
      <c r="Y349" s="572"/>
    </row>
    <row r="350" spans="1:25" x14ac:dyDescent="0.2">
      <c r="A350" s="368" t="str">
        <f>'PA-Détails'!A2506</f>
        <v>8.19 Pilotage et coordination du Plan sectoriel : Renforcement des structures, dispositifs et mesures institutionnels de pilotage, de coordination et de mise en œuvre et de suivi du Plan sectoriel</v>
      </c>
      <c r="B350" s="444"/>
      <c r="C350" s="385">
        <f>'PA-Détails'!C2506</f>
        <v>0</v>
      </c>
      <c r="D350" s="217">
        <f>'PA-Détails'!D2506</f>
        <v>4286.6000000000004</v>
      </c>
      <c r="E350" s="217">
        <f>'PA-Détails'!E2506</f>
        <v>4281.1000000000004</v>
      </c>
      <c r="F350" s="217">
        <f>'PA-Détails'!F2506</f>
        <v>3833.1</v>
      </c>
      <c r="G350" s="217">
        <f>'PA-Détails'!G2506</f>
        <v>4085.1</v>
      </c>
      <c r="H350" s="217">
        <f>'PA-Détails'!H2506</f>
        <v>4337.1000000000004</v>
      </c>
      <c r="I350" s="217">
        <f>'PA-Détails'!I2506</f>
        <v>20823</v>
      </c>
      <c r="J350" s="449">
        <f>'PA-Détails'!J2506</f>
        <v>0</v>
      </c>
      <c r="K350" s="32">
        <f>'PA-Détails'!K2506</f>
        <v>0</v>
      </c>
      <c r="L350" s="32">
        <f>'PA-Détails'!L2506</f>
        <v>4286600</v>
      </c>
      <c r="M350" s="32">
        <f>'PA-Détails'!M2506</f>
        <v>4281100</v>
      </c>
      <c r="N350" s="32">
        <f>'PA-Détails'!N2506</f>
        <v>3833100</v>
      </c>
      <c r="O350" s="32">
        <f>'PA-Détails'!O2506</f>
        <v>4085100</v>
      </c>
      <c r="P350" s="32">
        <f>'PA-Détails'!P2506</f>
        <v>4337100</v>
      </c>
      <c r="Q350" s="428">
        <f>'PA-Détails'!Q2506</f>
        <v>20823000</v>
      </c>
      <c r="R350" s="570"/>
      <c r="S350" s="590">
        <f>'PA-Détails'!S2506</f>
        <v>0</v>
      </c>
      <c r="T350" s="582">
        <f>'PA-Détails'!T2506</f>
        <v>3</v>
      </c>
      <c r="U350" s="583">
        <f>'PA-Détails'!T2506</f>
        <v>3</v>
      </c>
    </row>
    <row r="351" spans="1:25" x14ac:dyDescent="0.2">
      <c r="A351" s="369" t="str">
        <f>'PA-Détails'!A2507</f>
        <v>8.19.1 Assurer la coordination stratégique et opérationnelle du Plan sectoriel</v>
      </c>
      <c r="B351" s="446"/>
      <c r="C351" s="386">
        <f>'PA-Détails'!C2507</f>
        <v>0</v>
      </c>
      <c r="D351" s="168">
        <f>'PA-Détails'!D2507</f>
        <v>3809.6</v>
      </c>
      <c r="E351" s="168">
        <f>'PA-Détails'!E2507</f>
        <v>3813.6</v>
      </c>
      <c r="F351" s="168">
        <f>'PA-Détails'!F2507</f>
        <v>3365.6</v>
      </c>
      <c r="G351" s="168">
        <f>'PA-Détails'!G2507</f>
        <v>3617.6</v>
      </c>
      <c r="H351" s="168">
        <f>'PA-Détails'!H2507</f>
        <v>3869.6</v>
      </c>
      <c r="I351" s="168">
        <f>'PA-Détails'!I2507</f>
        <v>18476</v>
      </c>
      <c r="J351" s="447">
        <f>'PA-Détails'!J2507</f>
        <v>0</v>
      </c>
      <c r="K351" s="36">
        <f>'PA-Détails'!K2507</f>
        <v>0</v>
      </c>
      <c r="L351" s="36">
        <f>'PA-Détails'!L2507</f>
        <v>3809600</v>
      </c>
      <c r="M351" s="36">
        <f>'PA-Détails'!M2507</f>
        <v>3813600</v>
      </c>
      <c r="N351" s="36">
        <f>'PA-Détails'!N2507</f>
        <v>3365600</v>
      </c>
      <c r="O351" s="36">
        <f>'PA-Détails'!O2507</f>
        <v>3617600</v>
      </c>
      <c r="P351" s="36">
        <f>'PA-Détails'!P2507</f>
        <v>3869600</v>
      </c>
      <c r="Q351" s="429">
        <f>'PA-Détails'!Q2507</f>
        <v>18476000</v>
      </c>
      <c r="R351" s="570"/>
      <c r="S351" s="591">
        <f>'PA-Détails'!S2507</f>
        <v>0</v>
      </c>
      <c r="T351" s="585">
        <f>'PA-Détails'!T2507</f>
        <v>0</v>
      </c>
      <c r="U351" s="586">
        <f>'PA-Détails'!T2509</f>
        <v>0</v>
      </c>
    </row>
    <row r="352" spans="1:25" x14ac:dyDescent="0.2">
      <c r="A352" s="369" t="str">
        <f>'PA-Détails'!A2510</f>
        <v>8.19.2 Assurer le suivi et l'évaluation du Plan sectoriel</v>
      </c>
      <c r="B352" s="446"/>
      <c r="C352" s="386">
        <f>'PA-Détails'!C2510</f>
        <v>0</v>
      </c>
      <c r="D352" s="168">
        <f>'PA-Détails'!D2510</f>
        <v>457.5</v>
      </c>
      <c r="E352" s="168">
        <f>'PA-Détails'!E2510</f>
        <v>457.5</v>
      </c>
      <c r="F352" s="168">
        <f>'PA-Détails'!F2510</f>
        <v>457.5</v>
      </c>
      <c r="G352" s="168">
        <f>'PA-Détails'!G2510</f>
        <v>457.5</v>
      </c>
      <c r="H352" s="168">
        <f>'PA-Détails'!H2510</f>
        <v>457.5</v>
      </c>
      <c r="I352" s="168">
        <f>'PA-Détails'!I2510</f>
        <v>2287.5</v>
      </c>
      <c r="J352" s="447">
        <f>'PA-Détails'!J2510</f>
        <v>0</v>
      </c>
      <c r="K352" s="36">
        <f>'PA-Détails'!K2510</f>
        <v>0</v>
      </c>
      <c r="L352" s="36">
        <f>'PA-Détails'!L2510</f>
        <v>457500</v>
      </c>
      <c r="M352" s="36">
        <f>'PA-Détails'!M2510</f>
        <v>457500</v>
      </c>
      <c r="N352" s="36">
        <f>'PA-Détails'!N2510</f>
        <v>457500</v>
      </c>
      <c r="O352" s="36">
        <f>'PA-Détails'!O2510</f>
        <v>457500</v>
      </c>
      <c r="P352" s="36">
        <f>'PA-Détails'!P2510</f>
        <v>457500</v>
      </c>
      <c r="Q352" s="429">
        <f>'PA-Détails'!Q2510</f>
        <v>2287500</v>
      </c>
      <c r="R352" s="570"/>
      <c r="S352" s="591">
        <f>'PA-Détails'!S2510</f>
        <v>0</v>
      </c>
      <c r="T352" s="585">
        <f>'PA-Détails'!T2510</f>
        <v>0</v>
      </c>
      <c r="U352" s="586">
        <f>'PA-Détails'!T2510</f>
        <v>0</v>
      </c>
    </row>
    <row r="353" spans="1:25" ht="12" thickBot="1" x14ac:dyDescent="0.25">
      <c r="A353" s="369" t="str">
        <f>'PA-Détails'!A2512</f>
        <v>8.19.3 Assurer le fonctionnement du cadre de coordination interministérielle</v>
      </c>
      <c r="B353" s="446"/>
      <c r="C353" s="386">
        <f>'PA-Détails'!C2512</f>
        <v>0</v>
      </c>
      <c r="D353" s="168">
        <f>'PA-Détails'!D2512</f>
        <v>19.5</v>
      </c>
      <c r="E353" s="168">
        <f>'PA-Détails'!E2512</f>
        <v>10</v>
      </c>
      <c r="F353" s="168">
        <f>'PA-Détails'!F2512</f>
        <v>10</v>
      </c>
      <c r="G353" s="168">
        <f>'PA-Détails'!G2512</f>
        <v>10</v>
      </c>
      <c r="H353" s="168">
        <f>'PA-Détails'!H2512</f>
        <v>10</v>
      </c>
      <c r="I353" s="168">
        <f>'PA-Détails'!I2512</f>
        <v>59.5</v>
      </c>
      <c r="J353" s="447">
        <f>'PA-Détails'!J2512</f>
        <v>0</v>
      </c>
      <c r="K353" s="36">
        <f>'PA-Détails'!K2512</f>
        <v>0</v>
      </c>
      <c r="L353" s="36">
        <f>'PA-Détails'!L2512</f>
        <v>19500</v>
      </c>
      <c r="M353" s="36">
        <f>'PA-Détails'!M2512</f>
        <v>10000</v>
      </c>
      <c r="N353" s="36">
        <f>'PA-Détails'!N2512</f>
        <v>10000</v>
      </c>
      <c r="O353" s="36">
        <f>'PA-Détails'!O2512</f>
        <v>10000</v>
      </c>
      <c r="P353" s="36">
        <f>'PA-Détails'!P2512</f>
        <v>10000</v>
      </c>
      <c r="Q353" s="429">
        <f>'PA-Détails'!Q2512</f>
        <v>59500</v>
      </c>
      <c r="R353" s="570"/>
      <c r="S353" s="591">
        <f>'PA-Détails'!S2512</f>
        <v>0</v>
      </c>
      <c r="T353" s="585">
        <f>'PA-Détails'!T2512</f>
        <v>0</v>
      </c>
      <c r="U353" s="586">
        <f>'PA-Détails'!T2512</f>
        <v>0</v>
      </c>
    </row>
    <row r="354" spans="1:25" s="259" customFormat="1" ht="12.75" thickTop="1" thickBot="1" x14ac:dyDescent="0.25">
      <c r="A354" s="463" t="s">
        <v>963</v>
      </c>
      <c r="B354" s="464"/>
      <c r="C354" s="464"/>
      <c r="D354" s="465"/>
      <c r="E354" s="465"/>
      <c r="F354" s="465"/>
      <c r="G354" s="465"/>
      <c r="H354" s="465"/>
      <c r="I354" s="465"/>
      <c r="J354" s="464"/>
      <c r="K354" s="464"/>
      <c r="L354" s="466">
        <f t="shared" ref="L354:Q354" si="0">SUM(L8:L353)/3</f>
        <v>1239553062.6433904</v>
      </c>
      <c r="M354" s="466">
        <f t="shared" si="0"/>
        <v>1461511674.9240301</v>
      </c>
      <c r="N354" s="466">
        <f t="shared" si="0"/>
        <v>1635857423.8635356</v>
      </c>
      <c r="O354" s="466">
        <f t="shared" si="0"/>
        <v>1742951377.3052254</v>
      </c>
      <c r="P354" s="466">
        <f t="shared" si="0"/>
        <v>1883244382.2925675</v>
      </c>
      <c r="Q354" s="467">
        <f t="shared" si="0"/>
        <v>7963117921.0287485</v>
      </c>
      <c r="R354" s="570"/>
      <c r="S354" s="605"/>
      <c r="T354" s="605"/>
      <c r="U354" s="606"/>
      <c r="V354" s="607"/>
      <c r="W354" s="607"/>
      <c r="X354" s="607"/>
      <c r="Y354" s="607"/>
    </row>
    <row r="355" spans="1:25" ht="12" thickTop="1" x14ac:dyDescent="0.2">
      <c r="C355" s="47"/>
      <c r="L355" s="148"/>
      <c r="M355" s="148"/>
      <c r="N355" s="148"/>
      <c r="O355" s="148"/>
      <c r="P355" s="148"/>
      <c r="Q355" s="148"/>
      <c r="R355" s="570"/>
      <c r="S355" s="608">
        <f t="shared" ref="S355:U355" si="1">+S455</f>
        <v>0</v>
      </c>
      <c r="T355" s="608">
        <f t="shared" si="1"/>
        <v>0</v>
      </c>
      <c r="U355" s="608">
        <f t="shared" si="1"/>
        <v>0</v>
      </c>
    </row>
    <row r="356" spans="1:25" x14ac:dyDescent="0.2">
      <c r="C356" s="47"/>
      <c r="L356" s="512"/>
      <c r="M356" s="148"/>
      <c r="N356" s="148"/>
      <c r="O356" s="148"/>
      <c r="P356" s="148"/>
      <c r="Q356" s="148"/>
      <c r="R356" s="570"/>
      <c r="S356" s="608">
        <f t="shared" ref="S356:U356" si="2">+S354-S355</f>
        <v>0</v>
      </c>
      <c r="T356" s="608">
        <f t="shared" si="2"/>
        <v>0</v>
      </c>
      <c r="U356" s="608">
        <f t="shared" si="2"/>
        <v>0</v>
      </c>
    </row>
    <row r="357" spans="1:25" ht="12" x14ac:dyDescent="0.2">
      <c r="A357" s="308" t="str">
        <f>'PA-Détails'!A1</f>
        <v>Plan d'action de la Stratégie sectorielle de l’éducation et de la formation 2016-2025</v>
      </c>
      <c r="C357" s="47"/>
      <c r="L357" s="148"/>
      <c r="M357" s="148"/>
      <c r="N357" s="148"/>
      <c r="O357" s="148"/>
      <c r="P357" s="148"/>
      <c r="Q357" s="148"/>
      <c r="R357" s="570"/>
      <c r="S357" s="570"/>
      <c r="T357" s="570"/>
      <c r="U357" s="571"/>
    </row>
    <row r="358" spans="1:25" x14ac:dyDescent="0.2">
      <c r="A358" s="309" t="str">
        <f>'PA-Détails'!A2</f>
        <v>Programme 2016-2020</v>
      </c>
      <c r="C358" s="47"/>
      <c r="J358" s="1">
        <f>L358*2</f>
        <v>0</v>
      </c>
      <c r="L358" s="148"/>
      <c r="M358" s="148"/>
      <c r="N358" s="148"/>
      <c r="O358" s="148"/>
      <c r="P358" s="148"/>
      <c r="Q358" s="148"/>
      <c r="R358" s="570"/>
      <c r="S358" s="570"/>
      <c r="T358" s="570"/>
      <c r="U358" s="571"/>
    </row>
    <row r="359" spans="1:25" ht="12" thickBot="1" x14ac:dyDescent="0.25">
      <c r="A359" s="310" t="s">
        <v>1135</v>
      </c>
      <c r="C359" s="47"/>
      <c r="L359" s="148"/>
      <c r="M359" s="148"/>
      <c r="N359" s="148"/>
      <c r="O359" s="148"/>
      <c r="P359" s="148"/>
      <c r="Q359" s="148"/>
      <c r="R359" s="570"/>
      <c r="S359" s="570"/>
      <c r="T359" s="570"/>
      <c r="U359" s="571"/>
    </row>
    <row r="360" spans="1:25" ht="16.5" thickTop="1" x14ac:dyDescent="0.25">
      <c r="A360" s="433" t="s">
        <v>0</v>
      </c>
      <c r="B360" s="434"/>
      <c r="C360" s="435"/>
      <c r="D360" s="436"/>
      <c r="E360" s="679"/>
      <c r="F360" s="679"/>
      <c r="G360" s="679"/>
      <c r="H360" s="679"/>
      <c r="I360" s="679"/>
      <c r="J360" s="679"/>
      <c r="K360" s="436"/>
      <c r="L360" s="679" t="s">
        <v>3</v>
      </c>
      <c r="M360" s="680"/>
      <c r="N360" s="680"/>
      <c r="O360" s="680"/>
      <c r="P360" s="680"/>
      <c r="Q360" s="681"/>
      <c r="R360" s="639" t="s">
        <v>4</v>
      </c>
      <c r="S360" s="639" t="s">
        <v>5</v>
      </c>
      <c r="T360" s="640" t="s">
        <v>6</v>
      </c>
      <c r="U360" s="641" t="s">
        <v>139</v>
      </c>
    </row>
    <row r="361" spans="1:25" x14ac:dyDescent="0.2">
      <c r="A361" s="437" t="s">
        <v>7</v>
      </c>
      <c r="B361" s="325"/>
      <c r="C361" s="438"/>
      <c r="D361" s="438"/>
      <c r="E361" s="426"/>
      <c r="F361" s="426"/>
      <c r="G361" s="426"/>
      <c r="H361" s="426"/>
      <c r="I361" s="426"/>
      <c r="J361" s="439"/>
      <c r="K361" s="440"/>
      <c r="L361" s="426">
        <f>L7</f>
        <v>2016</v>
      </c>
      <c r="M361" s="426">
        <f>L361+1</f>
        <v>2017</v>
      </c>
      <c r="N361" s="426">
        <f>M361+1</f>
        <v>2018</v>
      </c>
      <c r="O361" s="426">
        <f>N361+1</f>
        <v>2019</v>
      </c>
      <c r="P361" s="426">
        <f>O361+1</f>
        <v>2020</v>
      </c>
      <c r="Q361" s="427" t="s">
        <v>8</v>
      </c>
      <c r="R361" s="642"/>
      <c r="S361" s="643" t="s">
        <v>10</v>
      </c>
      <c r="T361" s="640" t="s">
        <v>11</v>
      </c>
      <c r="U361" s="644"/>
    </row>
    <row r="362" spans="1:25" s="322" customFormat="1" x14ac:dyDescent="0.2">
      <c r="A362" s="468" t="str">
        <f>A8</f>
        <v>1. Enseignement préscolaire : Développer une préscolarisation de qualité, particulièrement en milieu rural</v>
      </c>
      <c r="B362" s="469"/>
      <c r="C362" s="445"/>
      <c r="D362" s="469"/>
      <c r="E362" s="32"/>
      <c r="F362" s="32"/>
      <c r="G362" s="32"/>
      <c r="H362" s="32"/>
      <c r="I362" s="32"/>
      <c r="J362" s="445"/>
      <c r="K362" s="32"/>
      <c r="L362" s="32">
        <f>L8</f>
        <v>11113450</v>
      </c>
      <c r="M362" s="32">
        <f t="shared" ref="M362:U362" si="3">M8</f>
        <v>15231400</v>
      </c>
      <c r="N362" s="32">
        <f t="shared" si="3"/>
        <v>32451500</v>
      </c>
      <c r="O362" s="32">
        <f t="shared" si="3"/>
        <v>37042000</v>
      </c>
      <c r="P362" s="32">
        <f t="shared" si="3"/>
        <v>41716200</v>
      </c>
      <c r="Q362" s="428">
        <f t="shared" si="3"/>
        <v>137554550</v>
      </c>
      <c r="R362" s="645">
        <f t="shared" si="3"/>
        <v>0</v>
      </c>
      <c r="S362" s="645">
        <f t="shared" si="3"/>
        <v>0</v>
      </c>
      <c r="T362" s="645">
        <f t="shared" si="3"/>
        <v>0</v>
      </c>
      <c r="U362" s="646">
        <f t="shared" si="3"/>
        <v>0</v>
      </c>
      <c r="V362" s="609"/>
      <c r="W362" s="609"/>
      <c r="X362" s="609"/>
      <c r="Y362" s="609"/>
    </row>
    <row r="363" spans="1:25" s="315" customFormat="1" x14ac:dyDescent="0.2">
      <c r="A363" s="470" t="str">
        <f>A9</f>
        <v>1.1 Espaces Communautaires d'Éveil : Susciter et encourager les initiatives communautaires</v>
      </c>
      <c r="B363" s="471"/>
      <c r="C363" s="472"/>
      <c r="D363" s="473"/>
      <c r="E363" s="313"/>
      <c r="F363" s="313"/>
      <c r="G363" s="313"/>
      <c r="H363" s="313"/>
      <c r="I363" s="313"/>
      <c r="J363" s="472"/>
      <c r="K363" s="313"/>
      <c r="L363" s="313">
        <f>L9</f>
        <v>365500</v>
      </c>
      <c r="M363" s="313">
        <f t="shared" ref="M363:U363" si="4">M9</f>
        <v>248300</v>
      </c>
      <c r="N363" s="313">
        <f t="shared" si="4"/>
        <v>122300</v>
      </c>
      <c r="O363" s="313">
        <f t="shared" si="4"/>
        <v>170000</v>
      </c>
      <c r="P363" s="313">
        <f t="shared" si="4"/>
        <v>65000</v>
      </c>
      <c r="Q363" s="474">
        <f t="shared" si="4"/>
        <v>971100</v>
      </c>
      <c r="R363" s="647">
        <f t="shared" si="4"/>
        <v>0</v>
      </c>
      <c r="S363" s="647">
        <f t="shared" si="4"/>
        <v>0</v>
      </c>
      <c r="T363" s="647">
        <f t="shared" si="4"/>
        <v>1</v>
      </c>
      <c r="U363" s="648">
        <f t="shared" si="4"/>
        <v>1</v>
      </c>
      <c r="V363" s="610"/>
      <c r="W363" s="610"/>
      <c r="X363" s="610"/>
      <c r="Y363" s="610"/>
    </row>
    <row r="364" spans="1:25" s="315" customFormat="1" x14ac:dyDescent="0.2">
      <c r="A364" s="470" t="str">
        <f>A11</f>
        <v>1.2 Classes préparatoires dans les écoles primaires : développer la préscolarisation des enfants de 5 ans</v>
      </c>
      <c r="B364" s="475"/>
      <c r="C364" s="472"/>
      <c r="D364" s="473"/>
      <c r="E364" s="188"/>
      <c r="F364" s="188"/>
      <c r="G364" s="188"/>
      <c r="H364" s="188"/>
      <c r="I364" s="188"/>
      <c r="J364" s="476"/>
      <c r="K364" s="313"/>
      <c r="L364" s="313">
        <f t="shared" ref="L364:U364" si="5">L11</f>
        <v>258600</v>
      </c>
      <c r="M364" s="313">
        <f t="shared" si="5"/>
        <v>1055000</v>
      </c>
      <c r="N364" s="313">
        <f t="shared" si="5"/>
        <v>13110000</v>
      </c>
      <c r="O364" s="313">
        <f t="shared" si="5"/>
        <v>15110000</v>
      </c>
      <c r="P364" s="313">
        <f t="shared" si="5"/>
        <v>17110000</v>
      </c>
      <c r="Q364" s="474">
        <f t="shared" si="5"/>
        <v>46643600</v>
      </c>
      <c r="R364" s="647">
        <f t="shared" si="5"/>
        <v>0</v>
      </c>
      <c r="S364" s="647">
        <f t="shared" si="5"/>
        <v>0</v>
      </c>
      <c r="T364" s="647">
        <f t="shared" si="5"/>
        <v>1</v>
      </c>
      <c r="U364" s="648">
        <f t="shared" si="5"/>
        <v>1</v>
      </c>
      <c r="V364" s="610"/>
      <c r="W364" s="610"/>
      <c r="X364" s="610"/>
      <c r="Y364" s="610"/>
    </row>
    <row r="365" spans="1:25" s="315" customFormat="1" x14ac:dyDescent="0.2">
      <c r="A365" s="470" t="str">
        <f>A15</f>
        <v>1.3 Expansion de l'offre publique d'écoles maternelles : accroitre l'offre publique d'enseignement maternel</v>
      </c>
      <c r="B365" s="471"/>
      <c r="C365" s="472"/>
      <c r="D365" s="473"/>
      <c r="E365" s="188"/>
      <c r="F365" s="188"/>
      <c r="G365" s="188"/>
      <c r="H365" s="188"/>
      <c r="I365" s="188"/>
      <c r="J365" s="476"/>
      <c r="K365" s="313"/>
      <c r="L365" s="313">
        <f t="shared" ref="L365:U365" si="6">L15</f>
        <v>9242100</v>
      </c>
      <c r="M365" s="313">
        <f t="shared" si="6"/>
        <v>11746600</v>
      </c>
      <c r="N365" s="313">
        <f t="shared" si="6"/>
        <v>16810700</v>
      </c>
      <c r="O365" s="313">
        <f t="shared" si="6"/>
        <v>19305500</v>
      </c>
      <c r="P365" s="313">
        <f t="shared" si="6"/>
        <v>21886700</v>
      </c>
      <c r="Q365" s="474">
        <f t="shared" si="6"/>
        <v>78991600</v>
      </c>
      <c r="R365" s="647">
        <f t="shared" si="6"/>
        <v>0</v>
      </c>
      <c r="S365" s="647">
        <f t="shared" si="6"/>
        <v>0</v>
      </c>
      <c r="T365" s="647">
        <f t="shared" si="6"/>
        <v>1</v>
      </c>
      <c r="U365" s="648">
        <f t="shared" si="6"/>
        <v>1</v>
      </c>
      <c r="V365" s="610"/>
      <c r="W365" s="610"/>
      <c r="X365" s="610"/>
      <c r="Y365" s="610"/>
    </row>
    <row r="366" spans="1:25" s="315" customFormat="1" x14ac:dyDescent="0.2">
      <c r="A366" s="470" t="str">
        <f>A18</f>
        <v>1.4 Équipement des structures : Équiper les écoles maternelles en matériels didactiques</v>
      </c>
      <c r="B366" s="471"/>
      <c r="C366" s="472"/>
      <c r="D366" s="473"/>
      <c r="E366" s="188"/>
      <c r="F366" s="188"/>
      <c r="G366" s="188"/>
      <c r="H366" s="188"/>
      <c r="I366" s="188"/>
      <c r="J366" s="476"/>
      <c r="K366" s="313"/>
      <c r="L366" s="313">
        <f t="shared" ref="L366:U366" si="7">L18</f>
        <v>363750</v>
      </c>
      <c r="M366" s="313">
        <f t="shared" si="7"/>
        <v>344000</v>
      </c>
      <c r="N366" s="313">
        <f t="shared" si="7"/>
        <v>324000</v>
      </c>
      <c r="O366" s="313">
        <f t="shared" si="7"/>
        <v>324000</v>
      </c>
      <c r="P366" s="313">
        <f t="shared" si="7"/>
        <v>324000</v>
      </c>
      <c r="Q366" s="474">
        <f t="shared" si="7"/>
        <v>1679750</v>
      </c>
      <c r="R366" s="647">
        <f t="shared" si="7"/>
        <v>0</v>
      </c>
      <c r="S366" s="647">
        <f t="shared" si="7"/>
        <v>0</v>
      </c>
      <c r="T366" s="647">
        <f t="shared" si="7"/>
        <v>2</v>
      </c>
      <c r="U366" s="648">
        <f t="shared" si="7"/>
        <v>2</v>
      </c>
      <c r="V366" s="610"/>
      <c r="W366" s="610"/>
      <c r="X366" s="610"/>
      <c r="Y366" s="610"/>
    </row>
    <row r="367" spans="1:25" s="315" customFormat="1" x14ac:dyDescent="0.2">
      <c r="A367" s="470" t="str">
        <f>A21</f>
        <v>1.5 Formation des animateurs : Des enseignants qualifiés</v>
      </c>
      <c r="B367" s="471"/>
      <c r="C367" s="472"/>
      <c r="D367" s="473"/>
      <c r="E367" s="188"/>
      <c r="F367" s="188"/>
      <c r="G367" s="188"/>
      <c r="H367" s="188"/>
      <c r="I367" s="188"/>
      <c r="J367" s="476"/>
      <c r="K367" s="313"/>
      <c r="L367" s="313">
        <f t="shared" ref="L367:U367" si="8">L21</f>
        <v>673500</v>
      </c>
      <c r="M367" s="313">
        <f t="shared" si="8"/>
        <v>1567500</v>
      </c>
      <c r="N367" s="313">
        <f t="shared" si="8"/>
        <v>1754500</v>
      </c>
      <c r="O367" s="313">
        <f t="shared" si="8"/>
        <v>1952500</v>
      </c>
      <c r="P367" s="313">
        <f t="shared" si="8"/>
        <v>2150500</v>
      </c>
      <c r="Q367" s="474">
        <f t="shared" si="8"/>
        <v>8098500</v>
      </c>
      <c r="R367" s="647">
        <f t="shared" si="8"/>
        <v>0</v>
      </c>
      <c r="S367" s="647">
        <f t="shared" si="8"/>
        <v>0</v>
      </c>
      <c r="T367" s="647">
        <f t="shared" si="8"/>
        <v>2</v>
      </c>
      <c r="U367" s="648">
        <f t="shared" si="8"/>
        <v>2</v>
      </c>
      <c r="V367" s="610"/>
      <c r="W367" s="610"/>
      <c r="X367" s="610"/>
      <c r="Y367" s="610"/>
    </row>
    <row r="368" spans="1:25" s="315" customFormat="1" x14ac:dyDescent="0.2">
      <c r="A368" s="470" t="str">
        <f>A24</f>
        <v>1.6 Supervision des structures et des enseignants : Assurer l'encadrement pédagogique et administratif des structures</v>
      </c>
      <c r="B368" s="471"/>
      <c r="C368" s="472"/>
      <c r="D368" s="473"/>
      <c r="E368" s="188"/>
      <c r="F368" s="188"/>
      <c r="G368" s="188"/>
      <c r="H368" s="188"/>
      <c r="I368" s="188"/>
      <c r="J368" s="476"/>
      <c r="K368" s="313"/>
      <c r="L368" s="313">
        <f t="shared" ref="L368:U368" si="9">L24</f>
        <v>210000</v>
      </c>
      <c r="M368" s="313">
        <f t="shared" si="9"/>
        <v>270000</v>
      </c>
      <c r="N368" s="313">
        <f t="shared" si="9"/>
        <v>330000</v>
      </c>
      <c r="O368" s="313">
        <f t="shared" si="9"/>
        <v>180000</v>
      </c>
      <c r="P368" s="313">
        <f t="shared" si="9"/>
        <v>180000</v>
      </c>
      <c r="Q368" s="474">
        <f t="shared" si="9"/>
        <v>1170000</v>
      </c>
      <c r="R368" s="647">
        <f t="shared" si="9"/>
        <v>0</v>
      </c>
      <c r="S368" s="647">
        <f t="shared" si="9"/>
        <v>0</v>
      </c>
      <c r="T368" s="647">
        <f t="shared" si="9"/>
        <v>3</v>
      </c>
      <c r="U368" s="648">
        <f t="shared" si="9"/>
        <v>3</v>
      </c>
      <c r="V368" s="610"/>
      <c r="W368" s="610"/>
      <c r="X368" s="610"/>
      <c r="Y368" s="610"/>
    </row>
    <row r="369" spans="1:25" s="322" customFormat="1" x14ac:dyDescent="0.2">
      <c r="A369" s="468" t="str">
        <f>A27</f>
        <v>2. Enseignement primaire : Un enseignement primaire de qualité pour apporter à tous les savoirs et compétences de base</v>
      </c>
      <c r="B369" s="469"/>
      <c r="C369" s="445"/>
      <c r="D369" s="469"/>
      <c r="E369" s="32"/>
      <c r="F369" s="32"/>
      <c r="G369" s="32"/>
      <c r="H369" s="32"/>
      <c r="I369" s="32"/>
      <c r="J369" s="445"/>
      <c r="K369" s="32"/>
      <c r="L369" s="32">
        <f t="shared" ref="L369:U369" si="10">L27</f>
        <v>505574765.01758051</v>
      </c>
      <c r="M369" s="32">
        <f t="shared" si="10"/>
        <v>586019400.16991758</v>
      </c>
      <c r="N369" s="32">
        <f t="shared" si="10"/>
        <v>656510277.83057225</v>
      </c>
      <c r="O369" s="32">
        <f t="shared" si="10"/>
        <v>706287517.95687139</v>
      </c>
      <c r="P369" s="32">
        <f t="shared" si="10"/>
        <v>753196429.96220422</v>
      </c>
      <c r="Q369" s="428">
        <f t="shared" si="10"/>
        <v>3207588390.9371462</v>
      </c>
      <c r="R369" s="645">
        <f t="shared" si="10"/>
        <v>0</v>
      </c>
      <c r="S369" s="645">
        <f t="shared" si="10"/>
        <v>0</v>
      </c>
      <c r="T369" s="645">
        <f t="shared" si="10"/>
        <v>0</v>
      </c>
      <c r="U369" s="646">
        <f t="shared" si="10"/>
        <v>0</v>
      </c>
      <c r="V369" s="609"/>
      <c r="W369" s="609"/>
      <c r="X369" s="609"/>
      <c r="Y369" s="609"/>
    </row>
    <row r="370" spans="1:25" s="315" customFormat="1" x14ac:dyDescent="0.2">
      <c r="A370" s="470" t="str">
        <f>A28</f>
        <v xml:space="preserve">2.1 Capacité d'accueil du primaire : Augmenter les capacités d’accueil </v>
      </c>
      <c r="B370" s="471"/>
      <c r="C370" s="472"/>
      <c r="D370" s="473"/>
      <c r="E370" s="188"/>
      <c r="F370" s="188"/>
      <c r="G370" s="188"/>
      <c r="H370" s="188"/>
      <c r="I370" s="188"/>
      <c r="J370" s="476"/>
      <c r="K370" s="313"/>
      <c r="L370" s="313">
        <f t="shared" ref="L370:U370" si="11">L28</f>
        <v>93760000</v>
      </c>
      <c r="M370" s="313">
        <f t="shared" si="11"/>
        <v>92800000</v>
      </c>
      <c r="N370" s="313">
        <f t="shared" si="11"/>
        <v>92800000</v>
      </c>
      <c r="O370" s="313">
        <f t="shared" si="11"/>
        <v>92800000</v>
      </c>
      <c r="P370" s="313">
        <f t="shared" si="11"/>
        <v>92800000</v>
      </c>
      <c r="Q370" s="474">
        <f t="shared" si="11"/>
        <v>464960000</v>
      </c>
      <c r="R370" s="647">
        <f t="shared" si="11"/>
        <v>0</v>
      </c>
      <c r="S370" s="647">
        <f t="shared" si="11"/>
        <v>0</v>
      </c>
      <c r="T370" s="647">
        <f t="shared" si="11"/>
        <v>1</v>
      </c>
      <c r="U370" s="648">
        <f t="shared" si="11"/>
        <v>1</v>
      </c>
      <c r="V370" s="610"/>
      <c r="W370" s="610"/>
      <c r="X370" s="610"/>
      <c r="Y370" s="610"/>
    </row>
    <row r="371" spans="1:25" s="315" customFormat="1" x14ac:dyDescent="0.2">
      <c r="A371" s="470" t="str">
        <f>A31</f>
        <v>2.2 Gratuité des écoles publiques : Les frais scolaires sont supprimés dans les écoles primaires publiques conventionnées et non conventionnées</v>
      </c>
      <c r="B371" s="471"/>
      <c r="C371" s="472"/>
      <c r="D371" s="473"/>
      <c r="E371" s="188"/>
      <c r="F371" s="188"/>
      <c r="G371" s="188"/>
      <c r="H371" s="188"/>
      <c r="I371" s="188"/>
      <c r="J371" s="476"/>
      <c r="K371" s="313"/>
      <c r="L371" s="313">
        <f t="shared" ref="L371:U371" si="12">L31</f>
        <v>383136159.01758051</v>
      </c>
      <c r="M371" s="313">
        <f t="shared" si="12"/>
        <v>422799859.16991752</v>
      </c>
      <c r="N371" s="313">
        <f t="shared" si="12"/>
        <v>463309349.83057225</v>
      </c>
      <c r="O371" s="313">
        <f t="shared" si="12"/>
        <v>504307029.95687139</v>
      </c>
      <c r="P371" s="313">
        <f t="shared" si="12"/>
        <v>542242913.96220422</v>
      </c>
      <c r="Q371" s="474">
        <f t="shared" si="12"/>
        <v>2315795311.9371462</v>
      </c>
      <c r="R371" s="647">
        <f t="shared" si="12"/>
        <v>0</v>
      </c>
      <c r="S371" s="647">
        <f t="shared" si="12"/>
        <v>0</v>
      </c>
      <c r="T371" s="647">
        <f t="shared" si="12"/>
        <v>1</v>
      </c>
      <c r="U371" s="648">
        <f t="shared" si="12"/>
        <v>1</v>
      </c>
      <c r="V371" s="610"/>
      <c r="W371" s="610"/>
      <c r="X371" s="610"/>
      <c r="Y371" s="610"/>
    </row>
    <row r="372" spans="1:25" s="315" customFormat="1" x14ac:dyDescent="0.2">
      <c r="A372" s="470" t="str">
        <f>A34</f>
        <v>2.3 Résorption des disparités dans l'offre : Une capacité d'accueil mieux répartie sur le territoire</v>
      </c>
      <c r="B372" s="471"/>
      <c r="C372" s="472"/>
      <c r="D372" s="473"/>
      <c r="E372" s="188"/>
      <c r="F372" s="188"/>
      <c r="G372" s="188"/>
      <c r="H372" s="188"/>
      <c r="I372" s="188"/>
      <c r="J372" s="476"/>
      <c r="K372" s="313"/>
      <c r="L372" s="313">
        <f t="shared" ref="L372:U372" si="13">L34</f>
        <v>21060884</v>
      </c>
      <c r="M372" s="313">
        <f t="shared" si="13"/>
        <v>21343162</v>
      </c>
      <c r="N372" s="313">
        <f t="shared" si="13"/>
        <v>24667440</v>
      </c>
      <c r="O372" s="313">
        <f t="shared" si="13"/>
        <v>25017968</v>
      </c>
      <c r="P372" s="313">
        <f t="shared" si="13"/>
        <v>25368496</v>
      </c>
      <c r="Q372" s="474">
        <f t="shared" si="13"/>
        <v>117457950</v>
      </c>
      <c r="R372" s="647">
        <f t="shared" si="13"/>
        <v>0</v>
      </c>
      <c r="S372" s="647">
        <f t="shared" si="13"/>
        <v>0</v>
      </c>
      <c r="T372" s="647">
        <f t="shared" si="13"/>
        <v>1</v>
      </c>
      <c r="U372" s="648">
        <f t="shared" si="13"/>
        <v>1</v>
      </c>
      <c r="V372" s="610"/>
      <c r="W372" s="610"/>
      <c r="X372" s="610"/>
      <c r="Y372" s="610"/>
    </row>
    <row r="373" spans="1:25" s="315" customFormat="1" x14ac:dyDescent="0.2">
      <c r="A373" s="470" t="str">
        <f>A37</f>
        <v>2.4 Amélioration de l'équité d'accès : soutenir la scolarisation des populations défavorisées ou marginalisées</v>
      </c>
      <c r="B373" s="471"/>
      <c r="C373" s="472"/>
      <c r="D373" s="473"/>
      <c r="E373" s="188"/>
      <c r="F373" s="188"/>
      <c r="G373" s="188"/>
      <c r="H373" s="188"/>
      <c r="I373" s="188"/>
      <c r="J373" s="476"/>
      <c r="K373" s="313"/>
      <c r="L373" s="313">
        <f t="shared" ref="L373:U373" si="14">L37</f>
        <v>44850</v>
      </c>
      <c r="M373" s="313">
        <f t="shared" si="14"/>
        <v>1464339</v>
      </c>
      <c r="N373" s="313">
        <f t="shared" si="14"/>
        <v>2505083</v>
      </c>
      <c r="O373" s="313">
        <f t="shared" si="14"/>
        <v>5962023</v>
      </c>
      <c r="P373" s="313">
        <f t="shared" si="14"/>
        <v>9465362</v>
      </c>
      <c r="Q373" s="474">
        <f t="shared" si="14"/>
        <v>19441657</v>
      </c>
      <c r="R373" s="647">
        <f t="shared" si="14"/>
        <v>0</v>
      </c>
      <c r="S373" s="647">
        <f t="shared" si="14"/>
        <v>0</v>
      </c>
      <c r="T373" s="647">
        <f t="shared" si="14"/>
        <v>1</v>
      </c>
      <c r="U373" s="648">
        <f t="shared" si="14"/>
        <v>1</v>
      </c>
      <c r="V373" s="610"/>
      <c r="W373" s="610"/>
      <c r="X373" s="610"/>
      <c r="Y373" s="610"/>
    </row>
    <row r="374" spans="1:25" s="315" customFormat="1" x14ac:dyDescent="0.2">
      <c r="A374" s="470" t="str">
        <f>A43</f>
        <v>2.5 Scolarisation des filles : Encourager la scolarisation des filles</v>
      </c>
      <c r="B374" s="471"/>
      <c r="C374" s="472"/>
      <c r="D374" s="473"/>
      <c r="E374" s="188"/>
      <c r="F374" s="188"/>
      <c r="G374" s="188"/>
      <c r="H374" s="188"/>
      <c r="I374" s="188"/>
      <c r="J374" s="476"/>
      <c r="K374" s="313"/>
      <c r="L374" s="313">
        <f t="shared" ref="L374:U374" si="15">L43</f>
        <v>30500</v>
      </c>
      <c r="M374" s="313">
        <f t="shared" si="15"/>
        <v>6754000</v>
      </c>
      <c r="N374" s="313">
        <f t="shared" si="15"/>
        <v>8110000</v>
      </c>
      <c r="O374" s="313">
        <f t="shared" si="15"/>
        <v>9480000</v>
      </c>
      <c r="P374" s="313">
        <f t="shared" si="15"/>
        <v>10850000</v>
      </c>
      <c r="Q374" s="474">
        <f t="shared" si="15"/>
        <v>35224500</v>
      </c>
      <c r="R374" s="649">
        <f t="shared" si="15"/>
        <v>0</v>
      </c>
      <c r="S374" s="649">
        <f t="shared" si="15"/>
        <v>0</v>
      </c>
      <c r="T374" s="647">
        <f t="shared" si="15"/>
        <v>1</v>
      </c>
      <c r="U374" s="648">
        <f t="shared" si="15"/>
        <v>1</v>
      </c>
      <c r="V374" s="610"/>
      <c r="W374" s="610"/>
      <c r="X374" s="610"/>
      <c r="Y374" s="610"/>
    </row>
    <row r="375" spans="1:25" s="315" customFormat="1" x14ac:dyDescent="0.2">
      <c r="A375" s="470" t="str">
        <f>A47</f>
        <v xml:space="preserve">2.6 Matériels et équipements pédagogiques : Rendre accessibles et disponibles les manuels scolaires et le matériel didactique </v>
      </c>
      <c r="B375" s="471"/>
      <c r="C375" s="472"/>
      <c r="D375" s="473"/>
      <c r="E375" s="188"/>
      <c r="F375" s="188"/>
      <c r="G375" s="188"/>
      <c r="H375" s="188"/>
      <c r="I375" s="188"/>
      <c r="J375" s="476"/>
      <c r="K375" s="313"/>
      <c r="L375" s="313">
        <f t="shared" ref="L375:U375" si="16">L47</f>
        <v>2229400</v>
      </c>
      <c r="M375" s="313">
        <f t="shared" si="16"/>
        <v>14835500</v>
      </c>
      <c r="N375" s="313">
        <f t="shared" si="16"/>
        <v>18252500</v>
      </c>
      <c r="O375" s="313">
        <f t="shared" si="16"/>
        <v>21792500</v>
      </c>
      <c r="P375" s="313">
        <f t="shared" si="16"/>
        <v>25332500</v>
      </c>
      <c r="Q375" s="474">
        <f t="shared" si="16"/>
        <v>82442400</v>
      </c>
      <c r="R375" s="650">
        <f t="shared" si="16"/>
        <v>0</v>
      </c>
      <c r="S375" s="650">
        <f t="shared" si="16"/>
        <v>0</v>
      </c>
      <c r="T375" s="650">
        <f t="shared" si="16"/>
        <v>2</v>
      </c>
      <c r="U375" s="648">
        <f t="shared" si="16"/>
        <v>2</v>
      </c>
      <c r="V375" s="610"/>
      <c r="W375" s="610"/>
      <c r="X375" s="610"/>
      <c r="Y375" s="610"/>
    </row>
    <row r="376" spans="1:25" s="315" customFormat="1" x14ac:dyDescent="0.2">
      <c r="A376" s="470" t="str">
        <f>A53</f>
        <v>2.7 Apprentissage de la lecture-écriture : améliorer les apprentissages de la lecture-écriture</v>
      </c>
      <c r="B376" s="471"/>
      <c r="C376" s="472"/>
      <c r="D376" s="473"/>
      <c r="E376" s="188"/>
      <c r="F376" s="188"/>
      <c r="G376" s="188"/>
      <c r="H376" s="188"/>
      <c r="I376" s="188"/>
      <c r="J376" s="476"/>
      <c r="K376" s="313"/>
      <c r="L376" s="313">
        <f t="shared" ref="L376:U376" si="17">L53</f>
        <v>124500</v>
      </c>
      <c r="M376" s="313">
        <f t="shared" si="17"/>
        <v>380000</v>
      </c>
      <c r="N376" s="313">
        <f t="shared" si="17"/>
        <v>90000</v>
      </c>
      <c r="O376" s="313">
        <f t="shared" si="17"/>
        <v>0</v>
      </c>
      <c r="P376" s="313">
        <f t="shared" si="17"/>
        <v>90000</v>
      </c>
      <c r="Q376" s="474">
        <f t="shared" si="17"/>
        <v>684500</v>
      </c>
      <c r="R376" s="650">
        <f t="shared" si="17"/>
        <v>0</v>
      </c>
      <c r="S376" s="650">
        <f t="shared" si="17"/>
        <v>0</v>
      </c>
      <c r="T376" s="650">
        <f t="shared" si="17"/>
        <v>2</v>
      </c>
      <c r="U376" s="648">
        <f t="shared" si="17"/>
        <v>2</v>
      </c>
      <c r="V376" s="610"/>
      <c r="W376" s="610"/>
      <c r="X376" s="610"/>
      <c r="Y376" s="610"/>
    </row>
    <row r="377" spans="1:25" s="315" customFormat="1" x14ac:dyDescent="0.2">
      <c r="A377" s="470" t="str">
        <f>A58</f>
        <v>2.8 Environnement éducatif : Mise à niveau de l'infrastructure et de l'environnement scolaire</v>
      </c>
      <c r="B377" s="471"/>
      <c r="C377" s="472"/>
      <c r="D377" s="473"/>
      <c r="E377" s="188"/>
      <c r="F377" s="188"/>
      <c r="G377" s="188"/>
      <c r="H377" s="188"/>
      <c r="I377" s="188"/>
      <c r="J377" s="476"/>
      <c r="K377" s="313"/>
      <c r="L377" s="313">
        <f t="shared" ref="L377:U377" si="18">L58</f>
        <v>3338570</v>
      </c>
      <c r="M377" s="313">
        <f t="shared" si="18"/>
        <v>13101560</v>
      </c>
      <c r="N377" s="313">
        <f t="shared" si="18"/>
        <v>13257170</v>
      </c>
      <c r="O377" s="313">
        <f t="shared" si="18"/>
        <v>13385620</v>
      </c>
      <c r="P377" s="313">
        <f t="shared" si="18"/>
        <v>13480050</v>
      </c>
      <c r="Q377" s="474">
        <f t="shared" si="18"/>
        <v>56562970</v>
      </c>
      <c r="R377" s="650">
        <f t="shared" si="18"/>
        <v>0</v>
      </c>
      <c r="S377" s="650">
        <f t="shared" si="18"/>
        <v>0</v>
      </c>
      <c r="T377" s="650">
        <f t="shared" si="18"/>
        <v>2</v>
      </c>
      <c r="U377" s="648">
        <f t="shared" si="18"/>
        <v>2</v>
      </c>
      <c r="V377" s="610"/>
      <c r="W377" s="610"/>
      <c r="X377" s="610"/>
      <c r="Y377" s="610"/>
    </row>
    <row r="378" spans="1:25" s="315" customFormat="1" x14ac:dyDescent="0.2">
      <c r="A378" s="470" t="str">
        <f>A65</f>
        <v>2.9 Formation continue des enseignants : renforcer la formation continue</v>
      </c>
      <c r="B378" s="471"/>
      <c r="C378" s="472"/>
      <c r="D378" s="473"/>
      <c r="E378" s="188"/>
      <c r="F378" s="188"/>
      <c r="G378" s="188"/>
      <c r="H378" s="188"/>
      <c r="I378" s="188"/>
      <c r="J378" s="476"/>
      <c r="K378" s="313"/>
      <c r="L378" s="313">
        <f t="shared" ref="L378:U378" si="19">L65</f>
        <v>1702652</v>
      </c>
      <c r="M378" s="313">
        <f t="shared" si="19"/>
        <v>1434980</v>
      </c>
      <c r="N378" s="313">
        <f t="shared" si="19"/>
        <v>1344735</v>
      </c>
      <c r="O378" s="313">
        <f t="shared" si="19"/>
        <v>1368377</v>
      </c>
      <c r="P378" s="313">
        <f t="shared" si="19"/>
        <v>1393108</v>
      </c>
      <c r="Q378" s="474">
        <f t="shared" si="19"/>
        <v>7243852</v>
      </c>
      <c r="R378" s="650">
        <f t="shared" si="19"/>
        <v>0</v>
      </c>
      <c r="S378" s="650">
        <f t="shared" si="19"/>
        <v>0</v>
      </c>
      <c r="T378" s="650">
        <f t="shared" si="19"/>
        <v>2</v>
      </c>
      <c r="U378" s="648">
        <f t="shared" si="19"/>
        <v>2</v>
      </c>
      <c r="V378" s="610"/>
      <c r="W378" s="610"/>
      <c r="X378" s="610"/>
      <c r="Y378" s="610"/>
    </row>
    <row r="379" spans="1:25" s="315" customFormat="1" x14ac:dyDescent="0.2">
      <c r="A379" s="470" t="str">
        <f>+A70</f>
        <v>2.10 Formation initiale des enseignants du primaire : Professionnaliser les humanités pédagogiques</v>
      </c>
      <c r="B379" s="471"/>
      <c r="C379" s="472">
        <f t="shared" ref="C379:Q379" si="20">+C70</f>
        <v>0</v>
      </c>
      <c r="D379" s="473">
        <f t="shared" si="20"/>
        <v>147.25</v>
      </c>
      <c r="E379" s="188">
        <f t="shared" si="20"/>
        <v>132</v>
      </c>
      <c r="F379" s="188">
        <f t="shared" si="20"/>
        <v>18200</v>
      </c>
      <c r="G379" s="188">
        <f t="shared" si="20"/>
        <v>18200</v>
      </c>
      <c r="H379" s="188">
        <f t="shared" si="20"/>
        <v>18200</v>
      </c>
      <c r="I379" s="188">
        <f t="shared" si="20"/>
        <v>54879.25</v>
      </c>
      <c r="J379" s="476">
        <f t="shared" si="20"/>
        <v>0</v>
      </c>
      <c r="K379" s="313">
        <f t="shared" si="20"/>
        <v>0</v>
      </c>
      <c r="L379" s="313">
        <f t="shared" si="20"/>
        <v>147250</v>
      </c>
      <c r="M379" s="313">
        <f t="shared" si="20"/>
        <v>132000</v>
      </c>
      <c r="N379" s="313">
        <f t="shared" si="20"/>
        <v>18200000</v>
      </c>
      <c r="O379" s="313">
        <f t="shared" si="20"/>
        <v>18200000</v>
      </c>
      <c r="P379" s="313">
        <f t="shared" si="20"/>
        <v>18200000</v>
      </c>
      <c r="Q379" s="474">
        <f t="shared" si="20"/>
        <v>54879250</v>
      </c>
      <c r="R379" s="649">
        <f t="shared" ref="R379:T380" si="21">R74</f>
        <v>0</v>
      </c>
      <c r="S379" s="649">
        <f t="shared" si="21"/>
        <v>0</v>
      </c>
      <c r="T379" s="649">
        <f t="shared" si="21"/>
        <v>0</v>
      </c>
      <c r="U379" s="648">
        <v>2</v>
      </c>
      <c r="V379" s="610"/>
      <c r="W379" s="610"/>
      <c r="X379" s="610"/>
      <c r="Y379" s="610"/>
    </row>
    <row r="380" spans="1:25" s="315" customFormat="1" x14ac:dyDescent="0.2">
      <c r="A380" s="470" t="str">
        <f>A75</f>
        <v>2.11 Supervision des écoles et des enseignants : assurer l'encadrement pédagogique et administratif des écoles</v>
      </c>
      <c r="B380" s="471"/>
      <c r="C380" s="472"/>
      <c r="D380" s="473"/>
      <c r="E380" s="188"/>
      <c r="F380" s="188"/>
      <c r="G380" s="188"/>
      <c r="H380" s="188"/>
      <c r="I380" s="188"/>
      <c r="J380" s="476"/>
      <c r="K380" s="313"/>
      <c r="L380" s="313">
        <f t="shared" ref="L380:Q380" si="22">L75</f>
        <v>0</v>
      </c>
      <c r="M380" s="313">
        <f t="shared" si="22"/>
        <v>1875000</v>
      </c>
      <c r="N380" s="313">
        <f t="shared" si="22"/>
        <v>4875000</v>
      </c>
      <c r="O380" s="313">
        <f t="shared" si="22"/>
        <v>4875000</v>
      </c>
      <c r="P380" s="313">
        <f t="shared" si="22"/>
        <v>4875000</v>
      </c>
      <c r="Q380" s="474">
        <f t="shared" si="22"/>
        <v>16500000</v>
      </c>
      <c r="R380" s="649">
        <f t="shared" si="21"/>
        <v>0</v>
      </c>
      <c r="S380" s="649">
        <f t="shared" si="21"/>
        <v>0</v>
      </c>
      <c r="T380" s="649">
        <f t="shared" si="21"/>
        <v>3</v>
      </c>
      <c r="U380" s="648">
        <f>U75</f>
        <v>3</v>
      </c>
      <c r="V380" s="610"/>
      <c r="W380" s="610"/>
      <c r="X380" s="610"/>
      <c r="Y380" s="610"/>
    </row>
    <row r="381" spans="1:25" s="315" customFormat="1" x14ac:dyDescent="0.2">
      <c r="A381" s="470" t="str">
        <f>A78</f>
        <v>2.12 Équipement informatique des directeurs : permettre aux directeurs de mieux gérer et communiquer</v>
      </c>
      <c r="B381" s="471"/>
      <c r="C381" s="472"/>
      <c r="D381" s="473"/>
      <c r="E381" s="188"/>
      <c r="F381" s="188"/>
      <c r="G381" s="188"/>
      <c r="H381" s="188"/>
      <c r="I381" s="188"/>
      <c r="J381" s="476"/>
      <c r="K381" s="313"/>
      <c r="L381" s="313">
        <f t="shared" ref="L381:U381" si="23">L78</f>
        <v>0</v>
      </c>
      <c r="M381" s="313">
        <f t="shared" si="23"/>
        <v>9099000</v>
      </c>
      <c r="N381" s="313">
        <f t="shared" si="23"/>
        <v>9099000</v>
      </c>
      <c r="O381" s="313">
        <f t="shared" si="23"/>
        <v>9099000</v>
      </c>
      <c r="P381" s="313">
        <f t="shared" si="23"/>
        <v>9099000</v>
      </c>
      <c r="Q381" s="474">
        <f t="shared" si="23"/>
        <v>36396000</v>
      </c>
      <c r="R381" s="649">
        <f t="shared" si="23"/>
        <v>0</v>
      </c>
      <c r="S381" s="649">
        <f t="shared" si="23"/>
        <v>0</v>
      </c>
      <c r="T381" s="649">
        <f t="shared" si="23"/>
        <v>3</v>
      </c>
      <c r="U381" s="648">
        <f t="shared" si="23"/>
        <v>3</v>
      </c>
      <c r="V381" s="610"/>
      <c r="W381" s="610"/>
      <c r="X381" s="610"/>
      <c r="Y381" s="610"/>
    </row>
    <row r="382" spans="1:25" s="315" customFormat="1" x14ac:dyDescent="0.2">
      <c r="A382" s="468" t="str">
        <f>A81</f>
        <v>3. Éducation non formelle : Permettre aux personnes non scolarisées d'acquérir les savoirs de base</v>
      </c>
      <c r="B382" s="469"/>
      <c r="C382" s="445"/>
      <c r="D382" s="469"/>
      <c r="E382" s="32"/>
      <c r="F382" s="32"/>
      <c r="G382" s="32"/>
      <c r="H382" s="32"/>
      <c r="I382" s="32"/>
      <c r="J382" s="445"/>
      <c r="K382" s="32"/>
      <c r="L382" s="32">
        <f t="shared" ref="L382:U382" si="24">L81</f>
        <v>10084908.015983425</v>
      </c>
      <c r="M382" s="32">
        <f t="shared" si="24"/>
        <v>11951512.872319972</v>
      </c>
      <c r="N382" s="32">
        <f t="shared" si="24"/>
        <v>15355068.047269218</v>
      </c>
      <c r="O382" s="32">
        <f t="shared" si="24"/>
        <v>16499717.302845683</v>
      </c>
      <c r="P382" s="32">
        <f t="shared" si="24"/>
        <v>16061804.711646976</v>
      </c>
      <c r="Q382" s="428">
        <f t="shared" si="24"/>
        <v>69953010.95006527</v>
      </c>
      <c r="R382" s="647">
        <f t="shared" si="24"/>
        <v>0</v>
      </c>
      <c r="S382" s="647">
        <f t="shared" si="24"/>
        <v>0</v>
      </c>
      <c r="T382" s="647">
        <f t="shared" si="24"/>
        <v>0</v>
      </c>
      <c r="U382" s="648">
        <f t="shared" si="24"/>
        <v>0</v>
      </c>
      <c r="V382" s="610"/>
      <c r="W382" s="610"/>
      <c r="X382" s="610"/>
      <c r="Y382" s="610"/>
    </row>
    <row r="383" spans="1:25" s="315" customFormat="1" x14ac:dyDescent="0.2">
      <c r="A383" s="470" t="str">
        <f>A82</f>
        <v>3.1. Amélioration de l’accès aux offres de formation : Diversifier l’offre en développant les partenariats pour satisfaire la demande plurielle d’AENF provenant des provinces sous-scolarisées et des groupes marginalisés d’éducation pour</v>
      </c>
      <c r="B383" s="471"/>
      <c r="C383" s="472"/>
      <c r="D383" s="473"/>
      <c r="E383" s="188"/>
      <c r="F383" s="188"/>
      <c r="G383" s="188"/>
      <c r="H383" s="188"/>
      <c r="I383" s="188"/>
      <c r="J383" s="476"/>
      <c r="K383" s="313"/>
      <c r="L383" s="313">
        <f t="shared" ref="L383:U383" si="25">L82</f>
        <v>414630</v>
      </c>
      <c r="M383" s="313">
        <f t="shared" si="25"/>
        <v>1530780</v>
      </c>
      <c r="N383" s="313">
        <f t="shared" si="25"/>
        <v>1499280</v>
      </c>
      <c r="O383" s="313">
        <f t="shared" si="25"/>
        <v>1350000</v>
      </c>
      <c r="P383" s="313">
        <f t="shared" si="25"/>
        <v>150000</v>
      </c>
      <c r="Q383" s="474">
        <f t="shared" si="25"/>
        <v>4944690</v>
      </c>
      <c r="R383" s="647">
        <f t="shared" si="25"/>
        <v>0</v>
      </c>
      <c r="S383" s="647">
        <f t="shared" si="25"/>
        <v>0</v>
      </c>
      <c r="T383" s="647">
        <f t="shared" si="25"/>
        <v>1</v>
      </c>
      <c r="U383" s="648">
        <f t="shared" si="25"/>
        <v>1</v>
      </c>
      <c r="V383" s="610"/>
      <c r="W383" s="610"/>
      <c r="X383" s="610"/>
      <c r="Y383" s="610"/>
    </row>
    <row r="384" spans="1:25" s="315" customFormat="1" x14ac:dyDescent="0.2">
      <c r="A384" s="470" t="str">
        <f>A87</f>
        <v>3.2. Protection sociale : renforcer les capacités des communautés et des familles</v>
      </c>
      <c r="B384" s="471"/>
      <c r="C384" s="472"/>
      <c r="D384" s="473"/>
      <c r="E384" s="188"/>
      <c r="F384" s="188"/>
      <c r="G384" s="188"/>
      <c r="H384" s="188"/>
      <c r="I384" s="188"/>
      <c r="J384" s="476"/>
      <c r="K384" s="313"/>
      <c r="L384" s="313">
        <f t="shared" ref="L384:U384" si="26">L87</f>
        <v>19400</v>
      </c>
      <c r="M384" s="313">
        <f t="shared" si="26"/>
        <v>249660</v>
      </c>
      <c r="N384" s="313">
        <f t="shared" si="26"/>
        <v>127000</v>
      </c>
      <c r="O384" s="313">
        <f t="shared" si="26"/>
        <v>127000</v>
      </c>
      <c r="P384" s="313">
        <f t="shared" si="26"/>
        <v>127000</v>
      </c>
      <c r="Q384" s="474">
        <f t="shared" si="26"/>
        <v>650060</v>
      </c>
      <c r="R384" s="647">
        <f t="shared" si="26"/>
        <v>0</v>
      </c>
      <c r="S384" s="647">
        <f t="shared" si="26"/>
        <v>0</v>
      </c>
      <c r="T384" s="647">
        <f t="shared" si="26"/>
        <v>1</v>
      </c>
      <c r="U384" s="648">
        <f t="shared" si="26"/>
        <v>1</v>
      </c>
      <c r="V384" s="610"/>
      <c r="W384" s="610"/>
      <c r="X384" s="610"/>
      <c r="Y384" s="610"/>
    </row>
    <row r="385" spans="1:25" s="315" customFormat="1" x14ac:dyDescent="0.2">
      <c r="A385" s="470" t="str">
        <f>A92</f>
        <v>3.3. Programmes de l'AENF : Harmoniser les programmes et les adapter aux besoins des bénéficiaires</v>
      </c>
      <c r="B385" s="471"/>
      <c r="C385" s="472"/>
      <c r="D385" s="473"/>
      <c r="E385" s="188"/>
      <c r="F385" s="188"/>
      <c r="G385" s="188"/>
      <c r="H385" s="188"/>
      <c r="I385" s="188"/>
      <c r="J385" s="476"/>
      <c r="K385" s="313"/>
      <c r="L385" s="313">
        <f t="shared" ref="L385:U385" si="27">L92</f>
        <v>16000</v>
      </c>
      <c r="M385" s="313">
        <f t="shared" si="27"/>
        <v>12500</v>
      </c>
      <c r="N385" s="313">
        <f t="shared" si="27"/>
        <v>21000</v>
      </c>
      <c r="O385" s="313">
        <f t="shared" si="27"/>
        <v>96000</v>
      </c>
      <c r="P385" s="313">
        <f t="shared" si="27"/>
        <v>96000</v>
      </c>
      <c r="Q385" s="474">
        <f t="shared" si="27"/>
        <v>241500</v>
      </c>
      <c r="R385" s="650">
        <f t="shared" si="27"/>
        <v>0</v>
      </c>
      <c r="S385" s="650">
        <f t="shared" si="27"/>
        <v>0</v>
      </c>
      <c r="T385" s="650">
        <f t="shared" si="27"/>
        <v>2</v>
      </c>
      <c r="U385" s="648">
        <f t="shared" si="27"/>
        <v>2</v>
      </c>
      <c r="V385" s="610"/>
      <c r="W385" s="610"/>
      <c r="X385" s="610"/>
      <c r="Y385" s="610"/>
    </row>
    <row r="386" spans="1:25" s="315" customFormat="1" x14ac:dyDescent="0.2">
      <c r="A386" s="470" t="str">
        <f>A95</f>
        <v>3.4 Supports et matériels andragogiques : équiper les centres en supports andragogiques rénovés</v>
      </c>
      <c r="B386" s="471"/>
      <c r="C386" s="472"/>
      <c r="D386" s="473"/>
      <c r="E386" s="188"/>
      <c r="F386" s="188"/>
      <c r="G386" s="188"/>
      <c r="H386" s="188"/>
      <c r="I386" s="188"/>
      <c r="J386" s="476"/>
      <c r="K386" s="313"/>
      <c r="L386" s="313">
        <f t="shared" ref="L386:U386" si="28">L95</f>
        <v>60500</v>
      </c>
      <c r="M386" s="313">
        <f t="shared" si="28"/>
        <v>258500</v>
      </c>
      <c r="N386" s="313">
        <f t="shared" si="28"/>
        <v>2692334</v>
      </c>
      <c r="O386" s="313">
        <f t="shared" si="28"/>
        <v>3193477</v>
      </c>
      <c r="P386" s="313">
        <f t="shared" si="28"/>
        <v>2902334</v>
      </c>
      <c r="Q386" s="474">
        <f t="shared" si="28"/>
        <v>9107145</v>
      </c>
      <c r="R386" s="650">
        <f t="shared" si="28"/>
        <v>0</v>
      </c>
      <c r="S386" s="650">
        <f t="shared" si="28"/>
        <v>0</v>
      </c>
      <c r="T386" s="650">
        <f t="shared" si="28"/>
        <v>2</v>
      </c>
      <c r="U386" s="648">
        <f t="shared" si="28"/>
        <v>2</v>
      </c>
      <c r="V386" s="610"/>
      <c r="W386" s="610"/>
      <c r="X386" s="610"/>
      <c r="Y386" s="610"/>
    </row>
    <row r="387" spans="1:25" s="315" customFormat="1" x14ac:dyDescent="0.2">
      <c r="A387" s="470" t="str">
        <f>A100</f>
        <v>3.5 Utilisation des langues locales : codifier les langues locales utilisées pour l'alphabétisation et promouvoir leur utilisation</v>
      </c>
      <c r="B387" s="471"/>
      <c r="C387" s="472"/>
      <c r="D387" s="473"/>
      <c r="E387" s="188"/>
      <c r="F387" s="188"/>
      <c r="G387" s="188"/>
      <c r="H387" s="188"/>
      <c r="I387" s="188"/>
      <c r="J387" s="476"/>
      <c r="K387" s="313"/>
      <c r="L387" s="313">
        <f t="shared" ref="L387:U387" si="29">L100</f>
        <v>0</v>
      </c>
      <c r="M387" s="313">
        <f t="shared" si="29"/>
        <v>21000</v>
      </c>
      <c r="N387" s="313">
        <f t="shared" si="29"/>
        <v>0</v>
      </c>
      <c r="O387" s="313">
        <f t="shared" si="29"/>
        <v>1431941</v>
      </c>
      <c r="P387" s="313">
        <f t="shared" si="29"/>
        <v>1431941</v>
      </c>
      <c r="Q387" s="474">
        <f t="shared" si="29"/>
        <v>2884882</v>
      </c>
      <c r="R387" s="650">
        <f t="shared" si="29"/>
        <v>0</v>
      </c>
      <c r="S387" s="650">
        <f t="shared" si="29"/>
        <v>0</v>
      </c>
      <c r="T387" s="650">
        <f t="shared" si="29"/>
        <v>2</v>
      </c>
      <c r="U387" s="648">
        <f t="shared" si="29"/>
        <v>2</v>
      </c>
      <c r="V387" s="610"/>
      <c r="W387" s="610"/>
      <c r="X387" s="610"/>
      <c r="Y387" s="610"/>
    </row>
    <row r="388" spans="1:25" s="315" customFormat="1" x14ac:dyDescent="0.2">
      <c r="A388" s="470" t="str">
        <f>A104</f>
        <v xml:space="preserve">3.6. Évaluation et certification : mettre en place un système de suivi, d’évaluation et de certification des acquis des apprenants </v>
      </c>
      <c r="B388" s="471"/>
      <c r="C388" s="472"/>
      <c r="D388" s="473"/>
      <c r="E388" s="188"/>
      <c r="F388" s="188"/>
      <c r="G388" s="188"/>
      <c r="H388" s="188"/>
      <c r="I388" s="188"/>
      <c r="J388" s="476"/>
      <c r="K388" s="313"/>
      <c r="L388" s="313">
        <f t="shared" ref="L388:U388" si="30">L104</f>
        <v>22000</v>
      </c>
      <c r="M388" s="313">
        <f t="shared" si="30"/>
        <v>277200</v>
      </c>
      <c r="N388" s="313">
        <f t="shared" si="30"/>
        <v>277200</v>
      </c>
      <c r="O388" s="313">
        <f t="shared" si="30"/>
        <v>0</v>
      </c>
      <c r="P388" s="313">
        <f t="shared" si="30"/>
        <v>0</v>
      </c>
      <c r="Q388" s="474">
        <f t="shared" si="30"/>
        <v>576400</v>
      </c>
      <c r="R388" s="650">
        <f t="shared" si="30"/>
        <v>0</v>
      </c>
      <c r="S388" s="650">
        <f t="shared" si="30"/>
        <v>0</v>
      </c>
      <c r="T388" s="650">
        <f t="shared" si="30"/>
        <v>2</v>
      </c>
      <c r="U388" s="648">
        <f t="shared" si="30"/>
        <v>2</v>
      </c>
      <c r="V388" s="610"/>
      <c r="W388" s="610"/>
      <c r="X388" s="610"/>
      <c r="Y388" s="610"/>
    </row>
    <row r="389" spans="1:25" s="315" customFormat="1" x14ac:dyDescent="0.2">
      <c r="A389" s="470" t="str">
        <f>A108</f>
        <v>3.7 Formation et rémunération des animateurs : former les enseignants et assurer leur rémunération</v>
      </c>
      <c r="B389" s="471"/>
      <c r="C389" s="472"/>
      <c r="D389" s="473"/>
      <c r="E389" s="188"/>
      <c r="F389" s="188"/>
      <c r="G389" s="188"/>
      <c r="H389" s="188"/>
      <c r="I389" s="188"/>
      <c r="J389" s="476"/>
      <c r="K389" s="313"/>
      <c r="L389" s="313">
        <f t="shared" ref="L389:T389" si="31">L108</f>
        <v>9456178.0159834251</v>
      </c>
      <c r="M389" s="313">
        <f t="shared" si="31"/>
        <v>9223832.8723199721</v>
      </c>
      <c r="N389" s="313">
        <f t="shared" si="31"/>
        <v>10434144.047269218</v>
      </c>
      <c r="O389" s="313">
        <f t="shared" si="31"/>
        <v>10124819.302845683</v>
      </c>
      <c r="P389" s="313">
        <f t="shared" si="31"/>
        <v>11177679.711646976</v>
      </c>
      <c r="Q389" s="474">
        <f t="shared" si="31"/>
        <v>50416653.95006527</v>
      </c>
      <c r="R389" s="650">
        <f t="shared" si="31"/>
        <v>0</v>
      </c>
      <c r="S389" s="650">
        <f t="shared" si="31"/>
        <v>0</v>
      </c>
      <c r="T389" s="650">
        <f t="shared" si="31"/>
        <v>0</v>
      </c>
      <c r="U389" s="648">
        <v>2</v>
      </c>
      <c r="V389" s="610"/>
      <c r="W389" s="610"/>
      <c r="X389" s="610"/>
      <c r="Y389" s="610"/>
    </row>
    <row r="390" spans="1:25" s="315" customFormat="1" x14ac:dyDescent="0.2">
      <c r="A390" s="470" t="str">
        <f>A112</f>
        <v>3.8. Organes de conseil et coordination : dynamiser les instances de conseil et de coordination</v>
      </c>
      <c r="B390" s="471"/>
      <c r="C390" s="472"/>
      <c r="D390" s="473"/>
      <c r="E390" s="188"/>
      <c r="F390" s="188"/>
      <c r="G390" s="188"/>
      <c r="H390" s="188"/>
      <c r="I390" s="188"/>
      <c r="J390" s="476"/>
      <c r="K390" s="313"/>
      <c r="L390" s="313">
        <f t="shared" ref="L390:U390" si="32">L112</f>
        <v>14000</v>
      </c>
      <c r="M390" s="313">
        <f t="shared" si="32"/>
        <v>14000</v>
      </c>
      <c r="N390" s="313">
        <f t="shared" si="32"/>
        <v>14000</v>
      </c>
      <c r="O390" s="313">
        <f t="shared" si="32"/>
        <v>14000</v>
      </c>
      <c r="P390" s="313">
        <f t="shared" si="32"/>
        <v>14000</v>
      </c>
      <c r="Q390" s="474">
        <f t="shared" si="32"/>
        <v>70000</v>
      </c>
      <c r="R390" s="649">
        <f t="shared" si="32"/>
        <v>0</v>
      </c>
      <c r="S390" s="649">
        <f t="shared" si="32"/>
        <v>0</v>
      </c>
      <c r="T390" s="649">
        <f t="shared" si="32"/>
        <v>3</v>
      </c>
      <c r="U390" s="648">
        <f t="shared" si="32"/>
        <v>3</v>
      </c>
      <c r="V390" s="610"/>
      <c r="W390" s="610"/>
      <c r="X390" s="610"/>
      <c r="Y390" s="610"/>
    </row>
    <row r="391" spans="1:25" s="315" customFormat="1" x14ac:dyDescent="0.2">
      <c r="A391" s="470" t="str">
        <f>A114</f>
        <v>3.9. DGENF et structures déconcentrées : opérationnaliser les structures de supervision et de pilotage de l'AENF</v>
      </c>
      <c r="B391" s="471"/>
      <c r="C391" s="472"/>
      <c r="D391" s="473"/>
      <c r="E391" s="188"/>
      <c r="F391" s="188"/>
      <c r="G391" s="188"/>
      <c r="H391" s="188"/>
      <c r="I391" s="188"/>
      <c r="J391" s="476"/>
      <c r="K391" s="313"/>
      <c r="L391" s="313">
        <f t="shared" ref="L391:U391" si="33">L114</f>
        <v>20000</v>
      </c>
      <c r="M391" s="313">
        <f t="shared" si="33"/>
        <v>245740</v>
      </c>
      <c r="N391" s="313">
        <f t="shared" si="33"/>
        <v>186110</v>
      </c>
      <c r="O391" s="313">
        <f t="shared" si="33"/>
        <v>58480</v>
      </c>
      <c r="P391" s="313">
        <f t="shared" si="33"/>
        <v>58850</v>
      </c>
      <c r="Q391" s="474">
        <f t="shared" si="33"/>
        <v>569180</v>
      </c>
      <c r="R391" s="649">
        <f t="shared" si="33"/>
        <v>0</v>
      </c>
      <c r="S391" s="649">
        <f t="shared" si="33"/>
        <v>0</v>
      </c>
      <c r="T391" s="649">
        <f t="shared" si="33"/>
        <v>3</v>
      </c>
      <c r="U391" s="648">
        <f t="shared" si="33"/>
        <v>3</v>
      </c>
      <c r="V391" s="610"/>
      <c r="W391" s="610"/>
      <c r="X391" s="610"/>
      <c r="Y391" s="610"/>
    </row>
    <row r="392" spans="1:25" s="315" customFormat="1" x14ac:dyDescent="0.2">
      <c r="A392" s="470" t="str">
        <f>A118</f>
        <v>3.10 Supervision et inspection : assurer l'encadrement pédagogique des centres</v>
      </c>
      <c r="B392" s="471"/>
      <c r="C392" s="472"/>
      <c r="D392" s="473"/>
      <c r="E392" s="188"/>
      <c r="F392" s="188"/>
      <c r="G392" s="188"/>
      <c r="H392" s="188"/>
      <c r="I392" s="188"/>
      <c r="J392" s="476"/>
      <c r="K392" s="313"/>
      <c r="L392" s="313">
        <f t="shared" ref="L392:U392" si="34">L118</f>
        <v>45500</v>
      </c>
      <c r="M392" s="313">
        <f t="shared" si="34"/>
        <v>45500</v>
      </c>
      <c r="N392" s="313">
        <f t="shared" si="34"/>
        <v>31200</v>
      </c>
      <c r="O392" s="313">
        <f t="shared" si="34"/>
        <v>31200</v>
      </c>
      <c r="P392" s="313">
        <f t="shared" si="34"/>
        <v>31200</v>
      </c>
      <c r="Q392" s="474">
        <f t="shared" si="34"/>
        <v>184600</v>
      </c>
      <c r="R392" s="649">
        <f t="shared" si="34"/>
        <v>0</v>
      </c>
      <c r="S392" s="649">
        <f t="shared" si="34"/>
        <v>0</v>
      </c>
      <c r="T392" s="649">
        <f t="shared" si="34"/>
        <v>3</v>
      </c>
      <c r="U392" s="648">
        <f t="shared" si="34"/>
        <v>3</v>
      </c>
      <c r="V392" s="610"/>
      <c r="W392" s="610"/>
      <c r="X392" s="610"/>
      <c r="Y392" s="610"/>
    </row>
    <row r="393" spans="1:25" s="315" customFormat="1" x14ac:dyDescent="0.2">
      <c r="A393" s="470" t="str">
        <f>A120</f>
        <v>3.11. Visibilité du sous-secteur : assurer la visibilité et la crédibilité du sous-secteur</v>
      </c>
      <c r="B393" s="471"/>
      <c r="C393" s="472"/>
      <c r="D393" s="473"/>
      <c r="E393" s="188"/>
      <c r="F393" s="188"/>
      <c r="G393" s="188"/>
      <c r="H393" s="188"/>
      <c r="I393" s="188"/>
      <c r="J393" s="476"/>
      <c r="K393" s="313"/>
      <c r="L393" s="313">
        <f t="shared" ref="L393:U393" si="35">L120</f>
        <v>16700</v>
      </c>
      <c r="M393" s="313">
        <f t="shared" si="35"/>
        <v>72800</v>
      </c>
      <c r="N393" s="313">
        <f t="shared" si="35"/>
        <v>72800</v>
      </c>
      <c r="O393" s="313">
        <f t="shared" si="35"/>
        <v>72800</v>
      </c>
      <c r="P393" s="313">
        <f t="shared" si="35"/>
        <v>72800</v>
      </c>
      <c r="Q393" s="474">
        <f t="shared" si="35"/>
        <v>307900</v>
      </c>
      <c r="R393" s="649">
        <f t="shared" si="35"/>
        <v>0</v>
      </c>
      <c r="S393" s="649">
        <f t="shared" si="35"/>
        <v>0</v>
      </c>
      <c r="T393" s="649">
        <f t="shared" si="35"/>
        <v>3</v>
      </c>
      <c r="U393" s="648">
        <f t="shared" si="35"/>
        <v>3</v>
      </c>
      <c r="V393" s="610"/>
      <c r="W393" s="610"/>
      <c r="X393" s="610"/>
      <c r="Y393" s="610"/>
    </row>
    <row r="394" spans="1:25" s="315" customFormat="1" x14ac:dyDescent="0.2">
      <c r="A394" s="468" t="str">
        <f>A123</f>
        <v>4. Enseignement du premier cycle secondaire : développer l'accès au premier cycle et préparer l'éducation de base de 8 ans</v>
      </c>
      <c r="B394" s="469"/>
      <c r="C394" s="445"/>
      <c r="D394" s="469"/>
      <c r="E394" s="32"/>
      <c r="F394" s="32"/>
      <c r="G394" s="32"/>
      <c r="H394" s="32"/>
      <c r="I394" s="32"/>
      <c r="J394" s="445"/>
      <c r="K394" s="32"/>
      <c r="L394" s="32">
        <f t="shared" ref="L394:U394" si="36">L123</f>
        <v>139466765.68139893</v>
      </c>
      <c r="M394" s="32">
        <f t="shared" si="36"/>
        <v>154901795.07845867</v>
      </c>
      <c r="N394" s="32">
        <f t="shared" si="36"/>
        <v>173486115.71463221</v>
      </c>
      <c r="O394" s="32">
        <f t="shared" si="36"/>
        <v>204836265.91921031</v>
      </c>
      <c r="P394" s="32">
        <f t="shared" si="36"/>
        <v>223015027.5902667</v>
      </c>
      <c r="Q394" s="428">
        <f t="shared" si="36"/>
        <v>895705969.98396683</v>
      </c>
      <c r="R394" s="647">
        <f t="shared" si="36"/>
        <v>0</v>
      </c>
      <c r="S394" s="647">
        <f t="shared" si="36"/>
        <v>0</v>
      </c>
      <c r="T394" s="647">
        <f t="shared" si="36"/>
        <v>0</v>
      </c>
      <c r="U394" s="648">
        <f t="shared" si="36"/>
        <v>0</v>
      </c>
      <c r="V394" s="610"/>
      <c r="W394" s="610"/>
      <c r="X394" s="610"/>
      <c r="Y394" s="610"/>
    </row>
    <row r="395" spans="1:25" s="315" customFormat="1" x14ac:dyDescent="0.2">
      <c r="A395" s="470" t="str">
        <f>A124</f>
        <v>4.1 Mise en place de l'éducation de base de 8 ans : déterminer les contenus, les finalités et le mode d’organisation de l'éducation de base étendue à 8 ans</v>
      </c>
      <c r="B395" s="471"/>
      <c r="C395" s="472"/>
      <c r="D395" s="473"/>
      <c r="E395" s="188"/>
      <c r="F395" s="188"/>
      <c r="G395" s="188"/>
      <c r="H395" s="188"/>
      <c r="I395" s="188"/>
      <c r="J395" s="476"/>
      <c r="K395" s="313"/>
      <c r="L395" s="313">
        <f t="shared" ref="L395:U395" si="37">L124</f>
        <v>90500</v>
      </c>
      <c r="M395" s="313">
        <f t="shared" si="37"/>
        <v>81500</v>
      </c>
      <c r="N395" s="313">
        <f t="shared" si="37"/>
        <v>265250</v>
      </c>
      <c r="O395" s="313">
        <f t="shared" si="37"/>
        <v>0</v>
      </c>
      <c r="P395" s="313">
        <f t="shared" si="37"/>
        <v>0</v>
      </c>
      <c r="Q395" s="474">
        <f t="shared" si="37"/>
        <v>437250</v>
      </c>
      <c r="R395" s="647">
        <f t="shared" si="37"/>
        <v>0</v>
      </c>
      <c r="S395" s="647">
        <f t="shared" si="37"/>
        <v>0</v>
      </c>
      <c r="T395" s="647">
        <f t="shared" si="37"/>
        <v>1</v>
      </c>
      <c r="U395" s="648">
        <f t="shared" si="37"/>
        <v>1</v>
      </c>
      <c r="V395" s="610"/>
      <c r="W395" s="610"/>
      <c r="X395" s="610"/>
      <c r="Y395" s="610"/>
    </row>
    <row r="396" spans="1:25" s="315" customFormat="1" x14ac:dyDescent="0.2">
      <c r="A396" s="470" t="str">
        <f>A130</f>
        <v>4.2 Accès équitable au premier cycle secondaire : apporter des infrastructures et équipements nécessaires</v>
      </c>
      <c r="B396" s="471"/>
      <c r="C396" s="472"/>
      <c r="D396" s="473"/>
      <c r="E396" s="188"/>
      <c r="F396" s="188"/>
      <c r="G396" s="188"/>
      <c r="H396" s="188"/>
      <c r="I396" s="188"/>
      <c r="J396" s="476"/>
      <c r="K396" s="313"/>
      <c r="L396" s="313">
        <f t="shared" ref="L396:U396" si="38">L130</f>
        <v>52000000</v>
      </c>
      <c r="M396" s="313">
        <f t="shared" si="38"/>
        <v>52000000</v>
      </c>
      <c r="N396" s="313">
        <f t="shared" si="38"/>
        <v>52000000</v>
      </c>
      <c r="O396" s="313">
        <f t="shared" si="38"/>
        <v>52000000</v>
      </c>
      <c r="P396" s="313">
        <f t="shared" si="38"/>
        <v>52000000</v>
      </c>
      <c r="Q396" s="474">
        <f t="shared" si="38"/>
        <v>260000000</v>
      </c>
      <c r="R396" s="647">
        <f t="shared" si="38"/>
        <v>0</v>
      </c>
      <c r="S396" s="647">
        <f t="shared" si="38"/>
        <v>0</v>
      </c>
      <c r="T396" s="647">
        <f t="shared" si="38"/>
        <v>1</v>
      </c>
      <c r="U396" s="648">
        <f t="shared" si="38"/>
        <v>1</v>
      </c>
      <c r="V396" s="610"/>
      <c r="W396" s="610"/>
      <c r="X396" s="610"/>
      <c r="Y396" s="610"/>
    </row>
    <row r="397" spans="1:25" s="315" customFormat="1" x14ac:dyDescent="0.2">
      <c r="A397" s="470" t="str">
        <f>A132</f>
        <v>4.3 Moyens des écoles publiques : apporter un soutien fort de l'État, complété par des frais scolaires payés par les familles</v>
      </c>
      <c r="B397" s="471"/>
      <c r="C397" s="472"/>
      <c r="D397" s="473"/>
      <c r="E397" s="188"/>
      <c r="F397" s="188"/>
      <c r="G397" s="188"/>
      <c r="H397" s="188"/>
      <c r="I397" s="188"/>
      <c r="J397" s="476"/>
      <c r="K397" s="313"/>
      <c r="L397" s="313">
        <f t="shared" ref="L397:U397" si="39">L132</f>
        <v>77818532.681398943</v>
      </c>
      <c r="M397" s="313">
        <f t="shared" si="39"/>
        <v>86990062.078458667</v>
      </c>
      <c r="N397" s="313">
        <f t="shared" si="39"/>
        <v>101168632.7146322</v>
      </c>
      <c r="O397" s="313">
        <f t="shared" si="39"/>
        <v>140107140.91921031</v>
      </c>
      <c r="P397" s="313">
        <f t="shared" si="39"/>
        <v>154997902.5902667</v>
      </c>
      <c r="Q397" s="474">
        <f t="shared" si="39"/>
        <v>561082270.98396683</v>
      </c>
      <c r="R397" s="647">
        <f t="shared" si="39"/>
        <v>0</v>
      </c>
      <c r="S397" s="647">
        <f t="shared" si="39"/>
        <v>0</v>
      </c>
      <c r="T397" s="647">
        <f t="shared" si="39"/>
        <v>1</v>
      </c>
      <c r="U397" s="648">
        <f t="shared" si="39"/>
        <v>1</v>
      </c>
      <c r="V397" s="610"/>
      <c r="W397" s="610"/>
      <c r="X397" s="610"/>
      <c r="Y397" s="610"/>
    </row>
    <row r="398" spans="1:25" s="315" customFormat="1" x14ac:dyDescent="0.2">
      <c r="A398" s="470" t="str">
        <f>A135</f>
        <v>4.4 Matériels et équipements pédagogiques : apporter aux écoles les manuels et matériels didactiques nécessaires</v>
      </c>
      <c r="B398" s="471"/>
      <c r="C398" s="472"/>
      <c r="D398" s="473"/>
      <c r="E398" s="188"/>
      <c r="F398" s="188"/>
      <c r="G398" s="188"/>
      <c r="H398" s="188"/>
      <c r="I398" s="188"/>
      <c r="J398" s="476"/>
      <c r="K398" s="313"/>
      <c r="L398" s="313">
        <f t="shared" ref="L398:U398" si="40">L135</f>
        <v>5038008</v>
      </c>
      <c r="M398" s="313">
        <f t="shared" si="40"/>
        <v>5012508</v>
      </c>
      <c r="N398" s="313">
        <f t="shared" si="40"/>
        <v>5012508</v>
      </c>
      <c r="O398" s="313">
        <f t="shared" si="40"/>
        <v>4914900</v>
      </c>
      <c r="P398" s="313">
        <f t="shared" si="40"/>
        <v>4914900</v>
      </c>
      <c r="Q398" s="474">
        <f t="shared" si="40"/>
        <v>24892824</v>
      </c>
      <c r="R398" s="650">
        <f t="shared" si="40"/>
        <v>0</v>
      </c>
      <c r="S398" s="650">
        <f t="shared" si="40"/>
        <v>0</v>
      </c>
      <c r="T398" s="650">
        <f t="shared" si="40"/>
        <v>2</v>
      </c>
      <c r="U398" s="648">
        <f t="shared" si="40"/>
        <v>2</v>
      </c>
      <c r="V398" s="610"/>
      <c r="W398" s="610"/>
      <c r="X398" s="610"/>
      <c r="Y398" s="610"/>
    </row>
    <row r="399" spans="1:25" s="315" customFormat="1" x14ac:dyDescent="0.2">
      <c r="A399" s="470" t="str">
        <f>A139</f>
        <v>4.5 Environnement éducatif : apporter aux écoles les équipements nécessaires</v>
      </c>
      <c r="B399" s="471"/>
      <c r="C399" s="472"/>
      <c r="D399" s="473"/>
      <c r="E399" s="188"/>
      <c r="F399" s="188"/>
      <c r="G399" s="188"/>
      <c r="H399" s="188"/>
      <c r="I399" s="188"/>
      <c r="J399" s="476"/>
      <c r="K399" s="313"/>
      <c r="L399" s="313">
        <f t="shared" ref="L399:U399" si="41">L139</f>
        <v>1223225</v>
      </c>
      <c r="M399" s="313">
        <f t="shared" si="41"/>
        <v>5714225</v>
      </c>
      <c r="N399" s="313">
        <f t="shared" si="41"/>
        <v>5714225</v>
      </c>
      <c r="O399" s="313">
        <f t="shared" si="41"/>
        <v>5714225</v>
      </c>
      <c r="P399" s="313">
        <f t="shared" si="41"/>
        <v>5714225</v>
      </c>
      <c r="Q399" s="474">
        <f t="shared" si="41"/>
        <v>24080125</v>
      </c>
      <c r="R399" s="650">
        <f t="shared" si="41"/>
        <v>0</v>
      </c>
      <c r="S399" s="650">
        <f t="shared" si="41"/>
        <v>0</v>
      </c>
      <c r="T399" s="650">
        <f t="shared" si="41"/>
        <v>2</v>
      </c>
      <c r="U399" s="648">
        <f t="shared" si="41"/>
        <v>2</v>
      </c>
      <c r="V399" s="610"/>
      <c r="W399" s="610"/>
      <c r="X399" s="610"/>
      <c r="Y399" s="610"/>
    </row>
    <row r="400" spans="1:25" s="315" customFormat="1" x14ac:dyDescent="0.2">
      <c r="A400" s="470" t="str">
        <f>A143</f>
        <v>4.6 Formation des enseignants : former les enseignants</v>
      </c>
      <c r="B400" s="471"/>
      <c r="C400" s="472"/>
      <c r="D400" s="473"/>
      <c r="E400" s="188"/>
      <c r="F400" s="188"/>
      <c r="G400" s="188"/>
      <c r="H400" s="188"/>
      <c r="I400" s="188"/>
      <c r="J400" s="476"/>
      <c r="K400" s="313"/>
      <c r="L400" s="313">
        <f t="shared" ref="L400:U400" si="42">L143</f>
        <v>3296500</v>
      </c>
      <c r="M400" s="313">
        <f t="shared" si="42"/>
        <v>0</v>
      </c>
      <c r="N400" s="313">
        <f t="shared" si="42"/>
        <v>3288000</v>
      </c>
      <c r="O400" s="313">
        <f t="shared" si="42"/>
        <v>0</v>
      </c>
      <c r="P400" s="313">
        <f t="shared" si="42"/>
        <v>3288000</v>
      </c>
      <c r="Q400" s="474">
        <f t="shared" si="42"/>
        <v>9872500</v>
      </c>
      <c r="R400" s="650">
        <f t="shared" si="42"/>
        <v>0</v>
      </c>
      <c r="S400" s="650">
        <f t="shared" si="42"/>
        <v>0</v>
      </c>
      <c r="T400" s="650">
        <f t="shared" si="42"/>
        <v>2</v>
      </c>
      <c r="U400" s="648">
        <f t="shared" si="42"/>
        <v>2</v>
      </c>
      <c r="V400" s="610"/>
      <c r="W400" s="610"/>
      <c r="X400" s="610"/>
      <c r="Y400" s="610"/>
    </row>
    <row r="401" spans="1:25" s="315" customFormat="1" x14ac:dyDescent="0.2">
      <c r="A401" s="470" t="str">
        <f>A145</f>
        <v>4.7 Supervision des structures et des enseignants : assurer l'encadrement pédagogique et administratif des écoles</v>
      </c>
      <c r="B401" s="471"/>
      <c r="C401" s="472"/>
      <c r="D401" s="473"/>
      <c r="E401" s="188"/>
      <c r="F401" s="188"/>
      <c r="G401" s="188"/>
      <c r="H401" s="188"/>
      <c r="I401" s="188"/>
      <c r="J401" s="476"/>
      <c r="K401" s="313"/>
      <c r="L401" s="313">
        <f t="shared" ref="L401:U401" si="43">L145</f>
        <v>0</v>
      </c>
      <c r="M401" s="313">
        <f t="shared" si="43"/>
        <v>5103500</v>
      </c>
      <c r="N401" s="313">
        <f t="shared" si="43"/>
        <v>6037500</v>
      </c>
      <c r="O401" s="313">
        <f t="shared" si="43"/>
        <v>2100000</v>
      </c>
      <c r="P401" s="313">
        <f t="shared" si="43"/>
        <v>2100000</v>
      </c>
      <c r="Q401" s="474">
        <f t="shared" si="43"/>
        <v>15341000</v>
      </c>
      <c r="R401" s="649">
        <f t="shared" si="43"/>
        <v>0</v>
      </c>
      <c r="S401" s="649">
        <f t="shared" si="43"/>
        <v>0</v>
      </c>
      <c r="T401" s="649">
        <f t="shared" si="43"/>
        <v>3</v>
      </c>
      <c r="U401" s="648">
        <f t="shared" si="43"/>
        <v>3</v>
      </c>
      <c r="V401" s="610"/>
      <c r="W401" s="610"/>
      <c r="X401" s="610"/>
      <c r="Y401" s="610"/>
    </row>
    <row r="402" spans="1:25" s="315" customFormat="1" x14ac:dyDescent="0.2">
      <c r="A402" s="468" t="str">
        <f>A149</f>
        <v>5. Enseignement du second cycle secondaire : maitriser et diversifier l'accès et préparer les élèves aux études supérieures</v>
      </c>
      <c r="B402" s="469"/>
      <c r="C402" s="445"/>
      <c r="D402" s="469"/>
      <c r="E402" s="32"/>
      <c r="F402" s="32"/>
      <c r="G402" s="32"/>
      <c r="H402" s="32"/>
      <c r="I402" s="32"/>
      <c r="J402" s="445"/>
      <c r="K402" s="32"/>
      <c r="L402" s="32">
        <f t="shared" ref="L402:U402" si="44">L149</f>
        <v>144129660.24233618</v>
      </c>
      <c r="M402" s="32">
        <f t="shared" si="44"/>
        <v>179446789.11333758</v>
      </c>
      <c r="N402" s="32">
        <f t="shared" si="44"/>
        <v>192162618.50446844</v>
      </c>
      <c r="O402" s="32">
        <f t="shared" si="44"/>
        <v>200615021.58609107</v>
      </c>
      <c r="P402" s="32">
        <f t="shared" si="44"/>
        <v>214152681.03409511</v>
      </c>
      <c r="Q402" s="428">
        <f t="shared" si="44"/>
        <v>930506770.48032832</v>
      </c>
      <c r="R402" s="647">
        <f t="shared" si="44"/>
        <v>0</v>
      </c>
      <c r="S402" s="647">
        <f t="shared" si="44"/>
        <v>0</v>
      </c>
      <c r="T402" s="647">
        <f t="shared" si="44"/>
        <v>0</v>
      </c>
      <c r="U402" s="648">
        <f t="shared" si="44"/>
        <v>0</v>
      </c>
      <c r="V402" s="610"/>
      <c r="W402" s="610"/>
      <c r="X402" s="610"/>
      <c r="Y402" s="610"/>
    </row>
    <row r="403" spans="1:25" s="315" customFormat="1" x14ac:dyDescent="0.2">
      <c r="A403" s="470" t="str">
        <f>A150</f>
        <v>5.1 Réforme du secondaire : distinguer entre filières générales et filières professionnelles</v>
      </c>
      <c r="B403" s="471"/>
      <c r="C403" s="472"/>
      <c r="D403" s="473"/>
      <c r="E403" s="188"/>
      <c r="F403" s="188"/>
      <c r="G403" s="188"/>
      <c r="H403" s="188"/>
      <c r="I403" s="188"/>
      <c r="J403" s="476"/>
      <c r="K403" s="313"/>
      <c r="L403" s="313">
        <f t="shared" ref="L403:U403" si="45">L150</f>
        <v>11500</v>
      </c>
      <c r="M403" s="313">
        <f t="shared" si="45"/>
        <v>20000000</v>
      </c>
      <c r="N403" s="313">
        <f t="shared" si="45"/>
        <v>20000000</v>
      </c>
      <c r="O403" s="313">
        <f t="shared" si="45"/>
        <v>20000000</v>
      </c>
      <c r="P403" s="313">
        <f t="shared" si="45"/>
        <v>20000000</v>
      </c>
      <c r="Q403" s="474">
        <f t="shared" si="45"/>
        <v>80011500</v>
      </c>
      <c r="R403" s="647">
        <f t="shared" si="45"/>
        <v>0</v>
      </c>
      <c r="S403" s="647">
        <f t="shared" si="45"/>
        <v>0</v>
      </c>
      <c r="T403" s="647">
        <f t="shared" si="45"/>
        <v>1</v>
      </c>
      <c r="U403" s="648">
        <f t="shared" si="45"/>
        <v>1</v>
      </c>
      <c r="V403" s="610"/>
      <c r="W403" s="610"/>
      <c r="X403" s="610"/>
      <c r="Y403" s="610"/>
    </row>
    <row r="404" spans="1:25" s="315" customFormat="1" x14ac:dyDescent="0.2">
      <c r="A404" s="477" t="str">
        <f>A152</f>
        <v>5.2 Gestion de l'accès à l'enseignement secondaire : assurer la gestion et l'orientation des élèves à la fin de l'enseignement de base</v>
      </c>
      <c r="B404" s="478"/>
      <c r="C404" s="479"/>
      <c r="D404" s="480"/>
      <c r="E404" s="320"/>
      <c r="F404" s="320"/>
      <c r="G404" s="320"/>
      <c r="H404" s="320"/>
      <c r="I404" s="320"/>
      <c r="J404" s="479"/>
      <c r="K404" s="320"/>
      <c r="L404" s="320">
        <f t="shared" ref="L404:U404" si="46">L152</f>
        <v>34000</v>
      </c>
      <c r="M404" s="320">
        <f t="shared" si="46"/>
        <v>5000000</v>
      </c>
      <c r="N404" s="320">
        <f t="shared" si="46"/>
        <v>5000000</v>
      </c>
      <c r="O404" s="320">
        <f t="shared" si="46"/>
        <v>5000000</v>
      </c>
      <c r="P404" s="320">
        <f t="shared" si="46"/>
        <v>5000000</v>
      </c>
      <c r="Q404" s="481">
        <f t="shared" si="46"/>
        <v>20034000</v>
      </c>
      <c r="R404" s="647">
        <f t="shared" si="46"/>
        <v>0</v>
      </c>
      <c r="S404" s="647">
        <f t="shared" si="46"/>
        <v>0</v>
      </c>
      <c r="T404" s="647">
        <f t="shared" si="46"/>
        <v>1</v>
      </c>
      <c r="U404" s="648">
        <f t="shared" si="46"/>
        <v>1</v>
      </c>
      <c r="V404" s="610"/>
      <c r="W404" s="610"/>
      <c r="X404" s="610"/>
      <c r="Y404" s="610"/>
    </row>
    <row r="405" spans="1:25" s="315" customFormat="1" x14ac:dyDescent="0.2">
      <c r="A405" s="477" t="str">
        <f>A154</f>
        <v>5.3 Moyens des écoles : Apporter des ressources complétées par les frais scolaires payés par les familles</v>
      </c>
      <c r="B405" s="478"/>
      <c r="C405" s="479"/>
      <c r="D405" s="480"/>
      <c r="E405" s="320"/>
      <c r="F405" s="320"/>
      <c r="G405" s="320"/>
      <c r="H405" s="320"/>
      <c r="I405" s="320"/>
      <c r="J405" s="479"/>
      <c r="K405" s="320"/>
      <c r="L405" s="320">
        <f t="shared" ref="L405:U405" si="47">L154</f>
        <v>84790660.242336184</v>
      </c>
      <c r="M405" s="320">
        <f t="shared" si="47"/>
        <v>89668289.113337591</v>
      </c>
      <c r="N405" s="320">
        <f t="shared" si="47"/>
        <v>94595243.504468441</v>
      </c>
      <c r="O405" s="320">
        <f t="shared" si="47"/>
        <v>106357927.58609107</v>
      </c>
      <c r="P405" s="320">
        <f t="shared" si="47"/>
        <v>118961458.03409511</v>
      </c>
      <c r="Q405" s="481">
        <f t="shared" si="47"/>
        <v>494373578.48032838</v>
      </c>
      <c r="R405" s="647">
        <f t="shared" si="47"/>
        <v>0</v>
      </c>
      <c r="S405" s="647">
        <f t="shared" si="47"/>
        <v>0</v>
      </c>
      <c r="T405" s="647">
        <f t="shared" si="47"/>
        <v>1</v>
      </c>
      <c r="U405" s="648">
        <f t="shared" si="47"/>
        <v>1</v>
      </c>
      <c r="V405" s="610"/>
      <c r="W405" s="610"/>
      <c r="X405" s="610"/>
      <c r="Y405" s="610"/>
    </row>
    <row r="406" spans="1:25" s="315" customFormat="1" x14ac:dyDescent="0.2">
      <c r="A406" s="470" t="str">
        <f>A157</f>
        <v xml:space="preserve">5.4 Matériels et équipements pédagogiques : rendre accessibles et disponibles les manuels scolaires et le matériel didactique </v>
      </c>
      <c r="B406" s="471"/>
      <c r="C406" s="472"/>
      <c r="D406" s="473"/>
      <c r="E406" s="188"/>
      <c r="F406" s="188"/>
      <c r="G406" s="188"/>
      <c r="H406" s="188"/>
      <c r="I406" s="188"/>
      <c r="J406" s="476"/>
      <c r="K406" s="313"/>
      <c r="L406" s="313">
        <f t="shared" ref="L406:U406" si="48">L157</f>
        <v>18592000</v>
      </c>
      <c r="M406" s="313">
        <f t="shared" si="48"/>
        <v>19354000</v>
      </c>
      <c r="N406" s="313">
        <f t="shared" si="48"/>
        <v>20180875</v>
      </c>
      <c r="O406" s="313">
        <f t="shared" si="48"/>
        <v>21049094</v>
      </c>
      <c r="P406" s="313">
        <f t="shared" si="48"/>
        <v>21960723</v>
      </c>
      <c r="Q406" s="474">
        <f t="shared" si="48"/>
        <v>101136692</v>
      </c>
      <c r="R406" s="650">
        <f t="shared" si="48"/>
        <v>0</v>
      </c>
      <c r="S406" s="650">
        <f t="shared" si="48"/>
        <v>0</v>
      </c>
      <c r="T406" s="650">
        <f t="shared" si="48"/>
        <v>2</v>
      </c>
      <c r="U406" s="648">
        <f t="shared" si="48"/>
        <v>2</v>
      </c>
      <c r="V406" s="610"/>
      <c r="W406" s="610"/>
      <c r="X406" s="610"/>
      <c r="Y406" s="610"/>
    </row>
    <row r="407" spans="1:25" s="315" customFormat="1" x14ac:dyDescent="0.2">
      <c r="A407" s="470" t="str">
        <f>A161</f>
        <v>5.5 Équipement des bibliothèques et laboratoires : acquérir des fonds documentaires et matériels nécessaires aux bibliothèques, laboratoires et salles spécialisées</v>
      </c>
      <c r="B407" s="471"/>
      <c r="C407" s="472"/>
      <c r="D407" s="473"/>
      <c r="E407" s="188"/>
      <c r="F407" s="188"/>
      <c r="G407" s="188"/>
      <c r="H407" s="188"/>
      <c r="I407" s="188"/>
      <c r="J407" s="476"/>
      <c r="K407" s="313"/>
      <c r="L407" s="313">
        <f t="shared" ref="L407:U407" si="49">L161</f>
        <v>25518000</v>
      </c>
      <c r="M407" s="313">
        <f t="shared" si="49"/>
        <v>25428000</v>
      </c>
      <c r="N407" s="313">
        <f t="shared" si="49"/>
        <v>25428000</v>
      </c>
      <c r="O407" s="313">
        <f t="shared" si="49"/>
        <v>25428000</v>
      </c>
      <c r="P407" s="313">
        <f t="shared" si="49"/>
        <v>25428000</v>
      </c>
      <c r="Q407" s="474">
        <f t="shared" si="49"/>
        <v>127230000</v>
      </c>
      <c r="R407" s="650">
        <f t="shared" si="49"/>
        <v>0</v>
      </c>
      <c r="S407" s="650">
        <f t="shared" si="49"/>
        <v>0</v>
      </c>
      <c r="T407" s="650">
        <f t="shared" si="49"/>
        <v>2</v>
      </c>
      <c r="U407" s="648">
        <f t="shared" si="49"/>
        <v>2</v>
      </c>
      <c r="V407" s="610"/>
      <c r="W407" s="610"/>
      <c r="X407" s="610"/>
      <c r="Y407" s="610"/>
    </row>
    <row r="408" spans="1:25" s="315" customFormat="1" x14ac:dyDescent="0.2">
      <c r="A408" s="470" t="str">
        <f>A164</f>
        <v xml:space="preserve">5.6 Environnement éducatif : apporter les équipements mobiliers </v>
      </c>
      <c r="B408" s="471"/>
      <c r="C408" s="472"/>
      <c r="D408" s="473"/>
      <c r="E408" s="188"/>
      <c r="F408" s="188"/>
      <c r="G408" s="188"/>
      <c r="H408" s="188"/>
      <c r="I408" s="188"/>
      <c r="J408" s="476"/>
      <c r="K408" s="313"/>
      <c r="L408" s="313">
        <f t="shared" ref="L408:U408" si="50">L164</f>
        <v>8163000</v>
      </c>
      <c r="M408" s="313">
        <f t="shared" si="50"/>
        <v>8163000</v>
      </c>
      <c r="N408" s="313">
        <f t="shared" si="50"/>
        <v>8163000</v>
      </c>
      <c r="O408" s="313">
        <f t="shared" si="50"/>
        <v>8163000</v>
      </c>
      <c r="P408" s="313">
        <f t="shared" si="50"/>
        <v>8163000</v>
      </c>
      <c r="Q408" s="474">
        <f t="shared" si="50"/>
        <v>40815000</v>
      </c>
      <c r="R408" s="650">
        <f t="shared" si="50"/>
        <v>0</v>
      </c>
      <c r="S408" s="650">
        <f t="shared" si="50"/>
        <v>0</v>
      </c>
      <c r="T408" s="650">
        <f t="shared" si="50"/>
        <v>2</v>
      </c>
      <c r="U408" s="648">
        <f t="shared" si="50"/>
        <v>2</v>
      </c>
      <c r="V408" s="610"/>
      <c r="W408" s="610"/>
      <c r="X408" s="610"/>
      <c r="Y408" s="610"/>
    </row>
    <row r="409" spans="1:25" s="315" customFormat="1" x14ac:dyDescent="0.2">
      <c r="A409" s="470" t="str">
        <f>A167</f>
        <v>5.7 Formation continue des enseignants : former les enseignants</v>
      </c>
      <c r="B409" s="471"/>
      <c r="C409" s="472"/>
      <c r="D409" s="473"/>
      <c r="E409" s="188"/>
      <c r="F409" s="188"/>
      <c r="G409" s="188"/>
      <c r="H409" s="188"/>
      <c r="I409" s="188"/>
      <c r="J409" s="476"/>
      <c r="K409" s="313"/>
      <c r="L409" s="313">
        <f t="shared" ref="L409:U409" si="51">L167</f>
        <v>5031500</v>
      </c>
      <c r="M409" s="313">
        <f t="shared" si="51"/>
        <v>5009000</v>
      </c>
      <c r="N409" s="313">
        <f t="shared" si="51"/>
        <v>5002500</v>
      </c>
      <c r="O409" s="313">
        <f t="shared" si="51"/>
        <v>4980000</v>
      </c>
      <c r="P409" s="313">
        <f t="shared" si="51"/>
        <v>5002500</v>
      </c>
      <c r="Q409" s="474">
        <f t="shared" si="51"/>
        <v>25025500</v>
      </c>
      <c r="R409" s="650">
        <f t="shared" si="51"/>
        <v>0</v>
      </c>
      <c r="S409" s="650">
        <f t="shared" si="51"/>
        <v>0</v>
      </c>
      <c r="T409" s="650">
        <f t="shared" si="51"/>
        <v>2</v>
      </c>
      <c r="U409" s="648">
        <f t="shared" si="51"/>
        <v>2</v>
      </c>
      <c r="V409" s="610"/>
      <c r="W409" s="610"/>
      <c r="X409" s="610"/>
      <c r="Y409" s="610"/>
    </row>
    <row r="410" spans="1:25" s="315" customFormat="1" x14ac:dyDescent="0.2">
      <c r="A410" s="470" t="str">
        <f>+A169</f>
        <v>5.8 Formation initiale des enseignants du secondaire : Professionnaliser les filières de formation</v>
      </c>
      <c r="B410" s="471"/>
      <c r="C410" s="472">
        <f t="shared" ref="C410:Q410" si="52">+C169</f>
        <v>0</v>
      </c>
      <c r="D410" s="473">
        <f t="shared" si="52"/>
        <v>1989</v>
      </c>
      <c r="E410" s="188">
        <f t="shared" si="52"/>
        <v>2814.5</v>
      </c>
      <c r="F410" s="188">
        <f t="shared" si="52"/>
        <v>2810</v>
      </c>
      <c r="G410" s="188">
        <f t="shared" si="52"/>
        <v>2810</v>
      </c>
      <c r="H410" s="188">
        <f t="shared" si="52"/>
        <v>2810</v>
      </c>
      <c r="I410" s="188">
        <f t="shared" si="52"/>
        <v>13233.5</v>
      </c>
      <c r="J410" s="476">
        <f t="shared" si="52"/>
        <v>0</v>
      </c>
      <c r="K410" s="313">
        <f t="shared" si="52"/>
        <v>0</v>
      </c>
      <c r="L410" s="313">
        <f t="shared" si="52"/>
        <v>1989000</v>
      </c>
      <c r="M410" s="313">
        <f t="shared" si="52"/>
        <v>2814500</v>
      </c>
      <c r="N410" s="313">
        <f t="shared" si="52"/>
        <v>2810000</v>
      </c>
      <c r="O410" s="313">
        <f t="shared" si="52"/>
        <v>2810000</v>
      </c>
      <c r="P410" s="313">
        <f t="shared" si="52"/>
        <v>2810000</v>
      </c>
      <c r="Q410" s="474">
        <f t="shared" si="52"/>
        <v>13233500</v>
      </c>
      <c r="R410" s="650">
        <f>R168</f>
        <v>0</v>
      </c>
      <c r="S410" s="650">
        <f>S168</f>
        <v>0</v>
      </c>
      <c r="T410" s="650">
        <f>T168</f>
        <v>0</v>
      </c>
      <c r="U410" s="648">
        <v>2</v>
      </c>
      <c r="V410" s="610"/>
      <c r="W410" s="610"/>
      <c r="X410" s="610"/>
      <c r="Y410" s="610"/>
    </row>
    <row r="411" spans="1:25" s="315" customFormat="1" x14ac:dyDescent="0.2">
      <c r="A411" s="470" t="str">
        <f>A175</f>
        <v>5.9 Supervision des structures et des enseignants : assurer l'encadrement pédagogique et administratif des écoles</v>
      </c>
      <c r="B411" s="471"/>
      <c r="C411" s="472"/>
      <c r="D411" s="473"/>
      <c r="E411" s="188"/>
      <c r="F411" s="188"/>
      <c r="G411" s="188"/>
      <c r="H411" s="188"/>
      <c r="I411" s="188"/>
      <c r="J411" s="476"/>
      <c r="K411" s="313"/>
      <c r="L411" s="313">
        <f t="shared" ref="L411:U411" si="53">L175</f>
        <v>0</v>
      </c>
      <c r="M411" s="313">
        <f t="shared" si="53"/>
        <v>4010000</v>
      </c>
      <c r="N411" s="313">
        <f t="shared" si="53"/>
        <v>5600000</v>
      </c>
      <c r="O411" s="313">
        <f t="shared" si="53"/>
        <v>2100000</v>
      </c>
      <c r="P411" s="313">
        <f t="shared" si="53"/>
        <v>2100000</v>
      </c>
      <c r="Q411" s="474">
        <f t="shared" si="53"/>
        <v>13810000</v>
      </c>
      <c r="R411" s="649">
        <f t="shared" si="53"/>
        <v>0</v>
      </c>
      <c r="S411" s="649">
        <f t="shared" si="53"/>
        <v>0</v>
      </c>
      <c r="T411" s="649">
        <f t="shared" si="53"/>
        <v>3</v>
      </c>
      <c r="U411" s="648">
        <f t="shared" si="53"/>
        <v>3</v>
      </c>
      <c r="V411" s="610"/>
      <c r="W411" s="610"/>
      <c r="X411" s="610"/>
      <c r="Y411" s="610"/>
    </row>
    <row r="412" spans="1:25" s="315" customFormat="1" x14ac:dyDescent="0.2">
      <c r="A412" s="470" t="str">
        <f>A179</f>
        <v>5.10 Technologies de l'information : apporter les équipements informatiques et de communication</v>
      </c>
      <c r="B412" s="471"/>
      <c r="C412" s="472"/>
      <c r="D412" s="473"/>
      <c r="E412" s="188"/>
      <c r="F412" s="188"/>
      <c r="G412" s="188"/>
      <c r="H412" s="188"/>
      <c r="I412" s="188"/>
      <c r="J412" s="476"/>
      <c r="K412" s="313"/>
      <c r="L412" s="313">
        <f t="shared" ref="L412:U412" si="54">L179</f>
        <v>0</v>
      </c>
      <c r="M412" s="313">
        <f t="shared" si="54"/>
        <v>0</v>
      </c>
      <c r="N412" s="313">
        <f t="shared" si="54"/>
        <v>5383000</v>
      </c>
      <c r="O412" s="313">
        <f t="shared" si="54"/>
        <v>4727000</v>
      </c>
      <c r="P412" s="313">
        <f t="shared" si="54"/>
        <v>4727000</v>
      </c>
      <c r="Q412" s="474">
        <f t="shared" si="54"/>
        <v>14837000</v>
      </c>
      <c r="R412" s="649">
        <f t="shared" si="54"/>
        <v>0</v>
      </c>
      <c r="S412" s="649">
        <f t="shared" si="54"/>
        <v>0</v>
      </c>
      <c r="T412" s="649">
        <f t="shared" si="54"/>
        <v>3</v>
      </c>
      <c r="U412" s="648">
        <f t="shared" si="54"/>
        <v>3</v>
      </c>
      <c r="V412" s="610"/>
      <c r="W412" s="610"/>
      <c r="X412" s="610"/>
      <c r="Y412" s="610"/>
    </row>
    <row r="413" spans="1:25" s="315" customFormat="1" x14ac:dyDescent="0.2">
      <c r="A413" s="468" t="str">
        <f>A182</f>
        <v>6. Enseignement technique et formation professionnelle : apporter les qualifications nécessaires à l'économie nationale</v>
      </c>
      <c r="B413" s="469"/>
      <c r="C413" s="445"/>
      <c r="D413" s="469"/>
      <c r="E413" s="32"/>
      <c r="F413" s="32"/>
      <c r="G413" s="32"/>
      <c r="H413" s="32"/>
      <c r="I413" s="32"/>
      <c r="J413" s="445"/>
      <c r="K413" s="32"/>
      <c r="L413" s="32">
        <f t="shared" ref="L413:U413" si="55">L182</f>
        <v>87653270</v>
      </c>
      <c r="M413" s="32">
        <f t="shared" si="55"/>
        <v>80497460</v>
      </c>
      <c r="N413" s="32">
        <f t="shared" si="55"/>
        <v>96670970</v>
      </c>
      <c r="O413" s="32">
        <f t="shared" si="55"/>
        <v>83354430</v>
      </c>
      <c r="P413" s="32">
        <f t="shared" si="55"/>
        <v>102857300</v>
      </c>
      <c r="Q413" s="428">
        <f t="shared" si="55"/>
        <v>451033430</v>
      </c>
      <c r="R413" s="647">
        <f t="shared" si="55"/>
        <v>0</v>
      </c>
      <c r="S413" s="647">
        <f t="shared" si="55"/>
        <v>0</v>
      </c>
      <c r="T413" s="647">
        <f t="shared" si="55"/>
        <v>0</v>
      </c>
      <c r="U413" s="648">
        <f t="shared" si="55"/>
        <v>0</v>
      </c>
      <c r="V413" s="610"/>
      <c r="W413" s="610"/>
      <c r="X413" s="610"/>
      <c r="Y413" s="610"/>
    </row>
    <row r="414" spans="1:25" s="315" customFormat="1" x14ac:dyDescent="0.2">
      <c r="A414" s="470" t="str">
        <f>A183</f>
        <v>6.1 Réorganisation de l'offre de l'ETFP : améliorer et rendre plus équitable et pertinente l'offre d'ETFP</v>
      </c>
      <c r="B414" s="471"/>
      <c r="C414" s="472"/>
      <c r="D414" s="473"/>
      <c r="E414" s="188"/>
      <c r="F414" s="188"/>
      <c r="G414" s="188"/>
      <c r="H414" s="188"/>
      <c r="I414" s="188"/>
      <c r="J414" s="476"/>
      <c r="K414" s="313"/>
      <c r="L414" s="313">
        <f t="shared" ref="L414:U414" si="56">L183</f>
        <v>12470500</v>
      </c>
      <c r="M414" s="313">
        <f t="shared" si="56"/>
        <v>12458500</v>
      </c>
      <c r="N414" s="313">
        <f t="shared" si="56"/>
        <v>12419500</v>
      </c>
      <c r="O414" s="313">
        <f t="shared" si="56"/>
        <v>5458500</v>
      </c>
      <c r="P414" s="313">
        <f t="shared" si="56"/>
        <v>5419500</v>
      </c>
      <c r="Q414" s="474">
        <f t="shared" si="56"/>
        <v>48226500</v>
      </c>
      <c r="R414" s="647">
        <f t="shared" si="56"/>
        <v>0</v>
      </c>
      <c r="S414" s="647">
        <f t="shared" si="56"/>
        <v>0</v>
      </c>
      <c r="T414" s="647">
        <f t="shared" si="56"/>
        <v>1</v>
      </c>
      <c r="U414" s="648">
        <f t="shared" si="56"/>
        <v>1</v>
      </c>
      <c r="V414" s="610"/>
      <c r="W414" s="610"/>
      <c r="X414" s="610"/>
      <c r="Y414" s="610"/>
    </row>
    <row r="415" spans="1:25" s="315" customFormat="1" x14ac:dyDescent="0.2">
      <c r="A415" s="470" t="str">
        <f>A191</f>
        <v>6.2 Réforme du système d'orientation : Rendre le système d'orientation plus équitable</v>
      </c>
      <c r="B415" s="471"/>
      <c r="C415" s="472"/>
      <c r="D415" s="473"/>
      <c r="E415" s="188"/>
      <c r="F415" s="188"/>
      <c r="G415" s="188"/>
      <c r="H415" s="188"/>
      <c r="I415" s="188"/>
      <c r="J415" s="476"/>
      <c r="K415" s="313"/>
      <c r="L415" s="313">
        <f t="shared" ref="L415:U415" si="57">L191</f>
        <v>482300</v>
      </c>
      <c r="M415" s="313">
        <f t="shared" si="57"/>
        <v>432800</v>
      </c>
      <c r="N415" s="313">
        <f t="shared" si="57"/>
        <v>432800</v>
      </c>
      <c r="O415" s="313">
        <f t="shared" si="57"/>
        <v>360000</v>
      </c>
      <c r="P415" s="313">
        <f t="shared" si="57"/>
        <v>360000</v>
      </c>
      <c r="Q415" s="474">
        <f t="shared" si="57"/>
        <v>2067900</v>
      </c>
      <c r="R415" s="649">
        <f t="shared" si="57"/>
        <v>0</v>
      </c>
      <c r="S415" s="649">
        <f t="shared" si="57"/>
        <v>0</v>
      </c>
      <c r="T415" s="647">
        <f t="shared" si="57"/>
        <v>1</v>
      </c>
      <c r="U415" s="648">
        <f t="shared" si="57"/>
        <v>1</v>
      </c>
      <c r="V415" s="610"/>
      <c r="W415" s="610"/>
      <c r="X415" s="610"/>
      <c r="Y415" s="610"/>
    </row>
    <row r="416" spans="1:25" s="315" customFormat="1" x14ac:dyDescent="0.2">
      <c r="A416" s="470" t="str">
        <f>A194</f>
        <v xml:space="preserve">6.3 Matériels et équipements pédagogiques : Rendre accessibles et disponibles les manuels scolaires et le matériel didactique </v>
      </c>
      <c r="B416" s="471"/>
      <c r="C416" s="472"/>
      <c r="D416" s="473"/>
      <c r="E416" s="188"/>
      <c r="F416" s="188"/>
      <c r="G416" s="188"/>
      <c r="H416" s="188"/>
      <c r="I416" s="188"/>
      <c r="J416" s="476"/>
      <c r="K416" s="313"/>
      <c r="L416" s="313">
        <f t="shared" ref="L416:U416" si="58">L194</f>
        <v>14449600</v>
      </c>
      <c r="M416" s="313">
        <f t="shared" si="58"/>
        <v>14412100</v>
      </c>
      <c r="N416" s="313">
        <f t="shared" si="58"/>
        <v>14412100</v>
      </c>
      <c r="O416" s="313">
        <f t="shared" si="58"/>
        <v>14412100</v>
      </c>
      <c r="P416" s="313">
        <f t="shared" si="58"/>
        <v>14412100</v>
      </c>
      <c r="Q416" s="474">
        <f t="shared" si="58"/>
        <v>72098000</v>
      </c>
      <c r="R416" s="650">
        <f t="shared" si="58"/>
        <v>0</v>
      </c>
      <c r="S416" s="650">
        <f t="shared" si="58"/>
        <v>0</v>
      </c>
      <c r="T416" s="650">
        <f t="shared" si="58"/>
        <v>2</v>
      </c>
      <c r="U416" s="648">
        <f t="shared" si="58"/>
        <v>2</v>
      </c>
      <c r="V416" s="610"/>
      <c r="W416" s="610"/>
      <c r="X416" s="610"/>
      <c r="Y416" s="610"/>
    </row>
    <row r="417" spans="1:25" s="315" customFormat="1" x14ac:dyDescent="0.2">
      <c r="A417" s="470" t="str">
        <f>A197</f>
        <v>6.4 Adaptation au marché du travail : Mettre en adéquation les formations avec les besoins du marché du travail</v>
      </c>
      <c r="B417" s="471"/>
      <c r="C417" s="472"/>
      <c r="D417" s="473"/>
      <c r="E417" s="188"/>
      <c r="F417" s="188"/>
      <c r="G417" s="188"/>
      <c r="H417" s="188"/>
      <c r="I417" s="188"/>
      <c r="J417" s="476"/>
      <c r="K417" s="313"/>
      <c r="L417" s="313">
        <f t="shared" ref="L417:U417" si="59">L197</f>
        <v>451150</v>
      </c>
      <c r="M417" s="313">
        <f t="shared" si="59"/>
        <v>352000</v>
      </c>
      <c r="N417" s="313">
        <f t="shared" si="59"/>
        <v>352000</v>
      </c>
      <c r="O417" s="313">
        <f t="shared" si="59"/>
        <v>10000</v>
      </c>
      <c r="P417" s="313">
        <f t="shared" si="59"/>
        <v>10000</v>
      </c>
      <c r="Q417" s="474">
        <f t="shared" si="59"/>
        <v>1175150</v>
      </c>
      <c r="R417" s="650">
        <f t="shared" si="59"/>
        <v>0</v>
      </c>
      <c r="S417" s="650">
        <f t="shared" si="59"/>
        <v>0</v>
      </c>
      <c r="T417" s="650">
        <f t="shared" si="59"/>
        <v>2</v>
      </c>
      <c r="U417" s="648">
        <f t="shared" si="59"/>
        <v>2</v>
      </c>
      <c r="V417" s="610"/>
      <c r="W417" s="610"/>
      <c r="X417" s="610"/>
      <c r="Y417" s="610"/>
    </row>
    <row r="418" spans="1:25" s="315" customFormat="1" x14ac:dyDescent="0.2">
      <c r="A418" s="470" t="str">
        <f>A202</f>
        <v>6.5 Environnement éducatif : Apporter aux écoles les équipements nécessaires à un apprentissage de qualité</v>
      </c>
      <c r="B418" s="471"/>
      <c r="C418" s="472"/>
      <c r="D418" s="473"/>
      <c r="E418" s="188"/>
      <c r="F418" s="188"/>
      <c r="G418" s="188"/>
      <c r="H418" s="188"/>
      <c r="I418" s="188"/>
      <c r="J418" s="476"/>
      <c r="K418" s="313"/>
      <c r="L418" s="313">
        <f t="shared" ref="L418:U418" si="60">L202</f>
        <v>9356000</v>
      </c>
      <c r="M418" s="313">
        <f t="shared" si="60"/>
        <v>9280000</v>
      </c>
      <c r="N418" s="313">
        <f t="shared" si="60"/>
        <v>9280000</v>
      </c>
      <c r="O418" s="313">
        <f t="shared" si="60"/>
        <v>9280000</v>
      </c>
      <c r="P418" s="313">
        <f t="shared" si="60"/>
        <v>9280000</v>
      </c>
      <c r="Q418" s="474">
        <f t="shared" si="60"/>
        <v>46476000</v>
      </c>
      <c r="R418" s="650">
        <f t="shared" si="60"/>
        <v>0</v>
      </c>
      <c r="S418" s="650">
        <f t="shared" si="60"/>
        <v>0</v>
      </c>
      <c r="T418" s="650">
        <f t="shared" si="60"/>
        <v>2</v>
      </c>
      <c r="U418" s="648">
        <f t="shared" si="60"/>
        <v>2</v>
      </c>
      <c r="V418" s="610"/>
      <c r="W418" s="610"/>
      <c r="X418" s="610"/>
      <c r="Y418" s="610"/>
    </row>
    <row r="419" spans="1:25" s="315" customFormat="1" x14ac:dyDescent="0.2">
      <c r="A419" s="470" t="str">
        <f>A207</f>
        <v>6.6 Formation et rémunération des enseignants : Former les enseignants et assurer leur rémunération</v>
      </c>
      <c r="B419" s="471"/>
      <c r="C419" s="472"/>
      <c r="D419" s="473"/>
      <c r="E419" s="188"/>
      <c r="F419" s="188"/>
      <c r="G419" s="188"/>
      <c r="H419" s="188"/>
      <c r="I419" s="188"/>
      <c r="J419" s="476"/>
      <c r="K419" s="313"/>
      <c r="L419" s="313">
        <f t="shared" ref="L419:T419" si="61">L207</f>
        <v>50406220</v>
      </c>
      <c r="M419" s="313">
        <f t="shared" si="61"/>
        <v>43562060</v>
      </c>
      <c r="N419" s="313">
        <f t="shared" si="61"/>
        <v>58523770</v>
      </c>
      <c r="O419" s="313">
        <f t="shared" si="61"/>
        <v>53559030</v>
      </c>
      <c r="P419" s="313">
        <f t="shared" si="61"/>
        <v>73100900</v>
      </c>
      <c r="Q419" s="474">
        <f t="shared" si="61"/>
        <v>279151980</v>
      </c>
      <c r="R419" s="650">
        <f t="shared" si="61"/>
        <v>0</v>
      </c>
      <c r="S419" s="650">
        <f t="shared" si="61"/>
        <v>0</v>
      </c>
      <c r="T419" s="650">
        <f t="shared" si="61"/>
        <v>0</v>
      </c>
      <c r="U419" s="648">
        <v>2</v>
      </c>
      <c r="V419" s="610"/>
      <c r="W419" s="610"/>
      <c r="X419" s="610"/>
      <c r="Y419" s="610"/>
    </row>
    <row r="420" spans="1:25" s="315" customFormat="1" x14ac:dyDescent="0.2">
      <c r="A420" s="470" t="str">
        <f>A211</f>
        <v>6.7 Supervision des structures et des enseignants : assurer l'encadrement pédagogique et administratif des écoles</v>
      </c>
      <c r="B420" s="471"/>
      <c r="C420" s="472"/>
      <c r="D420" s="473"/>
      <c r="E420" s="188"/>
      <c r="F420" s="188"/>
      <c r="G420" s="188"/>
      <c r="H420" s="188"/>
      <c r="I420" s="188"/>
      <c r="J420" s="476"/>
      <c r="K420" s="313"/>
      <c r="L420" s="313">
        <f t="shared" ref="L420:U420" si="62">L211</f>
        <v>37500</v>
      </c>
      <c r="M420" s="313">
        <f t="shared" si="62"/>
        <v>0</v>
      </c>
      <c r="N420" s="313">
        <f t="shared" si="62"/>
        <v>1250800</v>
      </c>
      <c r="O420" s="313">
        <f t="shared" si="62"/>
        <v>274800</v>
      </c>
      <c r="P420" s="313">
        <f t="shared" si="62"/>
        <v>274800</v>
      </c>
      <c r="Q420" s="474">
        <f t="shared" si="62"/>
        <v>1837900</v>
      </c>
      <c r="R420" s="649">
        <f t="shared" si="62"/>
        <v>0</v>
      </c>
      <c r="S420" s="649">
        <f t="shared" si="62"/>
        <v>0</v>
      </c>
      <c r="T420" s="649">
        <f t="shared" si="62"/>
        <v>3</v>
      </c>
      <c r="U420" s="648">
        <f t="shared" si="62"/>
        <v>3</v>
      </c>
      <c r="V420" s="610"/>
      <c r="W420" s="610"/>
      <c r="X420" s="610"/>
      <c r="Y420" s="610"/>
    </row>
    <row r="421" spans="1:25" s="315" customFormat="1" x14ac:dyDescent="0.2">
      <c r="A421" s="468" t="str">
        <f>A216</f>
        <v>7. Enseignement supérieur : Former les cadres qualifiés et ouverts aux technologies qui porteront le développement économique</v>
      </c>
      <c r="B421" s="469"/>
      <c r="C421" s="445"/>
      <c r="D421" s="469"/>
      <c r="E421" s="32"/>
      <c r="F421" s="32"/>
      <c r="G421" s="32"/>
      <c r="H421" s="32"/>
      <c r="I421" s="32"/>
      <c r="J421" s="445"/>
      <c r="K421" s="32"/>
      <c r="L421" s="32">
        <f t="shared" ref="L421:U421" si="63">L216</f>
        <v>220454043.68609142</v>
      </c>
      <c r="M421" s="32">
        <f t="shared" si="63"/>
        <v>301545364.6899963</v>
      </c>
      <c r="N421" s="32">
        <f t="shared" si="63"/>
        <v>326003560.76659358</v>
      </c>
      <c r="O421" s="32">
        <f t="shared" si="63"/>
        <v>335117794.54020697</v>
      </c>
      <c r="P421" s="32">
        <f t="shared" si="63"/>
        <v>353767248.99435449</v>
      </c>
      <c r="Q421" s="428">
        <f t="shared" si="63"/>
        <v>1536888012.6772428</v>
      </c>
      <c r="R421" s="647">
        <f t="shared" si="63"/>
        <v>0</v>
      </c>
      <c r="S421" s="647">
        <f t="shared" si="63"/>
        <v>0</v>
      </c>
      <c r="T421" s="647">
        <f t="shared" si="63"/>
        <v>0</v>
      </c>
      <c r="U421" s="648">
        <f t="shared" si="63"/>
        <v>0</v>
      </c>
      <c r="V421" s="610"/>
      <c r="W421" s="610"/>
      <c r="X421" s="610"/>
      <c r="Y421" s="610"/>
    </row>
    <row r="422" spans="1:25" s="315" customFormat="1" x14ac:dyDescent="0.2">
      <c r="A422" s="470" t="str">
        <f>A217</f>
        <v>7.1. Accès des Filles à l’ESU : Promotion d’accès des Filles à l’ESU</v>
      </c>
      <c r="B422" s="471"/>
      <c r="C422" s="472"/>
      <c r="D422" s="473"/>
      <c r="E422" s="188"/>
      <c r="F422" s="188"/>
      <c r="G422" s="188"/>
      <c r="H422" s="188"/>
      <c r="I422" s="188"/>
      <c r="J422" s="476"/>
      <c r="K422" s="313"/>
      <c r="L422" s="313">
        <f t="shared" ref="L422:U422" si="64">L217</f>
        <v>600000</v>
      </c>
      <c r="M422" s="313">
        <f t="shared" si="64"/>
        <v>600000</v>
      </c>
      <c r="N422" s="313">
        <f t="shared" si="64"/>
        <v>600000</v>
      </c>
      <c r="O422" s="313">
        <f t="shared" si="64"/>
        <v>600000</v>
      </c>
      <c r="P422" s="313">
        <f t="shared" si="64"/>
        <v>600000</v>
      </c>
      <c r="Q422" s="474">
        <f t="shared" si="64"/>
        <v>3000000</v>
      </c>
      <c r="R422" s="649">
        <f t="shared" si="64"/>
        <v>0</v>
      </c>
      <c r="S422" s="649">
        <f t="shared" si="64"/>
        <v>0</v>
      </c>
      <c r="T422" s="647">
        <f t="shared" si="64"/>
        <v>1</v>
      </c>
      <c r="U422" s="648">
        <f t="shared" si="64"/>
        <v>1</v>
      </c>
      <c r="V422" s="610"/>
      <c r="W422" s="610"/>
      <c r="X422" s="610"/>
      <c r="Y422" s="610"/>
    </row>
    <row r="423" spans="1:25" s="315" customFormat="1" x14ac:dyDescent="0.2">
      <c r="A423" s="470" t="str">
        <f>A219</f>
        <v>7.2. Dimension sociale de l’ESU : Renforcement de la dimension sociale de l’ESU</v>
      </c>
      <c r="B423" s="471"/>
      <c r="C423" s="472"/>
      <c r="D423" s="473"/>
      <c r="E423" s="188"/>
      <c r="F423" s="188"/>
      <c r="G423" s="188"/>
      <c r="H423" s="188"/>
      <c r="I423" s="188"/>
      <c r="J423" s="476"/>
      <c r="K423" s="313"/>
      <c r="L423" s="313">
        <f t="shared" ref="L423:U423" si="65">L219</f>
        <v>0</v>
      </c>
      <c r="M423" s="313">
        <f t="shared" si="65"/>
        <v>0</v>
      </c>
      <c r="N423" s="313">
        <f t="shared" si="65"/>
        <v>13000</v>
      </c>
      <c r="O423" s="313">
        <f t="shared" si="65"/>
        <v>2400000</v>
      </c>
      <c r="P423" s="313">
        <f t="shared" si="65"/>
        <v>3600000</v>
      </c>
      <c r="Q423" s="474">
        <f t="shared" si="65"/>
        <v>6013000</v>
      </c>
      <c r="R423" s="647">
        <f t="shared" si="65"/>
        <v>0</v>
      </c>
      <c r="S423" s="647">
        <f t="shared" si="65"/>
        <v>0</v>
      </c>
      <c r="T423" s="647">
        <f t="shared" si="65"/>
        <v>1</v>
      </c>
      <c r="U423" s="648">
        <f t="shared" si="65"/>
        <v>1</v>
      </c>
      <c r="V423" s="610"/>
      <c r="W423" s="610"/>
      <c r="X423" s="610"/>
      <c r="Y423" s="610"/>
    </row>
    <row r="424" spans="1:25" s="315" customFormat="1" x14ac:dyDescent="0.2">
      <c r="A424" s="470" t="str">
        <f>A221</f>
        <v>7.3 Moyens des EES : Apporter des ressources complétées par les droits payés par les familles</v>
      </c>
      <c r="B424" s="471"/>
      <c r="C424" s="472"/>
      <c r="D424" s="473"/>
      <c r="E424" s="188"/>
      <c r="F424" s="188"/>
      <c r="G424" s="188"/>
      <c r="H424" s="188"/>
      <c r="I424" s="188"/>
      <c r="J424" s="476"/>
      <c r="K424" s="313"/>
      <c r="L424" s="313">
        <f t="shared" ref="L424:U424" si="66">L221</f>
        <v>204434293.68609142</v>
      </c>
      <c r="M424" s="313">
        <f t="shared" si="66"/>
        <v>225758214.6899963</v>
      </c>
      <c r="N424" s="313">
        <f t="shared" si="66"/>
        <v>249534510.76659358</v>
      </c>
      <c r="O424" s="313">
        <f t="shared" si="66"/>
        <v>267570294.54020697</v>
      </c>
      <c r="P424" s="313">
        <f t="shared" si="66"/>
        <v>289825248.99435449</v>
      </c>
      <c r="Q424" s="474">
        <f t="shared" si="66"/>
        <v>1237122562.6772428</v>
      </c>
      <c r="R424" s="647">
        <f t="shared" si="66"/>
        <v>0</v>
      </c>
      <c r="S424" s="647">
        <f t="shared" si="66"/>
        <v>0</v>
      </c>
      <c r="T424" s="647">
        <f t="shared" si="66"/>
        <v>1</v>
      </c>
      <c r="U424" s="648">
        <f t="shared" si="66"/>
        <v>1</v>
      </c>
      <c r="V424" s="610"/>
      <c r="W424" s="610"/>
      <c r="X424" s="610"/>
      <c r="Y424" s="610"/>
    </row>
    <row r="425" spans="1:25" s="315" customFormat="1" x14ac:dyDescent="0.2">
      <c r="A425" s="470" t="str">
        <f>A224</f>
        <v>7.4 Promotion de l’Assurance-Qualité : Établir les standards de qualité et assurer la conformité des programme et des institutions à ces normes</v>
      </c>
      <c r="B425" s="471"/>
      <c r="C425" s="472"/>
      <c r="D425" s="473"/>
      <c r="E425" s="188"/>
      <c r="F425" s="188"/>
      <c r="G425" s="188"/>
      <c r="H425" s="188"/>
      <c r="I425" s="188"/>
      <c r="J425" s="476"/>
      <c r="K425" s="313"/>
      <c r="L425" s="313">
        <f t="shared" ref="L425:U425" si="67">L224</f>
        <v>2513000</v>
      </c>
      <c r="M425" s="313">
        <f t="shared" si="67"/>
        <v>2340000</v>
      </c>
      <c r="N425" s="313">
        <f t="shared" si="67"/>
        <v>1800000</v>
      </c>
      <c r="O425" s="313">
        <f t="shared" si="67"/>
        <v>1800000</v>
      </c>
      <c r="P425" s="313">
        <f t="shared" si="67"/>
        <v>1800000</v>
      </c>
      <c r="Q425" s="474">
        <f t="shared" si="67"/>
        <v>10253000</v>
      </c>
      <c r="R425" s="650">
        <f t="shared" si="67"/>
        <v>0</v>
      </c>
      <c r="S425" s="650">
        <f t="shared" si="67"/>
        <v>0</v>
      </c>
      <c r="T425" s="650">
        <f t="shared" si="67"/>
        <v>2</v>
      </c>
      <c r="U425" s="648">
        <f t="shared" si="67"/>
        <v>2</v>
      </c>
      <c r="V425" s="610"/>
      <c r="W425" s="610"/>
      <c r="X425" s="610"/>
      <c r="Y425" s="610"/>
    </row>
    <row r="426" spans="1:25" s="315" customFormat="1" x14ac:dyDescent="0.2">
      <c r="A426" s="470" t="str">
        <f>A227</f>
        <v>7.5 Développement des filières techniques, technologiques et professionnelles dans les pôles et secteurs de croissance : Adapter le système de formation aux besoin de l'économie</v>
      </c>
      <c r="B426" s="471"/>
      <c r="C426" s="472"/>
      <c r="D426" s="473"/>
      <c r="E426" s="188"/>
      <c r="F426" s="188"/>
      <c r="G426" s="188"/>
      <c r="H426" s="188"/>
      <c r="I426" s="188"/>
      <c r="J426" s="476"/>
      <c r="K426" s="313"/>
      <c r="L426" s="313">
        <f t="shared" ref="L426:U426" si="68">L227</f>
        <v>179000</v>
      </c>
      <c r="M426" s="313">
        <f t="shared" si="68"/>
        <v>6412000</v>
      </c>
      <c r="N426" s="313">
        <f t="shared" si="68"/>
        <v>8398000</v>
      </c>
      <c r="O426" s="313">
        <f t="shared" si="68"/>
        <v>3150000</v>
      </c>
      <c r="P426" s="313">
        <f t="shared" si="68"/>
        <v>0</v>
      </c>
      <c r="Q426" s="474">
        <f t="shared" si="68"/>
        <v>18139000</v>
      </c>
      <c r="R426" s="650">
        <f t="shared" si="68"/>
        <v>0</v>
      </c>
      <c r="S426" s="650">
        <f t="shared" si="68"/>
        <v>0</v>
      </c>
      <c r="T426" s="650">
        <f t="shared" si="68"/>
        <v>2</v>
      </c>
      <c r="U426" s="648">
        <f t="shared" si="68"/>
        <v>2</v>
      </c>
      <c r="V426" s="610"/>
      <c r="W426" s="610"/>
      <c r="X426" s="610"/>
      <c r="Y426" s="610"/>
    </row>
    <row r="427" spans="1:25" s="315" customFormat="1" x14ac:dyDescent="0.2">
      <c r="A427" s="470" t="str">
        <f>A230</f>
        <v xml:space="preserve">7.6 Inscription du Système Congolais d’Enseignement Supérieur dans la mouvance mondiale : Promouvoir la participation des EES de la RDC aux partenariats régionaux et internationaux d'enseignement supérieur et de recherche </v>
      </c>
      <c r="B427" s="471"/>
      <c r="C427" s="472"/>
      <c r="D427" s="473"/>
      <c r="E427" s="188"/>
      <c r="F427" s="188"/>
      <c r="G427" s="188"/>
      <c r="H427" s="188"/>
      <c r="I427" s="188"/>
      <c r="J427" s="476"/>
      <c r="K427" s="313"/>
      <c r="L427" s="313">
        <f t="shared" ref="L427:U427" si="69">L230</f>
        <v>157500</v>
      </c>
      <c r="M427" s="313">
        <f t="shared" si="69"/>
        <v>5037250</v>
      </c>
      <c r="N427" s="313">
        <f t="shared" si="69"/>
        <v>5037250</v>
      </c>
      <c r="O427" s="313">
        <f t="shared" si="69"/>
        <v>740000</v>
      </c>
      <c r="P427" s="313">
        <f t="shared" si="69"/>
        <v>740000</v>
      </c>
      <c r="Q427" s="474">
        <f t="shared" si="69"/>
        <v>11712000</v>
      </c>
      <c r="R427" s="650">
        <f t="shared" si="69"/>
        <v>0</v>
      </c>
      <c r="S427" s="650">
        <f t="shared" si="69"/>
        <v>0</v>
      </c>
      <c r="T427" s="650">
        <f t="shared" si="69"/>
        <v>2</v>
      </c>
      <c r="U427" s="648">
        <f t="shared" si="69"/>
        <v>2</v>
      </c>
      <c r="V427" s="610"/>
      <c r="W427" s="610"/>
      <c r="X427" s="610"/>
      <c r="Y427" s="610"/>
    </row>
    <row r="428" spans="1:25" s="315" customFormat="1" x14ac:dyDescent="0.2">
      <c r="A428" s="470" t="str">
        <f>A234</f>
        <v>7.7 Implantation des TIC : Promouvoir l'utilisation des TIC dans l'enseignement, l'apprentissage, la recherche et la gouvernance</v>
      </c>
      <c r="B428" s="471"/>
      <c r="C428" s="472"/>
      <c r="D428" s="473"/>
      <c r="E428" s="188"/>
      <c r="F428" s="188"/>
      <c r="G428" s="188"/>
      <c r="H428" s="188"/>
      <c r="I428" s="188"/>
      <c r="J428" s="476"/>
      <c r="K428" s="313"/>
      <c r="L428" s="313">
        <f t="shared" ref="L428:U428" si="70">L234</f>
        <v>253000</v>
      </c>
      <c r="M428" s="313">
        <f t="shared" si="70"/>
        <v>41795000</v>
      </c>
      <c r="N428" s="313">
        <f t="shared" si="70"/>
        <v>40695000</v>
      </c>
      <c r="O428" s="313">
        <f t="shared" si="70"/>
        <v>40695000</v>
      </c>
      <c r="P428" s="313">
        <f t="shared" si="70"/>
        <v>40695000</v>
      </c>
      <c r="Q428" s="474">
        <f t="shared" si="70"/>
        <v>164133000</v>
      </c>
      <c r="R428" s="650">
        <f t="shared" si="70"/>
        <v>0</v>
      </c>
      <c r="S428" s="650">
        <f t="shared" si="70"/>
        <v>0</v>
      </c>
      <c r="T428" s="650">
        <f t="shared" si="70"/>
        <v>2</v>
      </c>
      <c r="U428" s="648">
        <f t="shared" si="70"/>
        <v>2</v>
      </c>
      <c r="V428" s="610"/>
      <c r="W428" s="610"/>
      <c r="X428" s="610"/>
      <c r="Y428" s="610"/>
    </row>
    <row r="429" spans="1:25" s="315" customFormat="1" x14ac:dyDescent="0.2">
      <c r="A429" s="470" t="str">
        <f>A237</f>
        <v>7.8 Désenclavement numérique des EES : Promouvoir l'utilisation des TIC dans l'enseignement, l'apprentissage, la recherche et la gouvernance de l'enseignement supérieur</v>
      </c>
      <c r="B429" s="471"/>
      <c r="C429" s="472"/>
      <c r="D429" s="473"/>
      <c r="E429" s="188"/>
      <c r="F429" s="188"/>
      <c r="G429" s="188"/>
      <c r="H429" s="188"/>
      <c r="I429" s="188"/>
      <c r="J429" s="476"/>
      <c r="K429" s="313"/>
      <c r="L429" s="313">
        <f t="shared" ref="L429:U429" si="71">L237</f>
        <v>5169000</v>
      </c>
      <c r="M429" s="313">
        <f t="shared" si="71"/>
        <v>5844000</v>
      </c>
      <c r="N429" s="313">
        <f t="shared" si="71"/>
        <v>8066000</v>
      </c>
      <c r="O429" s="313">
        <f t="shared" si="71"/>
        <v>8000000</v>
      </c>
      <c r="P429" s="313">
        <f t="shared" si="71"/>
        <v>5500000</v>
      </c>
      <c r="Q429" s="474">
        <f t="shared" si="71"/>
        <v>32579000</v>
      </c>
      <c r="R429" s="650">
        <f t="shared" si="71"/>
        <v>0</v>
      </c>
      <c r="S429" s="650">
        <f t="shared" si="71"/>
        <v>0</v>
      </c>
      <c r="T429" s="650">
        <f t="shared" si="71"/>
        <v>2</v>
      </c>
      <c r="U429" s="648">
        <f t="shared" si="71"/>
        <v>2</v>
      </c>
      <c r="V429" s="610"/>
      <c r="W429" s="610"/>
      <c r="X429" s="610"/>
      <c r="Y429" s="610"/>
    </row>
    <row r="430" spans="1:25" s="315" customFormat="1" x14ac:dyDescent="0.2">
      <c r="A430" s="470" t="str">
        <f>A240</f>
        <v xml:space="preserve">7.9 Revitalisation de la Recherche : Promouvoir la recherche dans le cadre de la mise en œuvre de la réforme LMD </v>
      </c>
      <c r="B430" s="471"/>
      <c r="C430" s="472"/>
      <c r="D430" s="473"/>
      <c r="E430" s="188"/>
      <c r="F430" s="188"/>
      <c r="G430" s="188"/>
      <c r="H430" s="188"/>
      <c r="I430" s="188"/>
      <c r="J430" s="476"/>
      <c r="K430" s="313"/>
      <c r="L430" s="313">
        <f t="shared" ref="L430:U430" si="72">L240</f>
        <v>578000</v>
      </c>
      <c r="M430" s="313">
        <f t="shared" si="72"/>
        <v>1681000</v>
      </c>
      <c r="N430" s="313">
        <f t="shared" si="72"/>
        <v>1834000</v>
      </c>
      <c r="O430" s="313">
        <f t="shared" si="72"/>
        <v>2642500</v>
      </c>
      <c r="P430" s="313">
        <f t="shared" si="72"/>
        <v>3502500</v>
      </c>
      <c r="Q430" s="474">
        <f t="shared" si="72"/>
        <v>10238000</v>
      </c>
      <c r="R430" s="650">
        <f t="shared" si="72"/>
        <v>0</v>
      </c>
      <c r="S430" s="650">
        <f t="shared" si="72"/>
        <v>0</v>
      </c>
      <c r="T430" s="650">
        <f t="shared" si="72"/>
        <v>2</v>
      </c>
      <c r="U430" s="648">
        <f t="shared" si="72"/>
        <v>2</v>
      </c>
      <c r="V430" s="610"/>
      <c r="W430" s="610"/>
      <c r="X430" s="610"/>
      <c r="Y430" s="610"/>
    </row>
    <row r="431" spans="1:25" s="315" customFormat="1" x14ac:dyDescent="0.2">
      <c r="A431" s="470" t="str">
        <f>A245</f>
        <v>7.10. Renouvellement des ressources professorales : Former les enseignants et les chercheurs qui remplaceront ceux qui partent à la retraite</v>
      </c>
      <c r="B431" s="471"/>
      <c r="C431" s="472"/>
      <c r="D431" s="473"/>
      <c r="E431" s="188"/>
      <c r="F431" s="188"/>
      <c r="G431" s="188"/>
      <c r="H431" s="188"/>
      <c r="I431" s="188"/>
      <c r="J431" s="476"/>
      <c r="K431" s="313"/>
      <c r="L431" s="313">
        <f t="shared" ref="L431:U431" si="73">L245</f>
        <v>5577500</v>
      </c>
      <c r="M431" s="313">
        <f t="shared" si="73"/>
        <v>5610000</v>
      </c>
      <c r="N431" s="313">
        <f t="shared" si="73"/>
        <v>5660000</v>
      </c>
      <c r="O431" s="313">
        <f t="shared" si="73"/>
        <v>5710000</v>
      </c>
      <c r="P431" s="313">
        <f t="shared" si="73"/>
        <v>5760000</v>
      </c>
      <c r="Q431" s="474">
        <f t="shared" si="73"/>
        <v>28317500</v>
      </c>
      <c r="R431" s="650">
        <f t="shared" si="73"/>
        <v>0</v>
      </c>
      <c r="S431" s="650">
        <f t="shared" si="73"/>
        <v>0</v>
      </c>
      <c r="T431" s="650">
        <f t="shared" si="73"/>
        <v>2</v>
      </c>
      <c r="U431" s="648">
        <f t="shared" si="73"/>
        <v>2</v>
      </c>
      <c r="V431" s="610"/>
      <c r="W431" s="610"/>
      <c r="X431" s="610"/>
      <c r="Y431" s="610"/>
    </row>
    <row r="432" spans="1:25" s="315" customFormat="1" x14ac:dyDescent="0.2">
      <c r="A432" s="470" t="str">
        <f>A248</f>
        <v>7.11 Restructuration et réorganisation du Système</v>
      </c>
      <c r="B432" s="471"/>
      <c r="C432" s="472"/>
      <c r="D432" s="473"/>
      <c r="E432" s="188"/>
      <c r="F432" s="188"/>
      <c r="G432" s="188"/>
      <c r="H432" s="188"/>
      <c r="I432" s="188"/>
      <c r="J432" s="476"/>
      <c r="K432" s="313"/>
      <c r="L432" s="313">
        <f t="shared" ref="L432:U432" si="74">L248</f>
        <v>733700</v>
      </c>
      <c r="M432" s="313">
        <f t="shared" si="74"/>
        <v>2254850</v>
      </c>
      <c r="N432" s="313">
        <f t="shared" si="74"/>
        <v>1684350</v>
      </c>
      <c r="O432" s="313">
        <f t="shared" si="74"/>
        <v>936000</v>
      </c>
      <c r="P432" s="313">
        <f t="shared" si="74"/>
        <v>936000</v>
      </c>
      <c r="Q432" s="474">
        <f t="shared" si="74"/>
        <v>6544900</v>
      </c>
      <c r="R432" s="649">
        <f t="shared" si="74"/>
        <v>0</v>
      </c>
      <c r="S432" s="649">
        <f t="shared" si="74"/>
        <v>0</v>
      </c>
      <c r="T432" s="649">
        <f t="shared" si="74"/>
        <v>3</v>
      </c>
      <c r="U432" s="648">
        <f t="shared" si="74"/>
        <v>3</v>
      </c>
      <c r="V432" s="610"/>
      <c r="W432" s="610"/>
      <c r="X432" s="610"/>
      <c r="Y432" s="610"/>
    </row>
    <row r="433" spans="1:25" s="315" customFormat="1" x14ac:dyDescent="0.2">
      <c r="A433" s="470" t="str">
        <f>A254</f>
        <v>7.12 Renforcement du Système d’information pour la Planification Stratégique et la Gestion axée sur les résultats : Promouvoir la planification stratégique et la gestion axée sur les résultats</v>
      </c>
      <c r="B433" s="482"/>
      <c r="C433" s="472"/>
      <c r="D433" s="473"/>
      <c r="E433" s="188"/>
      <c r="F433" s="188"/>
      <c r="G433" s="188"/>
      <c r="H433" s="188"/>
      <c r="I433" s="188"/>
      <c r="J433" s="476"/>
      <c r="K433" s="313"/>
      <c r="L433" s="313">
        <f t="shared" ref="L433:U433" si="75">L254</f>
        <v>160300</v>
      </c>
      <c r="M433" s="313">
        <f t="shared" si="75"/>
        <v>4086050</v>
      </c>
      <c r="N433" s="313">
        <f t="shared" si="75"/>
        <v>2666950</v>
      </c>
      <c r="O433" s="313">
        <f t="shared" si="75"/>
        <v>865500</v>
      </c>
      <c r="P433" s="313">
        <f t="shared" si="75"/>
        <v>800000</v>
      </c>
      <c r="Q433" s="474">
        <f t="shared" si="75"/>
        <v>8578800</v>
      </c>
      <c r="R433" s="649">
        <f t="shared" si="75"/>
        <v>0</v>
      </c>
      <c r="S433" s="649">
        <f t="shared" si="75"/>
        <v>0</v>
      </c>
      <c r="T433" s="649">
        <f t="shared" si="75"/>
        <v>3</v>
      </c>
      <c r="U433" s="648">
        <f t="shared" si="75"/>
        <v>3</v>
      </c>
      <c r="V433" s="610"/>
      <c r="W433" s="610"/>
      <c r="X433" s="610"/>
      <c r="Y433" s="610"/>
    </row>
    <row r="434" spans="1:25" s="315" customFormat="1" x14ac:dyDescent="0.2">
      <c r="A434" s="470" t="str">
        <f>A258</f>
        <v>7.13. Renforcement des outils de bonne Gouvernance : Promouvoir la bonne gouvernance dans les EES</v>
      </c>
      <c r="B434" s="471"/>
      <c r="C434" s="472"/>
      <c r="D434" s="473"/>
      <c r="E434" s="188"/>
      <c r="F434" s="188"/>
      <c r="G434" s="188"/>
      <c r="H434" s="188"/>
      <c r="I434" s="188"/>
      <c r="J434" s="476"/>
      <c r="K434" s="313"/>
      <c r="L434" s="313">
        <f t="shared" ref="L434:U434" si="76">L258</f>
        <v>98750</v>
      </c>
      <c r="M434" s="313">
        <f t="shared" si="76"/>
        <v>127000</v>
      </c>
      <c r="N434" s="313">
        <f t="shared" si="76"/>
        <v>14500</v>
      </c>
      <c r="O434" s="313">
        <f t="shared" si="76"/>
        <v>8500</v>
      </c>
      <c r="P434" s="313">
        <f t="shared" si="76"/>
        <v>8500</v>
      </c>
      <c r="Q434" s="474">
        <f t="shared" si="76"/>
        <v>257250</v>
      </c>
      <c r="R434" s="649">
        <f t="shared" si="76"/>
        <v>0</v>
      </c>
      <c r="S434" s="649">
        <f t="shared" si="76"/>
        <v>0</v>
      </c>
      <c r="T434" s="649">
        <f t="shared" si="76"/>
        <v>3</v>
      </c>
      <c r="U434" s="648">
        <f t="shared" si="76"/>
        <v>3</v>
      </c>
      <c r="V434" s="610"/>
      <c r="W434" s="610"/>
      <c r="X434" s="610"/>
      <c r="Y434" s="610"/>
    </row>
    <row r="435" spans="1:25" s="315" customFormat="1" x14ac:dyDescent="0.2">
      <c r="A435" s="468" t="str">
        <f>A263</f>
        <v>8. Gestion, pilotage et évaluation du système éducatif : Renforcer les capacités de gestion des ministères en charge de l'éducation et assurer le pilotage et le suivi-évaluation du système</v>
      </c>
      <c r="B435" s="469"/>
      <c r="C435" s="445"/>
      <c r="D435" s="469"/>
      <c r="E435" s="32"/>
      <c r="F435" s="32"/>
      <c r="G435" s="32"/>
      <c r="H435" s="32"/>
      <c r="I435" s="32"/>
      <c r="J435" s="445"/>
      <c r="K435" s="32"/>
      <c r="L435" s="32">
        <f t="shared" ref="L435:U435" si="77">L263</f>
        <v>121076200</v>
      </c>
      <c r="M435" s="32">
        <f t="shared" si="77"/>
        <v>131917953</v>
      </c>
      <c r="N435" s="32">
        <f t="shared" si="77"/>
        <v>143217313</v>
      </c>
      <c r="O435" s="32">
        <f t="shared" si="77"/>
        <v>159198630</v>
      </c>
      <c r="P435" s="32">
        <f t="shared" si="77"/>
        <v>178477690</v>
      </c>
      <c r="Q435" s="428">
        <f t="shared" si="77"/>
        <v>733887786</v>
      </c>
      <c r="R435" s="649">
        <f t="shared" si="77"/>
        <v>0</v>
      </c>
      <c r="S435" s="649">
        <f t="shared" si="77"/>
        <v>0</v>
      </c>
      <c r="T435" s="649">
        <f t="shared" si="77"/>
        <v>0</v>
      </c>
      <c r="U435" s="648">
        <f t="shared" si="77"/>
        <v>0</v>
      </c>
      <c r="V435" s="610"/>
      <c r="W435" s="610"/>
      <c r="X435" s="610"/>
      <c r="Y435" s="610"/>
    </row>
    <row r="436" spans="1:25" s="315" customFormat="1" x14ac:dyDescent="0.2">
      <c r="A436" s="470" t="str">
        <f>A264</f>
        <v>8.1 Moyens des services administratifs : Moyens des services administratifs</v>
      </c>
      <c r="B436" s="471"/>
      <c r="C436" s="472"/>
      <c r="D436" s="473"/>
      <c r="E436" s="188"/>
      <c r="F436" s="188"/>
      <c r="G436" s="188"/>
      <c r="H436" s="188"/>
      <c r="I436" s="188"/>
      <c r="J436" s="476"/>
      <c r="K436" s="313"/>
      <c r="L436" s="313">
        <f t="shared" ref="L436:U436" si="78">L264</f>
        <v>19338720</v>
      </c>
      <c r="M436" s="313">
        <f t="shared" si="78"/>
        <v>21333510</v>
      </c>
      <c r="N436" s="313">
        <f t="shared" si="78"/>
        <v>22424370</v>
      </c>
      <c r="O436" s="313">
        <f t="shared" si="78"/>
        <v>23686500</v>
      </c>
      <c r="P436" s="313">
        <f t="shared" si="78"/>
        <v>24990160</v>
      </c>
      <c r="Q436" s="474">
        <f t="shared" si="78"/>
        <v>111773260</v>
      </c>
      <c r="R436" s="649">
        <f t="shared" si="78"/>
        <v>0</v>
      </c>
      <c r="S436" s="649">
        <f t="shared" si="78"/>
        <v>0</v>
      </c>
      <c r="T436" s="649">
        <f t="shared" si="78"/>
        <v>3</v>
      </c>
      <c r="U436" s="648">
        <f t="shared" si="78"/>
        <v>3</v>
      </c>
      <c r="V436" s="610"/>
      <c r="W436" s="610"/>
      <c r="X436" s="610"/>
      <c r="Y436" s="610"/>
    </row>
    <row r="437" spans="1:25" s="319" customFormat="1" x14ac:dyDescent="0.2">
      <c r="A437" s="477" t="str">
        <f>A268</f>
        <v>8.2 Moyens des bureaux gestionnaires et des services déconcentrés du MEPSINC</v>
      </c>
      <c r="B437" s="478"/>
      <c r="C437" s="479"/>
      <c r="D437" s="480"/>
      <c r="E437" s="320"/>
      <c r="F437" s="320"/>
      <c r="G437" s="320"/>
      <c r="H437" s="320"/>
      <c r="I437" s="320"/>
      <c r="J437" s="479"/>
      <c r="K437" s="320"/>
      <c r="L437" s="320">
        <f t="shared" ref="L437:U437" si="79">L268</f>
        <v>90078100</v>
      </c>
      <c r="M437" s="320">
        <f t="shared" si="79"/>
        <v>98332000</v>
      </c>
      <c r="N437" s="320">
        <f t="shared" si="79"/>
        <v>109746600</v>
      </c>
      <c r="O437" s="320">
        <f t="shared" si="79"/>
        <v>124774300</v>
      </c>
      <c r="P437" s="320">
        <f t="shared" si="79"/>
        <v>142543800</v>
      </c>
      <c r="Q437" s="481">
        <f t="shared" si="79"/>
        <v>565474800</v>
      </c>
      <c r="R437" s="649">
        <f t="shared" si="79"/>
        <v>0</v>
      </c>
      <c r="S437" s="649">
        <f t="shared" si="79"/>
        <v>0</v>
      </c>
      <c r="T437" s="649">
        <f t="shared" si="79"/>
        <v>3</v>
      </c>
      <c r="U437" s="648">
        <f t="shared" si="79"/>
        <v>3</v>
      </c>
      <c r="V437" s="610"/>
      <c r="W437" s="610"/>
      <c r="X437" s="610"/>
      <c r="Y437" s="610"/>
    </row>
    <row r="438" spans="1:25" s="319" customFormat="1" x14ac:dyDescent="0.2">
      <c r="A438" s="477" t="str">
        <f>A271</f>
        <v>8.3 Gestion des carrières : Mettre en place une gestion efficace des carrières</v>
      </c>
      <c r="B438" s="478"/>
      <c r="C438" s="479"/>
      <c r="D438" s="480"/>
      <c r="E438" s="320"/>
      <c r="F438" s="320"/>
      <c r="G438" s="320"/>
      <c r="H438" s="320"/>
      <c r="I438" s="320"/>
      <c r="J438" s="479"/>
      <c r="K438" s="320"/>
      <c r="L438" s="320">
        <f t="shared" ref="L438:R438" si="80">L271</f>
        <v>33000</v>
      </c>
      <c r="M438" s="320">
        <f t="shared" si="80"/>
        <v>128000</v>
      </c>
      <c r="N438" s="320">
        <f t="shared" si="80"/>
        <v>0</v>
      </c>
      <c r="O438" s="320">
        <f t="shared" si="80"/>
        <v>0</v>
      </c>
      <c r="P438" s="320">
        <f t="shared" si="80"/>
        <v>0</v>
      </c>
      <c r="Q438" s="481">
        <f t="shared" si="80"/>
        <v>161000</v>
      </c>
      <c r="R438" s="649">
        <f t="shared" si="80"/>
        <v>0</v>
      </c>
      <c r="S438" s="649">
        <f t="shared" ref="S438:S444" si="81">S271</f>
        <v>0</v>
      </c>
      <c r="T438" s="649">
        <f>T271</f>
        <v>3</v>
      </c>
      <c r="U438" s="648">
        <f>U271</f>
        <v>3</v>
      </c>
      <c r="V438" s="610"/>
      <c r="W438" s="610"/>
      <c r="X438" s="610"/>
      <c r="Y438" s="610"/>
    </row>
    <row r="439" spans="1:25" s="315" customFormat="1" x14ac:dyDescent="0.2">
      <c r="A439" s="470" t="str">
        <f>A274</f>
        <v>8.4 Gestion des ressources financières : Améliorer la gestion des ressources financières</v>
      </c>
      <c r="B439" s="471"/>
      <c r="C439" s="472"/>
      <c r="D439" s="473"/>
      <c r="E439" s="188"/>
      <c r="F439" s="188"/>
      <c r="G439" s="188"/>
      <c r="H439" s="188"/>
      <c r="I439" s="188"/>
      <c r="J439" s="476"/>
      <c r="K439" s="313"/>
      <c r="L439" s="313">
        <f t="shared" ref="L439:Q439" si="82">L274</f>
        <v>129600</v>
      </c>
      <c r="M439" s="313">
        <f t="shared" si="82"/>
        <v>111600</v>
      </c>
      <c r="N439" s="313">
        <f t="shared" si="82"/>
        <v>129000</v>
      </c>
      <c r="O439" s="313">
        <f t="shared" si="82"/>
        <v>111600</v>
      </c>
      <c r="P439" s="313">
        <f t="shared" si="82"/>
        <v>129000</v>
      </c>
      <c r="Q439" s="474">
        <f t="shared" si="82"/>
        <v>610800</v>
      </c>
      <c r="R439" s="649">
        <f t="shared" ref="R439" si="83">R272</f>
        <v>0</v>
      </c>
      <c r="S439" s="649">
        <f t="shared" si="81"/>
        <v>0</v>
      </c>
      <c r="T439" s="649">
        <f>T274</f>
        <v>3</v>
      </c>
      <c r="U439" s="648">
        <f>U274</f>
        <v>3</v>
      </c>
      <c r="V439" s="610"/>
      <c r="W439" s="610"/>
      <c r="X439" s="610"/>
      <c r="Y439" s="610"/>
    </row>
    <row r="440" spans="1:25" s="315" customFormat="1" x14ac:dyDescent="0.2">
      <c r="A440" s="470" t="str">
        <f>+A276</f>
        <v>8.5 Gestion des infrastructures scolaires : Améliorer les capacités de pilotage et de gestion des infrastructures scolaires</v>
      </c>
      <c r="B440" s="471"/>
      <c r="C440" s="472">
        <f t="shared" ref="C440:Q440" si="84">+C276</f>
        <v>0</v>
      </c>
      <c r="D440" s="473">
        <f t="shared" si="84"/>
        <v>28</v>
      </c>
      <c r="E440" s="188">
        <f t="shared" si="84"/>
        <v>51.4</v>
      </c>
      <c r="F440" s="188">
        <f t="shared" si="84"/>
        <v>63.7</v>
      </c>
      <c r="G440" s="188">
        <f t="shared" si="84"/>
        <v>76</v>
      </c>
      <c r="H440" s="188">
        <f t="shared" si="84"/>
        <v>88.3</v>
      </c>
      <c r="I440" s="188">
        <f t="shared" si="84"/>
        <v>307.39999999999998</v>
      </c>
      <c r="J440" s="476">
        <f t="shared" si="84"/>
        <v>0</v>
      </c>
      <c r="K440" s="313">
        <f t="shared" si="84"/>
        <v>0</v>
      </c>
      <c r="L440" s="313">
        <f t="shared" si="84"/>
        <v>28000</v>
      </c>
      <c r="M440" s="313">
        <f t="shared" si="84"/>
        <v>51400</v>
      </c>
      <c r="N440" s="313">
        <f t="shared" si="84"/>
        <v>63700</v>
      </c>
      <c r="O440" s="313">
        <f t="shared" si="84"/>
        <v>76000</v>
      </c>
      <c r="P440" s="313">
        <f t="shared" si="84"/>
        <v>88300</v>
      </c>
      <c r="Q440" s="474">
        <f t="shared" si="84"/>
        <v>307400</v>
      </c>
      <c r="R440" s="649">
        <f t="shared" ref="R440" si="85">R273</f>
        <v>0</v>
      </c>
      <c r="S440" s="649">
        <f t="shared" si="81"/>
        <v>0</v>
      </c>
      <c r="T440" s="649" t="e">
        <f>#REF!</f>
        <v>#REF!</v>
      </c>
      <c r="U440" s="648">
        <v>3</v>
      </c>
      <c r="V440" s="610"/>
      <c r="W440" s="610"/>
      <c r="X440" s="610"/>
      <c r="Y440" s="610"/>
    </row>
    <row r="441" spans="1:25" s="315" customFormat="1" x14ac:dyDescent="0.2">
      <c r="A441" s="470" t="str">
        <f>A279</f>
        <v>8.6 Redevabilité et gouvernance financière : Assurer la redevabilité des structures et Maitriser les flux ascendants</v>
      </c>
      <c r="B441" s="471"/>
      <c r="C441" s="472">
        <f t="shared" ref="C441:Q441" si="86">C279</f>
        <v>0</v>
      </c>
      <c r="D441" s="473">
        <f t="shared" si="86"/>
        <v>343.25</v>
      </c>
      <c r="E441" s="188">
        <f t="shared" si="86"/>
        <v>121.75</v>
      </c>
      <c r="F441" s="188">
        <f t="shared" si="86"/>
        <v>116</v>
      </c>
      <c r="G441" s="188">
        <f t="shared" si="86"/>
        <v>67.5</v>
      </c>
      <c r="H441" s="188">
        <f t="shared" si="86"/>
        <v>67.5</v>
      </c>
      <c r="I441" s="188">
        <f t="shared" si="86"/>
        <v>716</v>
      </c>
      <c r="J441" s="476">
        <f t="shared" si="86"/>
        <v>0</v>
      </c>
      <c r="K441" s="313">
        <f t="shared" si="86"/>
        <v>0</v>
      </c>
      <c r="L441" s="313">
        <f t="shared" si="86"/>
        <v>343250</v>
      </c>
      <c r="M441" s="313">
        <f t="shared" si="86"/>
        <v>121750</v>
      </c>
      <c r="N441" s="313">
        <f t="shared" si="86"/>
        <v>116000</v>
      </c>
      <c r="O441" s="313">
        <f t="shared" si="86"/>
        <v>67500</v>
      </c>
      <c r="P441" s="313">
        <f t="shared" si="86"/>
        <v>67500</v>
      </c>
      <c r="Q441" s="474">
        <f t="shared" si="86"/>
        <v>716000</v>
      </c>
      <c r="R441" s="649">
        <f t="shared" ref="R441" si="87">R274</f>
        <v>0</v>
      </c>
      <c r="S441" s="649">
        <f t="shared" si="81"/>
        <v>0</v>
      </c>
      <c r="T441" s="649">
        <f>T280</f>
        <v>0</v>
      </c>
      <c r="U441" s="648">
        <v>3</v>
      </c>
      <c r="V441" s="610"/>
      <c r="W441" s="610"/>
      <c r="X441" s="610"/>
      <c r="Y441" s="610"/>
    </row>
    <row r="442" spans="1:25" s="315" customFormat="1" x14ac:dyDescent="0.2">
      <c r="A442" s="470" t="str">
        <f>A284</f>
        <v>8.7 Gestion financière des établissements : Renforcer la participation des communautés et des OSC dans la gestion des établissements</v>
      </c>
      <c r="B442" s="471"/>
      <c r="C442" s="472"/>
      <c r="D442" s="473"/>
      <c r="E442" s="188"/>
      <c r="F442" s="188"/>
      <c r="G442" s="188"/>
      <c r="H442" s="188"/>
      <c r="I442" s="188"/>
      <c r="J442" s="476"/>
      <c r="K442" s="313"/>
      <c r="L442" s="313">
        <f t="shared" ref="L442:Q442" si="88">L284</f>
        <v>164000</v>
      </c>
      <c r="M442" s="313">
        <f t="shared" si="88"/>
        <v>164000</v>
      </c>
      <c r="N442" s="313">
        <f t="shared" si="88"/>
        <v>0</v>
      </c>
      <c r="O442" s="313">
        <f t="shared" si="88"/>
        <v>0</v>
      </c>
      <c r="P442" s="313">
        <f t="shared" si="88"/>
        <v>0</v>
      </c>
      <c r="Q442" s="474">
        <f t="shared" si="88"/>
        <v>328000</v>
      </c>
      <c r="R442" s="649">
        <f t="shared" ref="R442" si="89">R275</f>
        <v>0</v>
      </c>
      <c r="S442" s="649">
        <f t="shared" si="81"/>
        <v>0</v>
      </c>
      <c r="T442" s="649">
        <f>T284</f>
        <v>3</v>
      </c>
      <c r="U442" s="648">
        <f>U284</f>
        <v>3</v>
      </c>
      <c r="V442" s="610"/>
      <c r="W442" s="610"/>
      <c r="X442" s="610"/>
      <c r="Y442" s="610"/>
    </row>
    <row r="443" spans="1:25" s="315" customFormat="1" x14ac:dyDescent="0.2">
      <c r="A443" s="470" t="str">
        <f>A287</f>
        <v>8.8 Gestion des manuels scolaires : amélioration des capacité de production et de gestion des manuels</v>
      </c>
      <c r="B443" s="471"/>
      <c r="C443" s="472"/>
      <c r="D443" s="473"/>
      <c r="E443" s="188"/>
      <c r="F443" s="188"/>
      <c r="G443" s="188"/>
      <c r="H443" s="188"/>
      <c r="I443" s="188"/>
      <c r="J443" s="476"/>
      <c r="K443" s="313"/>
      <c r="L443" s="313">
        <f t="shared" ref="L443:Q443" si="90">L287</f>
        <v>105200</v>
      </c>
      <c r="M443" s="313">
        <f t="shared" si="90"/>
        <v>25000</v>
      </c>
      <c r="N443" s="313">
        <f t="shared" si="90"/>
        <v>0</v>
      </c>
      <c r="O443" s="313">
        <f t="shared" si="90"/>
        <v>0</v>
      </c>
      <c r="P443" s="313">
        <f t="shared" si="90"/>
        <v>0</v>
      </c>
      <c r="Q443" s="474">
        <f t="shared" si="90"/>
        <v>130200</v>
      </c>
      <c r="R443" s="650">
        <f t="shared" ref="R443" si="91">R276</f>
        <v>0</v>
      </c>
      <c r="S443" s="650">
        <f t="shared" si="81"/>
        <v>0</v>
      </c>
      <c r="T443" s="650">
        <f>T287</f>
        <v>3</v>
      </c>
      <c r="U443" s="648">
        <f>U287</f>
        <v>3</v>
      </c>
      <c r="V443" s="610"/>
      <c r="W443" s="610"/>
      <c r="X443" s="610"/>
      <c r="Y443" s="610"/>
    </row>
    <row r="444" spans="1:25" s="315" customFormat="1" x14ac:dyDescent="0.2">
      <c r="A444" s="470" t="str">
        <f>A290</f>
        <v xml:space="preserve">8.9 Gestion décentralisée : Améliorer le cadre institutionnel pour une meilleure gestion décentralisée du secteur de l’éducation </v>
      </c>
      <c r="B444" s="471"/>
      <c r="C444" s="472"/>
      <c r="D444" s="473"/>
      <c r="E444" s="188"/>
      <c r="F444" s="188"/>
      <c r="G444" s="188"/>
      <c r="H444" s="188"/>
      <c r="I444" s="188"/>
      <c r="J444" s="476"/>
      <c r="K444" s="313"/>
      <c r="L444" s="313">
        <f t="shared" ref="L444:Q444" si="92">L290</f>
        <v>63500</v>
      </c>
      <c r="M444" s="313">
        <f t="shared" si="92"/>
        <v>175400</v>
      </c>
      <c r="N444" s="313">
        <f t="shared" si="92"/>
        <v>54000</v>
      </c>
      <c r="O444" s="313">
        <f t="shared" si="92"/>
        <v>0</v>
      </c>
      <c r="P444" s="313">
        <f t="shared" si="92"/>
        <v>0</v>
      </c>
      <c r="Q444" s="474">
        <f t="shared" si="92"/>
        <v>292900</v>
      </c>
      <c r="R444" s="649">
        <f t="shared" ref="R444" si="93">R277</f>
        <v>0</v>
      </c>
      <c r="S444" s="649">
        <f t="shared" si="81"/>
        <v>0</v>
      </c>
      <c r="T444" s="649">
        <f>T290</f>
        <v>3</v>
      </c>
      <c r="U444" s="648">
        <f>U290</f>
        <v>3</v>
      </c>
      <c r="V444" s="610"/>
      <c r="W444" s="610"/>
      <c r="X444" s="610"/>
      <c r="Y444" s="610"/>
    </row>
    <row r="445" spans="1:25" s="315" customFormat="1" x14ac:dyDescent="0.2">
      <c r="A445" s="470" t="str">
        <f>A294</f>
        <v>8.10 Curricula et Méthodes pédagogiques innovantes : Réformer les programmes, harmoniser les référentiels de compétences et promouvoir des méthodes pédagogiques innovantes</v>
      </c>
      <c r="B445" s="471"/>
      <c r="C445" s="472"/>
      <c r="D445" s="473"/>
      <c r="E445" s="188"/>
      <c r="F445" s="188"/>
      <c r="G445" s="188"/>
      <c r="H445" s="188"/>
      <c r="I445" s="188"/>
      <c r="J445" s="476"/>
      <c r="K445" s="313"/>
      <c r="L445" s="313">
        <f t="shared" ref="L445:U445" si="94">L294</f>
        <v>144850</v>
      </c>
      <c r="M445" s="313">
        <f t="shared" si="94"/>
        <v>45000</v>
      </c>
      <c r="N445" s="313">
        <f t="shared" si="94"/>
        <v>45000</v>
      </c>
      <c r="O445" s="313">
        <f t="shared" si="94"/>
        <v>45000</v>
      </c>
      <c r="P445" s="313">
        <f t="shared" si="94"/>
        <v>10000</v>
      </c>
      <c r="Q445" s="474">
        <f t="shared" si="94"/>
        <v>289850</v>
      </c>
      <c r="R445" s="647">
        <f t="shared" si="94"/>
        <v>0</v>
      </c>
      <c r="S445" s="647">
        <f t="shared" si="94"/>
        <v>0</v>
      </c>
      <c r="T445" s="647">
        <f t="shared" si="94"/>
        <v>3</v>
      </c>
      <c r="U445" s="648">
        <f t="shared" si="94"/>
        <v>3</v>
      </c>
      <c r="V445" s="610"/>
      <c r="W445" s="610"/>
      <c r="X445" s="610"/>
      <c r="Y445" s="610"/>
    </row>
    <row r="446" spans="1:25" s="315" customFormat="1" x14ac:dyDescent="0.2">
      <c r="A446" s="470" t="str">
        <f>A298</f>
        <v>8.11 Assurance qualité et Pilotage de la qualité : développer une culture et des mécanismes de suivi et évaluation et de pilotage de la qualité des apprentissages</v>
      </c>
      <c r="B446" s="471"/>
      <c r="C446" s="472"/>
      <c r="D446" s="473"/>
      <c r="E446" s="188"/>
      <c r="F446" s="188"/>
      <c r="G446" s="188"/>
      <c r="H446" s="188"/>
      <c r="I446" s="188"/>
      <c r="J446" s="476"/>
      <c r="K446" s="313"/>
      <c r="L446" s="313">
        <f t="shared" ref="L446:U446" si="95">L298</f>
        <v>464300</v>
      </c>
      <c r="M446" s="313">
        <f t="shared" si="95"/>
        <v>835300</v>
      </c>
      <c r="N446" s="313">
        <f t="shared" si="95"/>
        <v>558000</v>
      </c>
      <c r="O446" s="313">
        <f t="shared" si="95"/>
        <v>613000</v>
      </c>
      <c r="P446" s="313">
        <f t="shared" si="95"/>
        <v>558000</v>
      </c>
      <c r="Q446" s="474">
        <f t="shared" si="95"/>
        <v>3028600</v>
      </c>
      <c r="R446" s="647">
        <f t="shared" si="95"/>
        <v>0</v>
      </c>
      <c r="S446" s="647">
        <f t="shared" si="95"/>
        <v>0</v>
      </c>
      <c r="T446" s="647">
        <f t="shared" si="95"/>
        <v>3</v>
      </c>
      <c r="U446" s="648">
        <f t="shared" si="95"/>
        <v>3</v>
      </c>
      <c r="V446" s="610"/>
      <c r="W446" s="610"/>
      <c r="X446" s="610"/>
      <c r="Y446" s="610"/>
    </row>
    <row r="447" spans="1:25" s="315" customFormat="1" x14ac:dyDescent="0.2">
      <c r="A447" s="470" t="str">
        <f>A304</f>
        <v xml:space="preserve">8.12 Gestion des flux d'élèves : améliorer les instruments de gestion des flux et mise en place de l’éducation de base </v>
      </c>
      <c r="B447" s="471"/>
      <c r="C447" s="472"/>
      <c r="D447" s="473"/>
      <c r="E447" s="188"/>
      <c r="F447" s="188"/>
      <c r="G447" s="188"/>
      <c r="H447" s="188"/>
      <c r="I447" s="188"/>
      <c r="J447" s="476"/>
      <c r="K447" s="313"/>
      <c r="L447" s="313">
        <f t="shared" ref="L447:U447" si="96">L304</f>
        <v>0</v>
      </c>
      <c r="M447" s="313">
        <f t="shared" si="96"/>
        <v>138900</v>
      </c>
      <c r="N447" s="313">
        <f t="shared" si="96"/>
        <v>61250</v>
      </c>
      <c r="O447" s="313">
        <f t="shared" si="96"/>
        <v>0</v>
      </c>
      <c r="P447" s="313">
        <f t="shared" si="96"/>
        <v>0</v>
      </c>
      <c r="Q447" s="474">
        <f t="shared" si="96"/>
        <v>200150</v>
      </c>
      <c r="R447" s="647">
        <f t="shared" si="96"/>
        <v>0</v>
      </c>
      <c r="S447" s="647">
        <f t="shared" si="96"/>
        <v>0</v>
      </c>
      <c r="T447" s="647">
        <f t="shared" si="96"/>
        <v>3</v>
      </c>
      <c r="U447" s="648">
        <f t="shared" si="96"/>
        <v>3</v>
      </c>
      <c r="V447" s="610"/>
      <c r="W447" s="610"/>
      <c r="X447" s="610"/>
      <c r="Y447" s="610"/>
    </row>
    <row r="448" spans="1:25" s="315" customFormat="1" x14ac:dyDescent="0.2">
      <c r="A448" s="470" t="str">
        <f>A308</f>
        <v>8.13 Redoublements: mettre en place une politique de réduction des redoublements au primaire et d'une nouvelle réglementation des redoublements au secondaire et au supérieur</v>
      </c>
      <c r="B448" s="471"/>
      <c r="C448" s="472"/>
      <c r="D448" s="473"/>
      <c r="E448" s="188"/>
      <c r="F448" s="188"/>
      <c r="G448" s="188"/>
      <c r="H448" s="188"/>
      <c r="I448" s="188"/>
      <c r="J448" s="476"/>
      <c r="K448" s="313"/>
      <c r="L448" s="313">
        <f t="shared" ref="L448:U448" si="97">L308</f>
        <v>116800</v>
      </c>
      <c r="M448" s="313">
        <f t="shared" si="97"/>
        <v>127300</v>
      </c>
      <c r="N448" s="313">
        <f t="shared" si="97"/>
        <v>236100</v>
      </c>
      <c r="O448" s="313">
        <f t="shared" si="97"/>
        <v>0</v>
      </c>
      <c r="P448" s="313">
        <f t="shared" si="97"/>
        <v>0</v>
      </c>
      <c r="Q448" s="474">
        <f t="shared" si="97"/>
        <v>480200</v>
      </c>
      <c r="R448" s="649">
        <f t="shared" si="97"/>
        <v>0</v>
      </c>
      <c r="S448" s="649">
        <f t="shared" si="97"/>
        <v>0</v>
      </c>
      <c r="T448" s="649">
        <f t="shared" si="97"/>
        <v>3</v>
      </c>
      <c r="U448" s="648">
        <f t="shared" si="97"/>
        <v>3</v>
      </c>
      <c r="V448" s="610"/>
      <c r="W448" s="610"/>
      <c r="X448" s="610"/>
      <c r="Y448" s="610"/>
    </row>
    <row r="449" spans="1:25" s="315" customFormat="1" x14ac:dyDescent="0.2">
      <c r="A449" s="470" t="str">
        <f>A313</f>
        <v>8.14 Scolarisation des filles : Encourager la scolarisation des filles</v>
      </c>
      <c r="B449" s="471"/>
      <c r="C449" s="472"/>
      <c r="D449" s="473"/>
      <c r="E449" s="188"/>
      <c r="F449" s="188"/>
      <c r="G449" s="188"/>
      <c r="H449" s="188"/>
      <c r="I449" s="188"/>
      <c r="J449" s="476"/>
      <c r="K449" s="313"/>
      <c r="L449" s="313">
        <f t="shared" ref="L449:U449" si="98">L313</f>
        <v>629600</v>
      </c>
      <c r="M449" s="313">
        <f t="shared" si="98"/>
        <v>585313</v>
      </c>
      <c r="N449" s="313">
        <f t="shared" si="98"/>
        <v>586313</v>
      </c>
      <c r="O449" s="313">
        <f t="shared" si="98"/>
        <v>482250</v>
      </c>
      <c r="P449" s="313">
        <f t="shared" si="98"/>
        <v>512250</v>
      </c>
      <c r="Q449" s="474">
        <f t="shared" si="98"/>
        <v>2795726</v>
      </c>
      <c r="R449" s="649">
        <f t="shared" si="98"/>
        <v>0</v>
      </c>
      <c r="S449" s="649">
        <f t="shared" si="98"/>
        <v>0</v>
      </c>
      <c r="T449" s="647">
        <f t="shared" si="98"/>
        <v>3</v>
      </c>
      <c r="U449" s="648">
        <f t="shared" si="98"/>
        <v>3</v>
      </c>
      <c r="V449" s="610"/>
      <c r="W449" s="610"/>
      <c r="X449" s="610"/>
      <c r="Y449" s="610"/>
    </row>
    <row r="450" spans="1:25" s="315" customFormat="1" x14ac:dyDescent="0.2">
      <c r="A450" s="470" t="str">
        <f>A319</f>
        <v>8.15 Préparation de rentrée : mettre en place un dispositif assurant le respect du temps scolaire et d’enseignement</v>
      </c>
      <c r="B450" s="471"/>
      <c r="C450" s="472"/>
      <c r="D450" s="473"/>
      <c r="E450" s="188"/>
      <c r="F450" s="188"/>
      <c r="G450" s="188"/>
      <c r="H450" s="188"/>
      <c r="I450" s="188"/>
      <c r="J450" s="476"/>
      <c r="K450" s="313"/>
      <c r="L450" s="313">
        <f t="shared" ref="L450:U450" si="99">L319</f>
        <v>0</v>
      </c>
      <c r="M450" s="313">
        <f t="shared" si="99"/>
        <v>10900</v>
      </c>
      <c r="N450" s="313">
        <f t="shared" si="99"/>
        <v>13000</v>
      </c>
      <c r="O450" s="313">
        <f t="shared" si="99"/>
        <v>0</v>
      </c>
      <c r="P450" s="313">
        <f t="shared" si="99"/>
        <v>0</v>
      </c>
      <c r="Q450" s="474">
        <f t="shared" si="99"/>
        <v>23900</v>
      </c>
      <c r="R450" s="649">
        <f t="shared" si="99"/>
        <v>0</v>
      </c>
      <c r="S450" s="649">
        <f t="shared" si="99"/>
        <v>0</v>
      </c>
      <c r="T450" s="649">
        <f t="shared" si="99"/>
        <v>3</v>
      </c>
      <c r="U450" s="648">
        <f t="shared" si="99"/>
        <v>3</v>
      </c>
      <c r="V450" s="610"/>
      <c r="W450" s="610"/>
      <c r="X450" s="610"/>
      <c r="Y450" s="610"/>
    </row>
    <row r="451" spans="1:25" s="315" customFormat="1" x14ac:dyDescent="0.2">
      <c r="A451" s="470" t="str">
        <f>A323</f>
        <v xml:space="preserve">8.16 Système d'information central et provincial : Renforcer le système d’information et de gestion de l’éducation (SIGE) et développer les outils et les initiatives d’exploitation locale des données </v>
      </c>
      <c r="B451" s="471"/>
      <c r="C451" s="472"/>
      <c r="D451" s="473"/>
      <c r="E451" s="188"/>
      <c r="F451" s="188"/>
      <c r="G451" s="188"/>
      <c r="H451" s="188"/>
      <c r="I451" s="188"/>
      <c r="J451" s="476"/>
      <c r="K451" s="313"/>
      <c r="L451" s="313">
        <f t="shared" ref="L451:U451" si="100">L323</f>
        <v>754830</v>
      </c>
      <c r="M451" s="313">
        <f t="shared" si="100"/>
        <v>731230</v>
      </c>
      <c r="N451" s="313">
        <f t="shared" si="100"/>
        <v>763230</v>
      </c>
      <c r="O451" s="313">
        <f t="shared" si="100"/>
        <v>819230</v>
      </c>
      <c r="P451" s="313">
        <f t="shared" si="100"/>
        <v>875230</v>
      </c>
      <c r="Q451" s="474">
        <f t="shared" si="100"/>
        <v>3943750</v>
      </c>
      <c r="R451" s="647">
        <f t="shared" si="100"/>
        <v>0</v>
      </c>
      <c r="S451" s="647">
        <f t="shared" si="100"/>
        <v>0</v>
      </c>
      <c r="T451" s="647">
        <f t="shared" si="100"/>
        <v>3</v>
      </c>
      <c r="U451" s="648">
        <f t="shared" si="100"/>
        <v>3</v>
      </c>
      <c r="V451" s="610"/>
      <c r="W451" s="610"/>
      <c r="X451" s="610"/>
      <c r="Y451" s="610"/>
    </row>
    <row r="452" spans="1:25" s="315" customFormat="1" x14ac:dyDescent="0.2">
      <c r="A452" s="470" t="str">
        <f>A329</f>
        <v>8.17 Politique nationale Éducation en situation d’urgence, post-conflits &amp; post catastrophes : identifier les stratégies pour prévenir et atténuer les risques de conflits et de catastrophes et Renforcer des capacités institutionnelles et améliorer la gestion des risques</v>
      </c>
      <c r="B452" s="471"/>
      <c r="C452" s="472"/>
      <c r="D452" s="473"/>
      <c r="E452" s="188"/>
      <c r="F452" s="188"/>
      <c r="G452" s="188"/>
      <c r="H452" s="188"/>
      <c r="I452" s="188"/>
      <c r="J452" s="476"/>
      <c r="K452" s="313"/>
      <c r="L452" s="313">
        <f t="shared" ref="L452:U452" si="101">L329</f>
        <v>4238350</v>
      </c>
      <c r="M452" s="313">
        <f t="shared" si="101"/>
        <v>4209950</v>
      </c>
      <c r="N452" s="313">
        <f t="shared" si="101"/>
        <v>4210350</v>
      </c>
      <c r="O452" s="313">
        <f t="shared" si="101"/>
        <v>4159350</v>
      </c>
      <c r="P452" s="313">
        <f t="shared" si="101"/>
        <v>4159350</v>
      </c>
      <c r="Q452" s="474">
        <f t="shared" si="101"/>
        <v>20977350</v>
      </c>
      <c r="R452" s="649">
        <f t="shared" si="101"/>
        <v>0</v>
      </c>
      <c r="S452" s="649">
        <f t="shared" si="101"/>
        <v>0</v>
      </c>
      <c r="T452" s="647">
        <f t="shared" si="101"/>
        <v>3</v>
      </c>
      <c r="U452" s="648">
        <f t="shared" si="101"/>
        <v>3</v>
      </c>
      <c r="V452" s="610"/>
      <c r="W452" s="610"/>
      <c r="X452" s="610"/>
      <c r="Y452" s="610"/>
    </row>
    <row r="453" spans="1:25" s="315" customFormat="1" x14ac:dyDescent="0.2">
      <c r="A453" s="470" t="str">
        <f>A343</f>
        <v>8.18 Éducation à la nouvelle citoyenneté et à la paix et Prévention des violences</v>
      </c>
      <c r="B453" s="471"/>
      <c r="C453" s="472"/>
      <c r="D453" s="473"/>
      <c r="E453" s="188"/>
      <c r="F453" s="188"/>
      <c r="G453" s="188"/>
      <c r="H453" s="188"/>
      <c r="I453" s="188"/>
      <c r="J453" s="476"/>
      <c r="K453" s="313"/>
      <c r="L453" s="313">
        <f t="shared" ref="L453:U453" si="102">L343</f>
        <v>157500</v>
      </c>
      <c r="M453" s="313">
        <f t="shared" si="102"/>
        <v>510300</v>
      </c>
      <c r="N453" s="313">
        <f t="shared" si="102"/>
        <v>377300</v>
      </c>
      <c r="O453" s="313">
        <f t="shared" si="102"/>
        <v>278800</v>
      </c>
      <c r="P453" s="313">
        <f t="shared" si="102"/>
        <v>207000</v>
      </c>
      <c r="Q453" s="474">
        <f t="shared" si="102"/>
        <v>1530900</v>
      </c>
      <c r="R453" s="649">
        <f t="shared" si="102"/>
        <v>0</v>
      </c>
      <c r="S453" s="649">
        <f t="shared" si="102"/>
        <v>0</v>
      </c>
      <c r="T453" s="647">
        <f t="shared" si="102"/>
        <v>3</v>
      </c>
      <c r="U453" s="648">
        <f t="shared" si="102"/>
        <v>3</v>
      </c>
      <c r="V453" s="610"/>
      <c r="W453" s="610"/>
      <c r="X453" s="610"/>
      <c r="Y453" s="610"/>
    </row>
    <row r="454" spans="1:25" s="315" customFormat="1" ht="12" thickBot="1" x14ac:dyDescent="0.25">
      <c r="A454" s="470" t="str">
        <f>A350</f>
        <v>8.19 Pilotage et coordination du Plan sectoriel : Renforcement des structures, dispositifs et mesures institutionnels de pilotage, de coordination et de mise en œuvre et de suivi du Plan sectoriel</v>
      </c>
      <c r="B454" s="471"/>
      <c r="C454" s="472"/>
      <c r="D454" s="473"/>
      <c r="E454" s="188"/>
      <c r="F454" s="188"/>
      <c r="G454" s="188"/>
      <c r="H454" s="188"/>
      <c r="I454" s="188"/>
      <c r="J454" s="476"/>
      <c r="K454" s="313"/>
      <c r="L454" s="313">
        <f t="shared" ref="L454:U454" si="103">L350</f>
        <v>4286600</v>
      </c>
      <c r="M454" s="313">
        <f t="shared" si="103"/>
        <v>4281100</v>
      </c>
      <c r="N454" s="313">
        <f t="shared" si="103"/>
        <v>3833100</v>
      </c>
      <c r="O454" s="313">
        <f t="shared" si="103"/>
        <v>4085100</v>
      </c>
      <c r="P454" s="313">
        <f t="shared" si="103"/>
        <v>4337100</v>
      </c>
      <c r="Q454" s="474">
        <f t="shared" si="103"/>
        <v>20823000</v>
      </c>
      <c r="R454" s="649">
        <f t="shared" si="103"/>
        <v>0</v>
      </c>
      <c r="S454" s="649">
        <f t="shared" si="103"/>
        <v>0</v>
      </c>
      <c r="T454" s="647">
        <f t="shared" si="103"/>
        <v>3</v>
      </c>
      <c r="U454" s="648">
        <f t="shared" si="103"/>
        <v>3</v>
      </c>
      <c r="V454" s="610"/>
      <c r="W454" s="610"/>
      <c r="X454" s="610"/>
      <c r="Y454" s="610"/>
    </row>
    <row r="455" spans="1:25" s="259" customFormat="1" ht="16.5" customHeight="1" thickTop="1" thickBot="1" x14ac:dyDescent="0.3">
      <c r="A455" s="260" t="s">
        <v>963</v>
      </c>
      <c r="B455" s="261"/>
      <c r="C455" s="261"/>
      <c r="D455" s="261"/>
      <c r="E455" s="261"/>
      <c r="F455" s="261"/>
      <c r="G455" s="261"/>
      <c r="H455" s="261"/>
      <c r="I455" s="261"/>
      <c r="J455" s="261"/>
      <c r="K455" s="262"/>
      <c r="L455" s="258">
        <f t="shared" ref="L455:Q455" si="104">SUM(L362:L454)/2</f>
        <v>1239553062.6433907</v>
      </c>
      <c r="M455" s="258">
        <f t="shared" si="104"/>
        <v>1461511674.9240301</v>
      </c>
      <c r="N455" s="258">
        <f t="shared" si="104"/>
        <v>1635857423.8635354</v>
      </c>
      <c r="O455" s="258">
        <f t="shared" si="104"/>
        <v>1742951377.3052254</v>
      </c>
      <c r="P455" s="275">
        <f t="shared" si="104"/>
        <v>1883244382.2925677</v>
      </c>
      <c r="Q455" s="287">
        <f t="shared" si="104"/>
        <v>7963117921.0287485</v>
      </c>
      <c r="R455" s="651"/>
      <c r="S455" s="651"/>
      <c r="T455" s="651"/>
      <c r="U455" s="652"/>
      <c r="V455" s="607"/>
      <c r="W455" s="607"/>
      <c r="X455" s="607"/>
      <c r="Y455" s="607"/>
    </row>
    <row r="456" spans="1:25" ht="12" thickTop="1" x14ac:dyDescent="0.2">
      <c r="C456" s="47"/>
      <c r="R456" s="570"/>
      <c r="S456" s="570"/>
      <c r="T456" s="570"/>
      <c r="U456" s="571"/>
    </row>
    <row r="457" spans="1:25" ht="12" x14ac:dyDescent="0.2">
      <c r="A457" s="308" t="str">
        <f>A3</f>
        <v>Plan d'action de la Stratégie sectorielle de l’éducation et de la formation 2016-2025</v>
      </c>
      <c r="C457" s="47"/>
      <c r="L457" s="148"/>
      <c r="M457" s="148"/>
      <c r="N457" s="148"/>
      <c r="O457" s="148"/>
      <c r="P457" s="148"/>
      <c r="Q457" s="148"/>
      <c r="R457" s="570"/>
      <c r="S457" s="570"/>
      <c r="T457" s="570"/>
      <c r="U457" s="571"/>
    </row>
    <row r="458" spans="1:25" ht="12" x14ac:dyDescent="0.2">
      <c r="A458" s="55" t="str">
        <f>A4</f>
        <v>Programme 2016-2020</v>
      </c>
      <c r="C458" s="47"/>
      <c r="J458" s="1">
        <f>L458*2</f>
        <v>0</v>
      </c>
      <c r="L458" s="148"/>
      <c r="M458" s="148"/>
      <c r="N458" s="148"/>
      <c r="O458" s="148"/>
      <c r="P458" s="148"/>
      <c r="Q458" s="148"/>
      <c r="R458" s="570"/>
      <c r="S458" s="570"/>
      <c r="T458" s="570"/>
      <c r="U458" s="571"/>
    </row>
    <row r="459" spans="1:25" ht="12" thickBot="1" x14ac:dyDescent="0.25">
      <c r="A459" s="310" t="s">
        <v>973</v>
      </c>
      <c r="C459" s="47"/>
      <c r="L459" s="148"/>
      <c r="M459" s="148"/>
      <c r="N459" s="148"/>
      <c r="O459" s="148"/>
      <c r="P459" s="148"/>
      <c r="Q459" s="486" t="s">
        <v>974</v>
      </c>
      <c r="R459" s="570"/>
      <c r="S459" s="570"/>
      <c r="T459" s="570"/>
      <c r="U459" s="571"/>
    </row>
    <row r="460" spans="1:25" ht="16.5" thickTop="1" x14ac:dyDescent="0.25">
      <c r="A460" s="300" t="s">
        <v>0</v>
      </c>
      <c r="B460" s="42"/>
      <c r="C460" s="301"/>
      <c r="D460" s="302"/>
      <c r="E460" s="682"/>
      <c r="F460" s="682"/>
      <c r="G460" s="682"/>
      <c r="H460" s="682"/>
      <c r="I460" s="682"/>
      <c r="J460" s="682"/>
      <c r="K460" s="302"/>
      <c r="L460" s="683" t="s">
        <v>1015</v>
      </c>
      <c r="M460" s="680"/>
      <c r="N460" s="680"/>
      <c r="O460" s="680"/>
      <c r="P460" s="680"/>
      <c r="Q460" s="681"/>
      <c r="R460" s="570"/>
      <c r="S460" s="570"/>
      <c r="T460" s="570"/>
      <c r="U460" s="571"/>
    </row>
    <row r="461" spans="1:25" x14ac:dyDescent="0.2">
      <c r="A461" s="303" t="s">
        <v>7</v>
      </c>
      <c r="B461" s="304"/>
      <c r="C461" s="305"/>
      <c r="D461" s="305"/>
      <c r="E461" s="306"/>
      <c r="F461" s="306"/>
      <c r="G461" s="306"/>
      <c r="H461" s="306"/>
      <c r="I461" s="306"/>
      <c r="J461" s="307"/>
      <c r="K461" s="323"/>
      <c r="L461" s="484">
        <f>L361</f>
        <v>2016</v>
      </c>
      <c r="M461" s="426">
        <f>L461+1</f>
        <v>2017</v>
      </c>
      <c r="N461" s="426">
        <f>M461+1</f>
        <v>2018</v>
      </c>
      <c r="O461" s="426">
        <f>N461+1</f>
        <v>2019</v>
      </c>
      <c r="P461" s="426">
        <f>O461+1</f>
        <v>2020</v>
      </c>
      <c r="Q461" s="483" t="s">
        <v>8</v>
      </c>
      <c r="R461" s="570"/>
      <c r="S461" s="570"/>
      <c r="T461" s="570"/>
      <c r="U461" s="571"/>
    </row>
    <row r="462" spans="1:25" x14ac:dyDescent="0.2">
      <c r="A462" s="4" t="str">
        <f>A362</f>
        <v>1. Enseignement préscolaire : Développer une préscolarisation de qualité, particulièrement en milieu rural</v>
      </c>
      <c r="B462" s="327"/>
      <c r="C462" s="328"/>
      <c r="D462" s="327"/>
      <c r="E462" s="327"/>
      <c r="F462" s="327"/>
      <c r="G462" s="327"/>
      <c r="H462" s="327"/>
      <c r="I462" s="327"/>
      <c r="J462" s="327"/>
      <c r="K462" s="327"/>
      <c r="L462" s="485">
        <f t="shared" ref="L462:Q462" si="105">L362/1000</f>
        <v>11113.45</v>
      </c>
      <c r="M462" s="325">
        <f t="shared" si="105"/>
        <v>15231.4</v>
      </c>
      <c r="N462" s="325">
        <f t="shared" si="105"/>
        <v>32451.5</v>
      </c>
      <c r="O462" s="325">
        <f t="shared" si="105"/>
        <v>37042</v>
      </c>
      <c r="P462" s="325">
        <f t="shared" si="105"/>
        <v>41716.199999999997</v>
      </c>
      <c r="Q462" s="326">
        <f t="shared" si="105"/>
        <v>137554.54999999999</v>
      </c>
      <c r="R462" s="570"/>
      <c r="S462" s="570"/>
      <c r="T462" s="570"/>
      <c r="U462" s="571"/>
    </row>
    <row r="463" spans="1:25" x14ac:dyDescent="0.2">
      <c r="A463" s="4" t="str">
        <f>A369</f>
        <v>2. Enseignement primaire : Un enseignement primaire de qualité pour apporter à tous les savoirs et compétences de base</v>
      </c>
      <c r="B463" s="327"/>
      <c r="C463" s="328"/>
      <c r="D463" s="327"/>
      <c r="E463" s="327"/>
      <c r="F463" s="327"/>
      <c r="G463" s="327"/>
      <c r="H463" s="327"/>
      <c r="I463" s="327"/>
      <c r="J463" s="327"/>
      <c r="K463" s="327"/>
      <c r="L463" s="485">
        <f t="shared" ref="L463:Q463" si="106">L369/1000</f>
        <v>505574.76501758053</v>
      </c>
      <c r="M463" s="325">
        <f t="shared" si="106"/>
        <v>586019.40016991762</v>
      </c>
      <c r="N463" s="325">
        <f t="shared" si="106"/>
        <v>656510.27783057222</v>
      </c>
      <c r="O463" s="325">
        <f t="shared" si="106"/>
        <v>706287.51795687142</v>
      </c>
      <c r="P463" s="325">
        <f t="shared" si="106"/>
        <v>753196.42996220419</v>
      </c>
      <c r="Q463" s="326">
        <f t="shared" si="106"/>
        <v>3207588.3909371463</v>
      </c>
      <c r="R463" s="570"/>
      <c r="S463" s="570"/>
      <c r="T463" s="570"/>
      <c r="U463" s="571"/>
    </row>
    <row r="464" spans="1:25" x14ac:dyDescent="0.2">
      <c r="A464" s="4" t="str">
        <f>A382</f>
        <v>3. Éducation non formelle : Permettre aux personnes non scolarisées d'acquérir les savoirs de base</v>
      </c>
      <c r="B464" s="327"/>
      <c r="C464" s="328"/>
      <c r="D464" s="327"/>
      <c r="E464" s="327"/>
      <c r="F464" s="327"/>
      <c r="G464" s="327"/>
      <c r="H464" s="327"/>
      <c r="I464" s="327"/>
      <c r="J464" s="327"/>
      <c r="K464" s="327"/>
      <c r="L464" s="485">
        <f t="shared" ref="L464:Q464" si="107">L382/1000</f>
        <v>10084.908015983425</v>
      </c>
      <c r="M464" s="325">
        <f t="shared" si="107"/>
        <v>11951.512872319972</v>
      </c>
      <c r="N464" s="325">
        <f t="shared" si="107"/>
        <v>15355.068047269218</v>
      </c>
      <c r="O464" s="325">
        <f t="shared" si="107"/>
        <v>16499.717302845682</v>
      </c>
      <c r="P464" s="325">
        <f t="shared" si="107"/>
        <v>16061.804711646975</v>
      </c>
      <c r="Q464" s="326">
        <f t="shared" si="107"/>
        <v>69953.010950065276</v>
      </c>
      <c r="R464" s="570"/>
      <c r="S464" s="570"/>
      <c r="T464" s="570"/>
      <c r="U464" s="571"/>
    </row>
    <row r="465" spans="1:21" x14ac:dyDescent="0.2">
      <c r="A465" s="4" t="str">
        <f>A394</f>
        <v>4. Enseignement du premier cycle secondaire : développer l'accès au premier cycle et préparer l'éducation de base de 8 ans</v>
      </c>
      <c r="B465" s="327"/>
      <c r="C465" s="328"/>
      <c r="D465" s="327"/>
      <c r="E465" s="327"/>
      <c r="F465" s="327"/>
      <c r="G465" s="327"/>
      <c r="H465" s="327"/>
      <c r="I465" s="327"/>
      <c r="J465" s="327"/>
      <c r="K465" s="327"/>
      <c r="L465" s="485">
        <f t="shared" ref="L465:Q465" si="108">L394/1000</f>
        <v>139466.76568139892</v>
      </c>
      <c r="M465" s="325">
        <f t="shared" si="108"/>
        <v>154901.79507845867</v>
      </c>
      <c r="N465" s="325">
        <f t="shared" si="108"/>
        <v>173486.11571463221</v>
      </c>
      <c r="O465" s="325">
        <f t="shared" si="108"/>
        <v>204836.2659192103</v>
      </c>
      <c r="P465" s="325">
        <f t="shared" si="108"/>
        <v>223015.02759026669</v>
      </c>
      <c r="Q465" s="326">
        <f t="shared" si="108"/>
        <v>895705.96998396679</v>
      </c>
      <c r="R465" s="570"/>
      <c r="S465" s="570"/>
      <c r="T465" s="570"/>
      <c r="U465" s="571"/>
    </row>
    <row r="466" spans="1:21" x14ac:dyDescent="0.2">
      <c r="A466" s="4" t="str">
        <f>A402</f>
        <v>5. Enseignement du second cycle secondaire : maitriser et diversifier l'accès et préparer les élèves aux études supérieures</v>
      </c>
      <c r="B466" s="327"/>
      <c r="C466" s="328"/>
      <c r="D466" s="327"/>
      <c r="E466" s="327"/>
      <c r="F466" s="327"/>
      <c r="G466" s="327"/>
      <c r="H466" s="327"/>
      <c r="I466" s="327"/>
      <c r="J466" s="327"/>
      <c r="K466" s="327"/>
      <c r="L466" s="485">
        <f t="shared" ref="L466:Q466" si="109">L402/1000</f>
        <v>144129.66024233619</v>
      </c>
      <c r="M466" s="325">
        <f t="shared" si="109"/>
        <v>179446.78911333758</v>
      </c>
      <c r="N466" s="325">
        <f t="shared" si="109"/>
        <v>192162.61850446844</v>
      </c>
      <c r="O466" s="325">
        <f t="shared" si="109"/>
        <v>200615.02158609108</v>
      </c>
      <c r="P466" s="325">
        <f t="shared" si="109"/>
        <v>214152.68103409512</v>
      </c>
      <c r="Q466" s="326">
        <f t="shared" si="109"/>
        <v>930506.77048032836</v>
      </c>
      <c r="R466" s="570"/>
      <c r="S466" s="570"/>
      <c r="T466" s="570"/>
      <c r="U466" s="571"/>
    </row>
    <row r="467" spans="1:21" x14ac:dyDescent="0.2">
      <c r="A467" s="4" t="str">
        <f>A413</f>
        <v>6. Enseignement technique et formation professionnelle : apporter les qualifications nécessaires à l'économie nationale</v>
      </c>
      <c r="B467" s="327"/>
      <c r="C467" s="328"/>
      <c r="D467" s="327"/>
      <c r="E467" s="327"/>
      <c r="F467" s="327"/>
      <c r="G467" s="327"/>
      <c r="H467" s="327"/>
      <c r="I467" s="327"/>
      <c r="J467" s="327"/>
      <c r="K467" s="327"/>
      <c r="L467" s="485">
        <f t="shared" ref="L467:Q467" si="110">L413/1000</f>
        <v>87653.27</v>
      </c>
      <c r="M467" s="325">
        <f t="shared" si="110"/>
        <v>80497.460000000006</v>
      </c>
      <c r="N467" s="325">
        <f t="shared" si="110"/>
        <v>96670.97</v>
      </c>
      <c r="O467" s="325">
        <f t="shared" si="110"/>
        <v>83354.429999999993</v>
      </c>
      <c r="P467" s="325">
        <f t="shared" si="110"/>
        <v>102857.3</v>
      </c>
      <c r="Q467" s="326">
        <f t="shared" si="110"/>
        <v>451033.43</v>
      </c>
      <c r="R467" s="570"/>
      <c r="S467" s="570"/>
      <c r="T467" s="570"/>
      <c r="U467" s="571"/>
    </row>
    <row r="468" spans="1:21" x14ac:dyDescent="0.2">
      <c r="A468" s="4" t="str">
        <f>A421</f>
        <v>7. Enseignement supérieur : Former les cadres qualifiés et ouverts aux technologies qui porteront le développement économique</v>
      </c>
      <c r="B468" s="327"/>
      <c r="C468" s="328"/>
      <c r="D468" s="327"/>
      <c r="E468" s="327"/>
      <c r="F468" s="327"/>
      <c r="G468" s="327"/>
      <c r="H468" s="327"/>
      <c r="I468" s="327"/>
      <c r="J468" s="327"/>
      <c r="K468" s="327"/>
      <c r="L468" s="485">
        <f t="shared" ref="L468:Q468" si="111">L421/1000</f>
        <v>220454.04368609143</v>
      </c>
      <c r="M468" s="325">
        <f t="shared" si="111"/>
        <v>301545.36468999629</v>
      </c>
      <c r="N468" s="325">
        <f t="shared" si="111"/>
        <v>326003.56076659355</v>
      </c>
      <c r="O468" s="325">
        <f t="shared" si="111"/>
        <v>335117.79454020696</v>
      </c>
      <c r="P468" s="325">
        <f t="shared" si="111"/>
        <v>353767.24899435451</v>
      </c>
      <c r="Q468" s="326">
        <f t="shared" si="111"/>
        <v>1536888.0126772427</v>
      </c>
      <c r="R468" s="570"/>
      <c r="S468" s="570"/>
      <c r="T468" s="570"/>
      <c r="U468" s="571"/>
    </row>
    <row r="469" spans="1:21" ht="12" thickBot="1" x14ac:dyDescent="0.25">
      <c r="A469" s="4" t="str">
        <f>A435</f>
        <v>8. Gestion, pilotage et évaluation du système éducatif : Renforcer les capacités de gestion des ministères en charge de l'éducation et assurer le pilotage et le suivi-évaluation du système</v>
      </c>
      <c r="B469" s="327"/>
      <c r="C469" s="328"/>
      <c r="D469" s="327"/>
      <c r="E469" s="327"/>
      <c r="F469" s="327"/>
      <c r="G469" s="327"/>
      <c r="H469" s="327"/>
      <c r="I469" s="327"/>
      <c r="J469" s="327"/>
      <c r="K469" s="327"/>
      <c r="L469" s="485">
        <f t="shared" ref="L469:Q469" si="112">L435/1000</f>
        <v>121076.2</v>
      </c>
      <c r="M469" s="325">
        <f t="shared" si="112"/>
        <v>131917.95300000001</v>
      </c>
      <c r="N469" s="325">
        <f t="shared" si="112"/>
        <v>143217.31299999999</v>
      </c>
      <c r="O469" s="325">
        <f t="shared" si="112"/>
        <v>159198.63</v>
      </c>
      <c r="P469" s="325">
        <f t="shared" si="112"/>
        <v>178477.69</v>
      </c>
      <c r="Q469" s="326">
        <f t="shared" si="112"/>
        <v>733887.78599999996</v>
      </c>
      <c r="R469" s="570"/>
      <c r="S469" s="570"/>
      <c r="T469" s="570"/>
      <c r="U469" s="571"/>
    </row>
    <row r="470" spans="1:21" ht="12.75" thickTop="1" thickBot="1" x14ac:dyDescent="0.25">
      <c r="A470" s="260" t="s">
        <v>963</v>
      </c>
      <c r="B470" s="261"/>
      <c r="C470" s="261"/>
      <c r="D470" s="261"/>
      <c r="E470" s="261"/>
      <c r="F470" s="261"/>
      <c r="G470" s="261"/>
      <c r="H470" s="261"/>
      <c r="I470" s="261"/>
      <c r="J470" s="261"/>
      <c r="K470" s="261"/>
      <c r="L470" s="258">
        <f t="shared" ref="L470:Q470" si="113">SUM(L462:L469)</f>
        <v>1239553.0626433904</v>
      </c>
      <c r="M470" s="258">
        <f t="shared" si="113"/>
        <v>1461511.6749240302</v>
      </c>
      <c r="N470" s="258">
        <f t="shared" si="113"/>
        <v>1635857.4238635357</v>
      </c>
      <c r="O470" s="258">
        <f t="shared" si="113"/>
        <v>1742951.3773052255</v>
      </c>
      <c r="P470" s="258">
        <f t="shared" si="113"/>
        <v>1883244.3822925673</v>
      </c>
      <c r="Q470" s="324">
        <f t="shared" si="113"/>
        <v>7963117.9210287491</v>
      </c>
      <c r="R470" s="570"/>
      <c r="S470" s="570"/>
      <c r="T470" s="570"/>
      <c r="U470" s="571"/>
    </row>
    <row r="471" spans="1:21" ht="12" thickTop="1" x14ac:dyDescent="0.2">
      <c r="C471" s="47"/>
      <c r="R471" s="570"/>
      <c r="S471" s="570"/>
      <c r="T471" s="570"/>
      <c r="U471" s="571"/>
    </row>
    <row r="472" spans="1:21" x14ac:dyDescent="0.2">
      <c r="C472" s="47"/>
      <c r="R472" s="570"/>
      <c r="S472" s="570"/>
      <c r="T472" s="570"/>
      <c r="U472" s="571"/>
    </row>
    <row r="473" spans="1:21" ht="12" x14ac:dyDescent="0.2">
      <c r="A473" s="308" t="str">
        <f>A457</f>
        <v>Plan d'action de la Stratégie sectorielle de l’éducation et de la formation 2016-2025</v>
      </c>
      <c r="C473" s="47"/>
      <c r="R473" s="570"/>
      <c r="S473" s="570"/>
      <c r="T473" s="570"/>
      <c r="U473" s="571"/>
    </row>
    <row r="474" spans="1:21" ht="12" x14ac:dyDescent="0.2">
      <c r="A474" s="55" t="str">
        <f>A458</f>
        <v>Programme 2016-2020</v>
      </c>
      <c r="C474" s="47"/>
      <c r="R474" s="570"/>
      <c r="S474" s="570"/>
      <c r="T474" s="570"/>
      <c r="U474" s="571"/>
    </row>
    <row r="475" spans="1:21" x14ac:dyDescent="0.2">
      <c r="A475" s="310" t="s">
        <v>1136</v>
      </c>
      <c r="C475" s="47"/>
      <c r="R475" s="570"/>
      <c r="S475" s="570"/>
      <c r="T475" s="570"/>
      <c r="U475" s="571"/>
    </row>
    <row r="476" spans="1:21" x14ac:dyDescent="0.2">
      <c r="C476" s="47"/>
      <c r="R476" s="570"/>
      <c r="S476" s="570"/>
      <c r="T476" s="570"/>
      <c r="U476" s="571"/>
    </row>
    <row r="477" spans="1:21" ht="12" thickBot="1" x14ac:dyDescent="0.25">
      <c r="C477" s="47"/>
      <c r="Q477" s="486" t="s">
        <v>974</v>
      </c>
      <c r="R477" s="570"/>
      <c r="S477" s="570"/>
      <c r="T477" s="570"/>
      <c r="U477" s="571"/>
    </row>
    <row r="478" spans="1:21" ht="12" thickTop="1" x14ac:dyDescent="0.2">
      <c r="B478" s="424" t="s">
        <v>1024</v>
      </c>
      <c r="L478" s="421">
        <v>2016</v>
      </c>
      <c r="M478" s="421">
        <f>L478+1</f>
        <v>2017</v>
      </c>
      <c r="N478" s="421">
        <f>M478+1</f>
        <v>2018</v>
      </c>
      <c r="O478" s="421">
        <f>N478+1</f>
        <v>2019</v>
      </c>
      <c r="P478" s="422">
        <f>O478+1</f>
        <v>2020</v>
      </c>
      <c r="Q478" s="423" t="s">
        <v>8</v>
      </c>
      <c r="R478" s="570"/>
      <c r="S478" s="570"/>
      <c r="T478" s="571"/>
    </row>
    <row r="479" spans="1:21" ht="16.5" customHeight="1" x14ac:dyDescent="0.2">
      <c r="B479" s="394" t="s">
        <v>1025</v>
      </c>
      <c r="L479" s="395">
        <f>SUM(L480:L482)</f>
        <v>11113.45</v>
      </c>
      <c r="M479" s="395">
        <f>SUM(M480:M482)</f>
        <v>15231.4</v>
      </c>
      <c r="N479" s="395">
        <f>SUM(N480:N482)</f>
        <v>32451.5</v>
      </c>
      <c r="O479" s="395">
        <f>SUM(O480:O482)</f>
        <v>37042</v>
      </c>
      <c r="P479" s="406">
        <f>SUM(P480:P482)</f>
        <v>41716.199999999997</v>
      </c>
      <c r="Q479" s="411">
        <f t="shared" ref="Q479:Q510" si="114">SUM(L479:P479)</f>
        <v>137554.54999999999</v>
      </c>
      <c r="R479" s="570"/>
      <c r="S479" s="570"/>
      <c r="T479" s="571"/>
      <c r="U479" s="608">
        <f>Q479-Q462</f>
        <v>0</v>
      </c>
    </row>
    <row r="480" spans="1:21" x14ac:dyDescent="0.2">
      <c r="B480" s="396" t="s">
        <v>1021</v>
      </c>
      <c r="L480" s="397">
        <f>SUMIF($U$9:$U$26,"=1",D$9:D$26)</f>
        <v>9866.2000000000007</v>
      </c>
      <c r="M480" s="397">
        <f>SUMIF($U$9:$U$26,"=1",E$9:E$26)</f>
        <v>13049.9</v>
      </c>
      <c r="N480" s="397">
        <f>SUMIF($U$9:$U$26,"=1",F$9:F$26)</f>
        <v>30043</v>
      </c>
      <c r="O480" s="397">
        <f>SUMIF($U$9:$U$26,"=1",G$9:G$26)</f>
        <v>34585.5</v>
      </c>
      <c r="P480" s="407">
        <f>SUMIF($U$9:$U$26,"=1",H$9:H$26)</f>
        <v>39061.699999999997</v>
      </c>
      <c r="Q480" s="411">
        <f t="shared" si="114"/>
        <v>126606.3</v>
      </c>
      <c r="R480" s="570"/>
      <c r="S480" s="570"/>
      <c r="T480" s="571"/>
    </row>
    <row r="481" spans="2:20" x14ac:dyDescent="0.2">
      <c r="B481" s="396" t="s">
        <v>1022</v>
      </c>
      <c r="L481" s="397">
        <f>SUMIF($U$9:$U$26,"=2",D$9:D$26)</f>
        <v>1037.25</v>
      </c>
      <c r="M481" s="397">
        <f>SUMIF($U$9:$U$26,"=2",E$9:E$26)</f>
        <v>1911.5</v>
      </c>
      <c r="N481" s="397">
        <f>SUMIF($U$9:$U$26,"=2",F$9:F$26)</f>
        <v>2078.5</v>
      </c>
      <c r="O481" s="397">
        <f>SUMIF($U$9:$U$26,"=2",G$9:G$26)</f>
        <v>2276.5</v>
      </c>
      <c r="P481" s="407">
        <f>SUMIF($U$9:$U$26,"=2",H$9:H$26)</f>
        <v>2474.5</v>
      </c>
      <c r="Q481" s="411">
        <f t="shared" si="114"/>
        <v>9778.25</v>
      </c>
      <c r="R481" s="570"/>
      <c r="S481" s="570"/>
      <c r="T481" s="571"/>
    </row>
    <row r="482" spans="2:20" x14ac:dyDescent="0.2">
      <c r="B482" s="400" t="s">
        <v>1023</v>
      </c>
      <c r="L482" s="401">
        <f>SUMIF($U$9:$U$26,"=3",D$9:D$26)</f>
        <v>210</v>
      </c>
      <c r="M482" s="401">
        <f>SUMIF($U$9:$U$26,"=3",E$9:E$26)</f>
        <v>270</v>
      </c>
      <c r="N482" s="401">
        <f>SUMIF($U$9:$U$26,"=3",F$9:F$26)</f>
        <v>330</v>
      </c>
      <c r="O482" s="401">
        <f>SUMIF($U$9:$U$26,"=3",G$9:G$26)</f>
        <v>180</v>
      </c>
      <c r="P482" s="408">
        <f>SUMIF($U$9:$U$26,"=3",H$9:H$26)</f>
        <v>180</v>
      </c>
      <c r="Q482" s="412">
        <f t="shared" si="114"/>
        <v>1170</v>
      </c>
      <c r="R482" s="570"/>
      <c r="S482" s="570"/>
      <c r="T482" s="571"/>
    </row>
    <row r="483" spans="2:20" x14ac:dyDescent="0.2">
      <c r="B483" s="402" t="s">
        <v>1026</v>
      </c>
      <c r="L483" s="403">
        <f>SUM(L484:L486)</f>
        <v>505574.76501758047</v>
      </c>
      <c r="M483" s="403">
        <f>SUM(M484:M486)</f>
        <v>586019.40016991762</v>
      </c>
      <c r="N483" s="403">
        <f>SUM(N484:N486)</f>
        <v>656510.27783057222</v>
      </c>
      <c r="O483" s="403">
        <f>SUM(O484:O486)</f>
        <v>706287.51795687142</v>
      </c>
      <c r="P483" s="409">
        <f>SUM(P484:P486)</f>
        <v>753196.4299622043</v>
      </c>
      <c r="Q483" s="413">
        <f t="shared" si="114"/>
        <v>3207588.3909371463</v>
      </c>
      <c r="R483" s="570"/>
      <c r="S483" s="570"/>
      <c r="T483" s="571"/>
    </row>
    <row r="484" spans="2:20" x14ac:dyDescent="0.2">
      <c r="B484" s="396" t="s">
        <v>1021</v>
      </c>
      <c r="L484" s="397">
        <f>SUMIF($U$27:$U$79,"=1",D$27:D$79)</f>
        <v>498032.3930175805</v>
      </c>
      <c r="M484" s="397">
        <f>SUMIF($U$27:$U$79,"=1",E$27:E$79)</f>
        <v>545161.36016991758</v>
      </c>
      <c r="N484" s="397">
        <f>SUMIF($U$27:$U$79,"=1",F$27:F$79)</f>
        <v>591391.87283057219</v>
      </c>
      <c r="O484" s="397">
        <f>SUMIF($U$27:$U$79,"=1",G$27:G$79)</f>
        <v>637567.02095687145</v>
      </c>
      <c r="P484" s="407">
        <f>SUMIF($U$27:$U$79,"=1",H$27:H$79)</f>
        <v>680726.77196220425</v>
      </c>
      <c r="Q484" s="411">
        <f t="shared" si="114"/>
        <v>2952879.4189371457</v>
      </c>
      <c r="R484" s="570"/>
      <c r="S484" s="570"/>
      <c r="T484" s="571"/>
    </row>
    <row r="485" spans="2:20" x14ac:dyDescent="0.2">
      <c r="B485" s="396" t="s">
        <v>1022</v>
      </c>
      <c r="L485" s="397">
        <f>SUMIF($U$27:$U$79,"=2",D$27:D$79)</f>
        <v>7542.3720000000003</v>
      </c>
      <c r="M485" s="397">
        <f>SUMIF($U$27:$U$79,"=2",E$27:E$79)</f>
        <v>29884.039999999997</v>
      </c>
      <c r="N485" s="397">
        <f>SUMIF($U$27:$U$79,"=2",F$27:F$79)</f>
        <v>51144.404999999999</v>
      </c>
      <c r="O485" s="397">
        <f>SUMIF($U$27:$U$79,"=2",G$27:G$79)</f>
        <v>54746.497000000003</v>
      </c>
      <c r="P485" s="407">
        <f>SUMIF($U$27:$U$79,"=2",H$27:H$79)</f>
        <v>58495.658000000003</v>
      </c>
      <c r="Q485" s="411">
        <f t="shared" si="114"/>
        <v>201812.97200000001</v>
      </c>
      <c r="R485" s="570"/>
      <c r="S485" s="570"/>
      <c r="T485" s="571"/>
    </row>
    <row r="486" spans="2:20" x14ac:dyDescent="0.2">
      <c r="B486" s="404" t="s">
        <v>1023</v>
      </c>
      <c r="L486" s="405">
        <f>SUMIF($U$27:$U$79,"=3",D$27:D$79)</f>
        <v>0</v>
      </c>
      <c r="M486" s="405">
        <f>SUMIF($U$27:$U$79,"=3",E$27:E$79)</f>
        <v>10974</v>
      </c>
      <c r="N486" s="405">
        <f>SUMIF($U$27:$U$79,"=3",F$27:F$79)</f>
        <v>13974</v>
      </c>
      <c r="O486" s="405">
        <f>SUMIF($U$27:$U$79,"=3",G$27:G$79)</f>
        <v>13974</v>
      </c>
      <c r="P486" s="410">
        <f>SUMIF($U$27:$U$79,"=3",H$27:H$79)</f>
        <v>13974</v>
      </c>
      <c r="Q486" s="414">
        <f t="shared" si="114"/>
        <v>52896</v>
      </c>
      <c r="R486" s="570"/>
      <c r="S486" s="570"/>
      <c r="T486" s="571"/>
    </row>
    <row r="487" spans="2:20" x14ac:dyDescent="0.2">
      <c r="B487" s="402" t="s">
        <v>1027</v>
      </c>
      <c r="L487" s="403">
        <f>SUM(L488:L490)</f>
        <v>10084.908015983427</v>
      </c>
      <c r="M487" s="403">
        <f>SUM(M488:M490)</f>
        <v>11951.512872319974</v>
      </c>
      <c r="N487" s="403">
        <f>SUM(N488:N490)</f>
        <v>15355.068047269218</v>
      </c>
      <c r="O487" s="403">
        <f>SUM(O488:O490)</f>
        <v>16499.717302845682</v>
      </c>
      <c r="P487" s="409">
        <f>SUM(P488:P490)</f>
        <v>16061.804711646975</v>
      </c>
      <c r="Q487" s="413">
        <f t="shared" si="114"/>
        <v>69953.010950065276</v>
      </c>
      <c r="R487" s="570"/>
      <c r="S487" s="570"/>
      <c r="T487" s="571"/>
    </row>
    <row r="488" spans="2:20" x14ac:dyDescent="0.2">
      <c r="B488" s="396" t="s">
        <v>1021</v>
      </c>
      <c r="L488" s="397">
        <f>SUMIF($U$82:$U$122,"=1",D$82:D$122)</f>
        <v>9144.2080159834259</v>
      </c>
      <c r="M488" s="397">
        <f>SUMIF($U$82:$U$122,"=1",E$82:E$122)</f>
        <v>10994.272872319973</v>
      </c>
      <c r="N488" s="397">
        <f>SUMIF($U$82:$U$122,"=1",F$82:F$122)</f>
        <v>11334.424047269218</v>
      </c>
      <c r="O488" s="397">
        <f>SUMIF($U$82:$U$122,"=1",G$82:G$122)</f>
        <v>11601.819302845683</v>
      </c>
      <c r="P488" s="407">
        <f>SUMIF($U$82:$U$122,"=1",H$82:H$122)</f>
        <v>10728.679711646975</v>
      </c>
      <c r="Q488" s="411">
        <f t="shared" si="114"/>
        <v>53803.403950065273</v>
      </c>
      <c r="R488" s="570"/>
      <c r="S488" s="570"/>
      <c r="T488" s="571"/>
    </row>
    <row r="489" spans="2:20" x14ac:dyDescent="0.2">
      <c r="B489" s="396" t="s">
        <v>1022</v>
      </c>
      <c r="L489" s="397">
        <f>SUMIF($U$82:$U$122,"=2",D$82:D$122)</f>
        <v>844.5</v>
      </c>
      <c r="M489" s="397">
        <f>SUMIF($U$82:$U$122,"=2",E$82:E$122)</f>
        <v>579.20000000000005</v>
      </c>
      <c r="N489" s="397">
        <f>SUMIF($U$82:$U$122,"=2",F$82:F$122)</f>
        <v>3716.5339999999997</v>
      </c>
      <c r="O489" s="397">
        <f>SUMIF($U$82:$U$122,"=2",G$82:G$122)</f>
        <v>4721.4179999999997</v>
      </c>
      <c r="P489" s="407">
        <f>SUMIF($U$82:$U$122,"=2",H$82:H$122)</f>
        <v>5156.2749999999996</v>
      </c>
      <c r="Q489" s="411">
        <f t="shared" si="114"/>
        <v>15017.926999999998</v>
      </c>
      <c r="R489" s="570"/>
      <c r="S489" s="570"/>
      <c r="T489" s="571"/>
    </row>
    <row r="490" spans="2:20" x14ac:dyDescent="0.2">
      <c r="B490" s="404" t="s">
        <v>1023</v>
      </c>
      <c r="L490" s="405">
        <f>SUMIF($U$82:$U$122,"=3",D$82:D$122)</f>
        <v>96.2</v>
      </c>
      <c r="M490" s="405">
        <f>SUMIF($U$82:$U$122,"=3",E$82:E$122)</f>
        <v>378.04</v>
      </c>
      <c r="N490" s="405">
        <f>SUMIF($U$82:$U$122,"=3",F$82:F$122)</f>
        <v>304.11</v>
      </c>
      <c r="O490" s="405">
        <f>SUMIF($U$82:$U$122,"=3",G$82:G$122)</f>
        <v>176.48</v>
      </c>
      <c r="P490" s="410">
        <f>SUMIF($U$82:$U$122,"=3",H$82:H$122)</f>
        <v>176.85</v>
      </c>
      <c r="Q490" s="414">
        <f t="shared" si="114"/>
        <v>1131.68</v>
      </c>
      <c r="R490" s="570"/>
      <c r="S490" s="570"/>
      <c r="T490" s="571"/>
    </row>
    <row r="491" spans="2:20" x14ac:dyDescent="0.2">
      <c r="B491" s="402" t="s">
        <v>1028</v>
      </c>
      <c r="L491" s="403">
        <f>SUM(L492:L494)</f>
        <v>139466.76568139895</v>
      </c>
      <c r="M491" s="403">
        <f>SUM(M492:M494)</f>
        <v>154901.79507845867</v>
      </c>
      <c r="N491" s="403">
        <f>SUM(N492:N494)</f>
        <v>173486.11571463221</v>
      </c>
      <c r="O491" s="403">
        <f>SUM(O492:O494)</f>
        <v>204836.2659192103</v>
      </c>
      <c r="P491" s="409">
        <f>SUM(P492:P494)</f>
        <v>223015.02759026669</v>
      </c>
      <c r="Q491" s="413">
        <f t="shared" si="114"/>
        <v>895705.96998396679</v>
      </c>
      <c r="R491" s="570"/>
      <c r="S491" s="570"/>
      <c r="T491" s="571"/>
    </row>
    <row r="492" spans="2:20" x14ac:dyDescent="0.2">
      <c r="B492" s="396" t="s">
        <v>1021</v>
      </c>
      <c r="L492" s="397">
        <f>SUMIF($U$124:$U$148,"=1",D$124:D$148)</f>
        <v>129909.03268139894</v>
      </c>
      <c r="M492" s="397">
        <f>SUMIF($U$124:$U$148,"=1",E$124:E$148)</f>
        <v>139071.56207845866</v>
      </c>
      <c r="N492" s="397">
        <f>SUMIF($U$124:$U$148,"=1",F$124:F$148)</f>
        <v>153433.8827146322</v>
      </c>
      <c r="O492" s="397">
        <f>SUMIF($U$124:$U$148,"=1",G$124:G$148)</f>
        <v>192107.1409192103</v>
      </c>
      <c r="P492" s="407">
        <f>SUMIF($U$124:$U$148,"=1",H$124:H$148)</f>
        <v>206997.90259026669</v>
      </c>
      <c r="Q492" s="411">
        <f t="shared" si="114"/>
        <v>821519.52098396677</v>
      </c>
      <c r="R492" s="570"/>
      <c r="S492" s="570"/>
      <c r="T492" s="571"/>
    </row>
    <row r="493" spans="2:20" x14ac:dyDescent="0.2">
      <c r="B493" s="396" t="s">
        <v>1022</v>
      </c>
      <c r="L493" s="397">
        <f>SUMIF($U$124:$U$148,"=2",D$124:D$148)</f>
        <v>9557.7330000000002</v>
      </c>
      <c r="M493" s="397">
        <f>SUMIF($U$124:$U$148,"=2",E$124:E$148)</f>
        <v>10726.733</v>
      </c>
      <c r="N493" s="397">
        <f>SUMIF($U$124:$U$148,"=2",F$124:F$148)</f>
        <v>14014.733</v>
      </c>
      <c r="O493" s="397">
        <f>SUMIF($U$124:$U$148,"=2",G$124:G$148)</f>
        <v>10629.125</v>
      </c>
      <c r="P493" s="407">
        <f>SUMIF($U$124:$U$148,"=2",H$124:H$148)</f>
        <v>13917.125</v>
      </c>
      <c r="Q493" s="411">
        <f t="shared" si="114"/>
        <v>58845.449000000001</v>
      </c>
      <c r="R493" s="570"/>
      <c r="S493" s="570"/>
      <c r="T493" s="571"/>
    </row>
    <row r="494" spans="2:20" x14ac:dyDescent="0.2">
      <c r="B494" s="404" t="s">
        <v>1023</v>
      </c>
      <c r="L494" s="405">
        <f>SUMIF($U$124:$U$148,"=3",D$124:D$148)</f>
        <v>0</v>
      </c>
      <c r="M494" s="405">
        <f>SUMIF($U$124:$U$148,"=3",E$124:E$148)</f>
        <v>5103.5</v>
      </c>
      <c r="N494" s="405">
        <f>SUMIF($U$124:$U$148,"=3",F$124:F$148)</f>
        <v>6037.5</v>
      </c>
      <c r="O494" s="405">
        <f>SUMIF($U$124:$U$148,"=3",G$124:G$148)</f>
        <v>2100</v>
      </c>
      <c r="P494" s="410">
        <f>SUMIF($U$124:$U$148,"=3",H$124:H$148)</f>
        <v>2100</v>
      </c>
      <c r="Q494" s="414">
        <f t="shared" si="114"/>
        <v>15341</v>
      </c>
      <c r="R494" s="570"/>
      <c r="S494" s="570"/>
      <c r="T494" s="571"/>
    </row>
    <row r="495" spans="2:20" x14ac:dyDescent="0.2">
      <c r="B495" s="402" t="s">
        <v>1029</v>
      </c>
      <c r="L495" s="403">
        <f>SUM(L496:L498)</f>
        <v>144129.66024233619</v>
      </c>
      <c r="M495" s="403">
        <f>SUM(M496:M498)</f>
        <v>179446.78911333758</v>
      </c>
      <c r="N495" s="403">
        <f>SUM(N496:N498)</f>
        <v>192162.61850446844</v>
      </c>
      <c r="O495" s="403">
        <f>SUM(O496:O498)</f>
        <v>200615.02158609108</v>
      </c>
      <c r="P495" s="409">
        <f>SUM(P496:P498)</f>
        <v>214152.68103409512</v>
      </c>
      <c r="Q495" s="413">
        <f t="shared" si="114"/>
        <v>930506.77048032847</v>
      </c>
      <c r="R495" s="570"/>
      <c r="S495" s="570"/>
      <c r="T495" s="571"/>
    </row>
    <row r="496" spans="2:20" x14ac:dyDescent="0.2">
      <c r="B496" s="396" t="s">
        <v>1021</v>
      </c>
      <c r="L496" s="397">
        <f>SUMIF($U$150:$U$181,"=1",D$150:D$181)</f>
        <v>84836.160242336191</v>
      </c>
      <c r="M496" s="397">
        <f>SUMIF($U$150:$U$181,"=1",E$150:E$181)</f>
        <v>114668.2891133376</v>
      </c>
      <c r="N496" s="397">
        <f>SUMIF($U$150:$U$181,"=1",F$150:F$181)</f>
        <v>119595.24350446844</v>
      </c>
      <c r="O496" s="397">
        <f>SUMIF($U$150:$U$181,"=1",G$150:G$181)</f>
        <v>131357.92758609107</v>
      </c>
      <c r="P496" s="407">
        <f>SUMIF($U$150:$U$181,"=1",H$150:H$181)</f>
        <v>143961.45803409512</v>
      </c>
      <c r="Q496" s="411">
        <f t="shared" si="114"/>
        <v>594419.07848032843</v>
      </c>
      <c r="R496" s="570"/>
      <c r="S496" s="570"/>
      <c r="T496" s="571"/>
    </row>
    <row r="497" spans="2:21" x14ac:dyDescent="0.2">
      <c r="B497" s="396" t="s">
        <v>1022</v>
      </c>
      <c r="L497" s="397">
        <f>SUMIF($U$150:$U$181,"=2",D$150:D$181)</f>
        <v>59293.5</v>
      </c>
      <c r="M497" s="397">
        <f>SUMIF($U$150:$U$181,"=2",E$150:E$181)</f>
        <v>60768.5</v>
      </c>
      <c r="N497" s="397">
        <f>SUMIF($U$150:$U$181,"=2",F$150:F$181)</f>
        <v>61584.375</v>
      </c>
      <c r="O497" s="397">
        <f>SUMIF($U$150:$U$181,"=2",G$150:G$181)</f>
        <v>62430.093999999997</v>
      </c>
      <c r="P497" s="407">
        <f>SUMIF($U$150:$U$181,"=2",H$150:H$181)</f>
        <v>63364.222999999998</v>
      </c>
      <c r="Q497" s="411">
        <f t="shared" si="114"/>
        <v>307440.69199999998</v>
      </c>
      <c r="R497" s="570"/>
      <c r="S497" s="570"/>
      <c r="T497" s="571"/>
    </row>
    <row r="498" spans="2:21" x14ac:dyDescent="0.2">
      <c r="B498" s="404" t="s">
        <v>1023</v>
      </c>
      <c r="L498" s="405">
        <f>SUMIF($U$150:$U$181,"=3",D$150:D$181)</f>
        <v>0</v>
      </c>
      <c r="M498" s="405">
        <f>SUMIF($U$150:$U$181,"=3",E$150:E$181)</f>
        <v>4010</v>
      </c>
      <c r="N498" s="405">
        <f>SUMIF($U$150:$U$181,"=3",F$150:F$181)</f>
        <v>10983</v>
      </c>
      <c r="O498" s="405">
        <f>SUMIF($U$150:$U$181,"=3",G$150:G$181)</f>
        <v>6827</v>
      </c>
      <c r="P498" s="410">
        <f>SUMIF($U$150:$U$181,"=3",H$150:H$181)</f>
        <v>6827</v>
      </c>
      <c r="Q498" s="414">
        <f t="shared" si="114"/>
        <v>28647</v>
      </c>
      <c r="R498" s="570"/>
      <c r="S498" s="570"/>
      <c r="T498" s="571"/>
    </row>
    <row r="499" spans="2:21" x14ac:dyDescent="0.2">
      <c r="B499" s="402" t="s">
        <v>1030</v>
      </c>
      <c r="L499" s="403">
        <f>SUM(L500:L502)</f>
        <v>87653.26999999999</v>
      </c>
      <c r="M499" s="403">
        <f>SUM(M500:M502)</f>
        <v>80497.459999999992</v>
      </c>
      <c r="N499" s="403">
        <f>SUM(N500:N502)</f>
        <v>96670.97</v>
      </c>
      <c r="O499" s="403">
        <f>SUM(O500:O502)</f>
        <v>83354.430000000008</v>
      </c>
      <c r="P499" s="409">
        <f>SUM(P500:P502)</f>
        <v>102857.3</v>
      </c>
      <c r="Q499" s="413">
        <f t="shared" si="114"/>
        <v>451033.42999999993</v>
      </c>
      <c r="R499" s="570"/>
      <c r="S499" s="570"/>
      <c r="T499" s="571"/>
    </row>
    <row r="500" spans="2:21" x14ac:dyDescent="0.2">
      <c r="B500" s="396" t="s">
        <v>1021</v>
      </c>
      <c r="L500" s="397">
        <f>SUMIF($U$183:$U$215,"=1",D$183:D$215)</f>
        <v>52147.069999999992</v>
      </c>
      <c r="M500" s="397">
        <f>SUMIF($U$183:$U$215,"=1",E$183:E$215)</f>
        <v>55337.36</v>
      </c>
      <c r="N500" s="397">
        <f>SUMIF($U$183:$U$215,"=1",F$183:F$215)</f>
        <v>58576.119999999995</v>
      </c>
      <c r="O500" s="397">
        <f>SUMIF($U$183:$U$215,"=1",G$183:G$215)</f>
        <v>59377.53</v>
      </c>
      <c r="P500" s="407">
        <f>SUMIF($U$183:$U$215,"=1",H$183:H$215)</f>
        <v>67754.45</v>
      </c>
      <c r="Q500" s="411">
        <f t="shared" si="114"/>
        <v>293192.52999999997</v>
      </c>
      <c r="R500" s="570"/>
      <c r="S500" s="570"/>
      <c r="T500" s="571"/>
    </row>
    <row r="501" spans="2:21" x14ac:dyDescent="0.2">
      <c r="B501" s="396" t="s">
        <v>1022</v>
      </c>
      <c r="L501" s="397">
        <f>SUMIF($U$183:$U$215,"=2",D$183:D$215)</f>
        <v>35468.699999999997</v>
      </c>
      <c r="M501" s="397">
        <f>SUMIF($U$183:$U$215,"=2",E$183:E$215)</f>
        <v>25160.1</v>
      </c>
      <c r="N501" s="397">
        <f>SUMIF($U$183:$U$215,"=2",F$183:F$215)</f>
        <v>36844.050000000003</v>
      </c>
      <c r="O501" s="397">
        <f>SUMIF($U$183:$U$215,"=2",G$183:G$215)</f>
        <v>23702.1</v>
      </c>
      <c r="P501" s="407">
        <f>SUMIF($U$183:$U$215,"=2",H$183:H$215)</f>
        <v>34828.050000000003</v>
      </c>
      <c r="Q501" s="411">
        <f t="shared" si="114"/>
        <v>156003</v>
      </c>
      <c r="R501" s="570"/>
      <c r="S501" s="570"/>
      <c r="T501" s="571"/>
    </row>
    <row r="502" spans="2:21" x14ac:dyDescent="0.2">
      <c r="B502" s="404" t="s">
        <v>1023</v>
      </c>
      <c r="L502" s="405">
        <f>SUMIF($U$183:$U$215,"=3",D$183:D$215)</f>
        <v>37.5</v>
      </c>
      <c r="M502" s="405">
        <f>SUMIF($U$183:$U$215,"=3",E$183:E$215)</f>
        <v>0</v>
      </c>
      <c r="N502" s="405">
        <f>SUMIF($U$183:$U$215,"=3",F$183:F$215)</f>
        <v>1250.8</v>
      </c>
      <c r="O502" s="405">
        <f>SUMIF($U$183:$U$215,"=3",G$183:G$215)</f>
        <v>274.8</v>
      </c>
      <c r="P502" s="410">
        <f>SUMIF($U$183:$U$215,"=3",H$183:H$215)</f>
        <v>274.8</v>
      </c>
      <c r="Q502" s="414">
        <f t="shared" si="114"/>
        <v>1837.8999999999999</v>
      </c>
      <c r="R502" s="570"/>
      <c r="S502" s="570"/>
      <c r="T502" s="571"/>
    </row>
    <row r="503" spans="2:21" x14ac:dyDescent="0.2">
      <c r="B503" s="402" t="s">
        <v>1031</v>
      </c>
      <c r="L503" s="403">
        <f>SUM(L504:L506)</f>
        <v>220454.04368609143</v>
      </c>
      <c r="M503" s="403">
        <f>SUM(M504:M506)</f>
        <v>301545.36468999635</v>
      </c>
      <c r="N503" s="403">
        <f>SUM(N504:N506)</f>
        <v>326003.56076659355</v>
      </c>
      <c r="O503" s="403">
        <f>SUM(O504:O506)</f>
        <v>335117.79454020696</v>
      </c>
      <c r="P503" s="409">
        <f>SUM(P504:P506)</f>
        <v>353767.24899435451</v>
      </c>
      <c r="Q503" s="413">
        <f t="shared" si="114"/>
        <v>1536888.012677243</v>
      </c>
      <c r="R503" s="570"/>
      <c r="S503" s="570"/>
      <c r="T503" s="571"/>
      <c r="U503" s="608"/>
    </row>
    <row r="504" spans="2:21" x14ac:dyDescent="0.2">
      <c r="B504" s="396" t="s">
        <v>1021</v>
      </c>
      <c r="L504" s="397">
        <f>SUMIF($U$217:$U$262,"=1",D$217:D$262)</f>
        <v>205034.29368609143</v>
      </c>
      <c r="M504" s="397">
        <f t="shared" ref="M504:P504" si="115">SUMIF($U$217:$U$262,"=1",E$217:E$262)</f>
        <v>226358.2146899963</v>
      </c>
      <c r="N504" s="397">
        <f t="shared" si="115"/>
        <v>250147.51076659356</v>
      </c>
      <c r="O504" s="397">
        <f t="shared" si="115"/>
        <v>270570.29454020696</v>
      </c>
      <c r="P504" s="407">
        <f t="shared" si="115"/>
        <v>294025.24899435451</v>
      </c>
      <c r="Q504" s="411">
        <f t="shared" si="114"/>
        <v>1246135.5626772428</v>
      </c>
      <c r="R504" s="570"/>
      <c r="S504" s="570"/>
      <c r="T504" s="571"/>
      <c r="U504" s="608"/>
    </row>
    <row r="505" spans="2:21" x14ac:dyDescent="0.2">
      <c r="B505" s="396" t="s">
        <v>1022</v>
      </c>
      <c r="L505" s="397">
        <f>SUMIF($U$217:$U$262,"=2",D$217:D$262)</f>
        <v>14427</v>
      </c>
      <c r="M505" s="397">
        <f t="shared" ref="M505:P505" si="116">SUMIF($U$217:$U$262,"=2",E$217:E$262)</f>
        <v>68719.25</v>
      </c>
      <c r="N505" s="397">
        <f t="shared" si="116"/>
        <v>71490.25</v>
      </c>
      <c r="O505" s="397">
        <f t="shared" si="116"/>
        <v>62737.5</v>
      </c>
      <c r="P505" s="407">
        <f t="shared" si="116"/>
        <v>57997.5</v>
      </c>
      <c r="Q505" s="411">
        <f t="shared" si="114"/>
        <v>275371.5</v>
      </c>
      <c r="R505" s="570"/>
      <c r="S505" s="570"/>
      <c r="T505" s="571"/>
    </row>
    <row r="506" spans="2:21" x14ac:dyDescent="0.2">
      <c r="B506" s="404" t="s">
        <v>1023</v>
      </c>
      <c r="L506" s="405">
        <f>SUMIF($U$217:$U$262,"=3",D$217:D$262)</f>
        <v>992.75</v>
      </c>
      <c r="M506" s="405">
        <f t="shared" ref="M506:P506" si="117">SUMIF($U$217:$U$262,"=3",E$217:E$262)</f>
        <v>6467.9</v>
      </c>
      <c r="N506" s="405">
        <f t="shared" si="117"/>
        <v>4365.7999999999993</v>
      </c>
      <c r="O506" s="405">
        <f t="shared" si="117"/>
        <v>1810</v>
      </c>
      <c r="P506" s="410">
        <f t="shared" si="117"/>
        <v>1744.5</v>
      </c>
      <c r="Q506" s="414">
        <f t="shared" si="114"/>
        <v>15380.949999999999</v>
      </c>
      <c r="R506" s="570"/>
      <c r="S506" s="570"/>
      <c r="T506" s="571"/>
    </row>
    <row r="507" spans="2:21" x14ac:dyDescent="0.2">
      <c r="B507" s="402" t="s">
        <v>1404</v>
      </c>
      <c r="L507" s="403">
        <f>SUM(L508:L510)</f>
        <v>121076.20000000004</v>
      </c>
      <c r="M507" s="403">
        <f>SUM(M508:M510)</f>
        <v>131917.95299999998</v>
      </c>
      <c r="N507" s="403">
        <f>SUM(N508:N510)</f>
        <v>143217.31300000002</v>
      </c>
      <c r="O507" s="403">
        <f>SUM(O508:O510)</f>
        <v>159198.63</v>
      </c>
      <c r="P507" s="409">
        <f>SUM(P508:P510)</f>
        <v>178477.69</v>
      </c>
      <c r="Q507" s="413">
        <f t="shared" si="114"/>
        <v>733887.78600000008</v>
      </c>
      <c r="R507" s="570"/>
      <c r="S507" s="570"/>
      <c r="T507" s="571"/>
    </row>
    <row r="508" spans="2:21" x14ac:dyDescent="0.2">
      <c r="B508" s="396" t="s">
        <v>1021</v>
      </c>
      <c r="L508" s="397">
        <f>SUMIF($U$264:$U$353,"=1",D$264:D$353)</f>
        <v>0</v>
      </c>
      <c r="M508" s="397">
        <f t="shared" ref="M508:P508" si="118">SUMIF($U$264:$U$353,"=1",E$264:E$353)</f>
        <v>0</v>
      </c>
      <c r="N508" s="397">
        <f t="shared" si="118"/>
        <v>0</v>
      </c>
      <c r="O508" s="397">
        <f t="shared" si="118"/>
        <v>0</v>
      </c>
      <c r="P508" s="407">
        <f t="shared" si="118"/>
        <v>0</v>
      </c>
      <c r="Q508" s="411">
        <f t="shared" si="114"/>
        <v>0</v>
      </c>
      <c r="R508" s="570"/>
      <c r="S508" s="570"/>
      <c r="T508" s="571"/>
    </row>
    <row r="509" spans="2:21" x14ac:dyDescent="0.2">
      <c r="B509" s="396" t="s">
        <v>1022</v>
      </c>
      <c r="L509" s="397">
        <f>SUMIF($U$264:$U$353,"=2",D$264:D$353)</f>
        <v>0</v>
      </c>
      <c r="M509" s="397">
        <f t="shared" ref="M509:P509" si="119">SUMIF($U$264:$U$353,"=2",E$264:E$353)</f>
        <v>0</v>
      </c>
      <c r="N509" s="397">
        <f t="shared" si="119"/>
        <v>0</v>
      </c>
      <c r="O509" s="397">
        <f t="shared" si="119"/>
        <v>0</v>
      </c>
      <c r="P509" s="407">
        <f t="shared" si="119"/>
        <v>0</v>
      </c>
      <c r="Q509" s="411">
        <f t="shared" si="114"/>
        <v>0</v>
      </c>
      <c r="R509" s="570"/>
      <c r="S509" s="570"/>
      <c r="T509" s="571"/>
    </row>
    <row r="510" spans="2:21" ht="12" thickBot="1" x14ac:dyDescent="0.25">
      <c r="B510" s="404" t="s">
        <v>1023</v>
      </c>
      <c r="L510" s="405">
        <f>SUMIF($U$264:$U$353,"=3",D$264:D$353)</f>
        <v>121076.20000000004</v>
      </c>
      <c r="M510" s="405">
        <f t="shared" ref="M510:P510" si="120">SUMIF($U$264:$U$353,"=3",E$264:E$353)</f>
        <v>131917.95299999998</v>
      </c>
      <c r="N510" s="405">
        <f t="shared" si="120"/>
        <v>143217.31300000002</v>
      </c>
      <c r="O510" s="405">
        <f t="shared" si="120"/>
        <v>159198.63</v>
      </c>
      <c r="P510" s="410">
        <f t="shared" si="120"/>
        <v>178477.69</v>
      </c>
      <c r="Q510" s="414">
        <f t="shared" si="114"/>
        <v>733887.78600000008</v>
      </c>
      <c r="R510" s="570"/>
      <c r="S510" s="570"/>
      <c r="T510" s="571"/>
    </row>
    <row r="511" spans="2:21" ht="12" thickTop="1" x14ac:dyDescent="0.2">
      <c r="B511" s="415" t="s">
        <v>963</v>
      </c>
      <c r="L511" s="416">
        <f>SUM(L512:L514)</f>
        <v>1239553.0626433904</v>
      </c>
      <c r="M511" s="416">
        <f>SUM(M512:M514)</f>
        <v>1461511.67492403</v>
      </c>
      <c r="N511" s="416">
        <f>SUM(N512:N514)</f>
        <v>1635857.4238635357</v>
      </c>
      <c r="O511" s="416">
        <f>SUM(O512:O514)</f>
        <v>1742951.3773052252</v>
      </c>
      <c r="P511" s="417">
        <f>SUM(P512:P514)</f>
        <v>1883244.3822925675</v>
      </c>
      <c r="Q511" s="418">
        <f>SUM(L511:P511)</f>
        <v>7963117.9210287491</v>
      </c>
      <c r="R511" s="570"/>
      <c r="S511" s="570"/>
      <c r="T511" s="571"/>
    </row>
    <row r="512" spans="2:21" ht="13.5" customHeight="1" x14ac:dyDescent="0.2">
      <c r="B512" s="396" t="s">
        <v>1021</v>
      </c>
      <c r="L512" s="397">
        <f>L508+L504+L500+L496+L492+L488+L484+L480</f>
        <v>988969.35764339031</v>
      </c>
      <c r="M512" s="397">
        <f t="shared" ref="M512:P512" si="121">M508+M504+M500+M496+M492+M488+M484+M480</f>
        <v>1104640.95892403</v>
      </c>
      <c r="N512" s="397">
        <f t="shared" si="121"/>
        <v>1214522.0538635356</v>
      </c>
      <c r="O512" s="397">
        <f t="shared" si="121"/>
        <v>1337167.2333052254</v>
      </c>
      <c r="P512" s="407">
        <f t="shared" si="121"/>
        <v>1443256.2112925674</v>
      </c>
      <c r="Q512" s="411">
        <f t="shared" ref="Q512" si="122">Q508+Q504+Q500+Q496+Q492+Q488+Q484+Q480</f>
        <v>6088555.8150287494</v>
      </c>
      <c r="R512" s="570"/>
      <c r="S512" s="570"/>
      <c r="T512" s="571"/>
    </row>
    <row r="513" spans="1:70" x14ac:dyDescent="0.2">
      <c r="B513" s="396" t="s">
        <v>1022</v>
      </c>
      <c r="L513" s="397">
        <f t="shared" ref="L513:P513" si="123">L509+L505+L501+L497+L493+L489+L485+L481</f>
        <v>128171.05499999999</v>
      </c>
      <c r="M513" s="397">
        <f t="shared" si="123"/>
        <v>197749.32300000003</v>
      </c>
      <c r="N513" s="397">
        <f t="shared" si="123"/>
        <v>240872.84699999998</v>
      </c>
      <c r="O513" s="397">
        <f t="shared" si="123"/>
        <v>221243.23400000003</v>
      </c>
      <c r="P513" s="407">
        <f t="shared" si="123"/>
        <v>236233.33099999998</v>
      </c>
      <c r="Q513" s="411">
        <f t="shared" ref="Q513" si="124">Q509+Q505+Q501+Q497+Q493+Q489+Q485+Q481</f>
        <v>1024269.79</v>
      </c>
      <c r="R513" s="570"/>
      <c r="S513" s="570"/>
      <c r="T513" s="571"/>
    </row>
    <row r="514" spans="1:70" ht="12" thickBot="1" x14ac:dyDescent="0.25">
      <c r="B514" s="398" t="s">
        <v>1023</v>
      </c>
      <c r="L514" s="399">
        <f t="shared" ref="L514:P514" si="125">L510+L506+L502+L498+L494+L490+L486+L482</f>
        <v>122412.65000000004</v>
      </c>
      <c r="M514" s="399">
        <f t="shared" si="125"/>
        <v>159121.39299999998</v>
      </c>
      <c r="N514" s="399">
        <f t="shared" si="125"/>
        <v>180462.52299999999</v>
      </c>
      <c r="O514" s="399">
        <f t="shared" si="125"/>
        <v>184540.91</v>
      </c>
      <c r="P514" s="419">
        <f t="shared" si="125"/>
        <v>203754.84</v>
      </c>
      <c r="Q514" s="420">
        <f t="shared" ref="Q514" si="126">Q510+Q506+Q502+Q498+Q494+Q490+Q486+Q482</f>
        <v>850292.31600000011</v>
      </c>
      <c r="R514" s="570"/>
      <c r="S514" s="570"/>
      <c r="T514" s="571"/>
    </row>
    <row r="515" spans="1:70" ht="12" thickTop="1" x14ac:dyDescent="0.2">
      <c r="R515" s="570"/>
      <c r="S515" s="570"/>
      <c r="T515" s="570"/>
      <c r="U515" s="571"/>
    </row>
    <row r="516" spans="1:70" x14ac:dyDescent="0.2">
      <c r="C516" s="47"/>
      <c r="R516" s="570"/>
      <c r="S516" s="570"/>
      <c r="T516" s="570"/>
      <c r="U516" s="571"/>
    </row>
    <row r="521" spans="1:70" ht="12" x14ac:dyDescent="0.2">
      <c r="A521" s="308" t="s">
        <v>140</v>
      </c>
    </row>
    <row r="522" spans="1:70" ht="12" x14ac:dyDescent="0.2">
      <c r="A522" s="55" t="s">
        <v>141</v>
      </c>
    </row>
    <row r="523" spans="1:70" x14ac:dyDescent="0.2">
      <c r="A523" s="310" t="s">
        <v>1637</v>
      </c>
    </row>
    <row r="524" spans="1:70" hidden="1" x14ac:dyDescent="0.2"/>
    <row r="525" spans="1:70" s="572" customFormat="1" ht="12" hidden="1" thickBot="1" x14ac:dyDescent="0.25">
      <c r="Q525" s="619" t="s">
        <v>1435</v>
      </c>
    </row>
    <row r="526" spans="1:70" s="572" customFormat="1" ht="23.25" hidden="1" thickTop="1" x14ac:dyDescent="0.2">
      <c r="B526" s="620"/>
      <c r="C526" s="621"/>
      <c r="D526" s="621"/>
      <c r="E526" s="621"/>
      <c r="F526" s="621"/>
      <c r="G526" s="621"/>
      <c r="H526" s="621"/>
      <c r="I526" s="621"/>
      <c r="J526" s="621"/>
      <c r="K526" s="621"/>
      <c r="L526" s="622">
        <v>2016</v>
      </c>
      <c r="M526" s="622">
        <f>L526+1</f>
        <v>2017</v>
      </c>
      <c r="N526" s="622">
        <f>M526+1</f>
        <v>2018</v>
      </c>
      <c r="O526" s="622">
        <f>N526+1</f>
        <v>2019</v>
      </c>
      <c r="P526" s="622">
        <f>O526+1</f>
        <v>2020</v>
      </c>
      <c r="Q526" s="622" t="s">
        <v>8</v>
      </c>
      <c r="R526" s="611" t="s">
        <v>1434</v>
      </c>
      <c r="U526" s="572">
        <v>1</v>
      </c>
      <c r="V526" s="572">
        <v>2</v>
      </c>
      <c r="W526" s="572">
        <v>3</v>
      </c>
      <c r="X526" s="572">
        <v>4</v>
      </c>
      <c r="Y526" s="572">
        <v>5</v>
      </c>
      <c r="Z526" s="572">
        <v>6</v>
      </c>
      <c r="AA526" s="572">
        <v>7</v>
      </c>
      <c r="AB526" s="572">
        <v>8</v>
      </c>
      <c r="AC526" s="572">
        <v>9</v>
      </c>
      <c r="AD526" s="572">
        <v>10</v>
      </c>
      <c r="AE526" s="572">
        <v>11</v>
      </c>
      <c r="AF526" s="572">
        <v>12</v>
      </c>
      <c r="AG526" s="572">
        <v>13</v>
      </c>
      <c r="AH526" s="572">
        <v>14</v>
      </c>
      <c r="AI526" s="572">
        <v>15</v>
      </c>
      <c r="AJ526" s="572">
        <v>16</v>
      </c>
      <c r="AK526" s="572">
        <v>17</v>
      </c>
      <c r="AL526" s="572">
        <v>18</v>
      </c>
      <c r="AM526" s="572">
        <v>19</v>
      </c>
      <c r="AN526" s="572">
        <v>20</v>
      </c>
      <c r="AO526" s="572">
        <v>21</v>
      </c>
      <c r="AP526" s="572">
        <v>22</v>
      </c>
      <c r="AQ526" s="572">
        <v>23</v>
      </c>
      <c r="AR526" s="572">
        <v>24</v>
      </c>
      <c r="AS526" s="572">
        <v>25</v>
      </c>
      <c r="AT526" s="572">
        <v>26</v>
      </c>
      <c r="AU526" s="572">
        <v>27</v>
      </c>
      <c r="AV526" s="572">
        <v>28</v>
      </c>
      <c r="AW526" s="572">
        <v>29</v>
      </c>
      <c r="AX526" s="572">
        <v>30</v>
      </c>
      <c r="AY526" s="572">
        <v>31</v>
      </c>
      <c r="AZ526" s="572">
        <v>32</v>
      </c>
      <c r="BA526" s="572">
        <v>33</v>
      </c>
      <c r="BB526" s="572">
        <v>34</v>
      </c>
      <c r="BC526" s="572">
        <v>35</v>
      </c>
      <c r="BD526" s="572">
        <v>36</v>
      </c>
      <c r="BE526" s="572">
        <v>37</v>
      </c>
      <c r="BF526" s="572">
        <v>38</v>
      </c>
      <c r="BG526" s="572">
        <v>39</v>
      </c>
      <c r="BH526" s="572">
        <v>40</v>
      </c>
      <c r="BI526" s="572">
        <v>41</v>
      </c>
      <c r="BJ526" s="572">
        <v>42</v>
      </c>
      <c r="BK526" s="572">
        <v>43</v>
      </c>
      <c r="BL526" s="572">
        <v>44</v>
      </c>
      <c r="BM526" s="572">
        <v>45</v>
      </c>
      <c r="BN526" s="572">
        <v>46</v>
      </c>
      <c r="BO526" s="572">
        <v>47</v>
      </c>
      <c r="BP526" s="572">
        <v>48</v>
      </c>
      <c r="BQ526" s="572">
        <v>49</v>
      </c>
      <c r="BR526" s="572">
        <v>50</v>
      </c>
    </row>
    <row r="527" spans="1:70" s="572" customFormat="1" hidden="1" x14ac:dyDescent="0.2">
      <c r="B527" s="623" t="s">
        <v>829</v>
      </c>
      <c r="C527" s="624"/>
      <c r="D527" s="624"/>
      <c r="E527" s="624"/>
      <c r="F527" s="624"/>
      <c r="G527" s="624"/>
      <c r="H527" s="624"/>
      <c r="I527" s="624"/>
      <c r="J527" s="624"/>
      <c r="K527" s="624"/>
      <c r="L527" s="625">
        <f>(SUMIF('PA-Détails'!$R$1709:$R$2514,"=" &amp;'PA-Synthèse'!$B527,'PA-Détails'!L$1709:L$2514))/1000</f>
        <v>220.9</v>
      </c>
      <c r="M527" s="625">
        <f>(SUMIF('PA-Détails'!$R$1709:$R$2514,"=" &amp;'PA-Synthèse'!$B527,'PA-Détails'!M$1709:M$2514))/1000</f>
        <v>104.8</v>
      </c>
      <c r="N527" s="625">
        <f>(SUMIF('PA-Détails'!$R$1709:$R$2514,"=" &amp;'PA-Synthèse'!$B527,'PA-Détails'!N$1709:N$2514))/1000</f>
        <v>104.8</v>
      </c>
      <c r="O527" s="625">
        <f>(SUMIF('PA-Détails'!$R$1709:$R$2514,"=" &amp;'PA-Synthèse'!$B527,'PA-Détails'!O$1709:O$2514))/1000</f>
        <v>104.8</v>
      </c>
      <c r="P527" s="625">
        <f>(SUMIF('PA-Détails'!$R$1709:$R$2514,"=" &amp;'PA-Synthèse'!$B527,'PA-Détails'!P$1709:P$2514))/1000</f>
        <v>104.8</v>
      </c>
      <c r="Q527" s="625">
        <f>(SUMIF('PA-Détails'!$R$1709:$R$2514,"=" &amp;'PA-Synthèse'!$B527,'PA-Détails'!Q$1709:Q$2514))/1000</f>
        <v>640.1</v>
      </c>
      <c r="R527" s="612">
        <f>COUNTIF('PA-Détails'!$R$1709:$R$2514,"=" &amp;'PA-Synthèse'!$B527)</f>
        <v>3</v>
      </c>
      <c r="S527" s="572" t="str">
        <f t="shared" ref="S527:S533" si="127">CONCATENATE(U527," ; ",V527," ; ",W527," ; ",X527," ; ",Y527)</f>
        <v xml:space="preserve">8.14.1.1 Définir un plan de communication spécifique à la scolarisation des filles ; 8.14.1.2 Développer des outils et des supports ; 8.14.1.3 Assurer des campagnes de sensibilisation et de communication ;  ; </v>
      </c>
      <c r="T527" s="572">
        <f>47-COUNTBLANK(U527:BO527)</f>
        <v>3</v>
      </c>
      <c r="U527" s="572" t="s">
        <v>1293</v>
      </c>
      <c r="V527" s="572" t="s">
        <v>1294</v>
      </c>
      <c r="W527" s="572" t="s">
        <v>1295</v>
      </c>
    </row>
    <row r="528" spans="1:70" s="572" customFormat="1" hidden="1" x14ac:dyDescent="0.2">
      <c r="B528" s="623" t="s">
        <v>574</v>
      </c>
      <c r="C528" s="624"/>
      <c r="D528" s="624"/>
      <c r="E528" s="624"/>
      <c r="F528" s="624"/>
      <c r="G528" s="624"/>
      <c r="H528" s="624"/>
      <c r="I528" s="624"/>
      <c r="J528" s="624"/>
      <c r="K528" s="624"/>
      <c r="L528" s="625">
        <f>(SUMIF('PA-Détails'!$R$1709:$R$2514,"=" &amp;'PA-Synthèse'!$B528,'PA-Détails'!L$1709:L$2514))/1000</f>
        <v>0</v>
      </c>
      <c r="M528" s="625">
        <f>(SUMIF('PA-Détails'!$R$1709:$R$2514,"=" &amp;'PA-Synthèse'!$B528,'PA-Détails'!M$1709:M$2514))/1000</f>
        <v>11.5</v>
      </c>
      <c r="N528" s="625">
        <f>(SUMIF('PA-Détails'!$R$1709:$R$2514,"=" &amp;'PA-Synthèse'!$B528,'PA-Détails'!N$1709:N$2514))/1000</f>
        <v>0</v>
      </c>
      <c r="O528" s="625">
        <f>(SUMIF('PA-Détails'!$R$1709:$R$2514,"=" &amp;'PA-Synthèse'!$B528,'PA-Détails'!O$1709:O$2514))/1000</f>
        <v>0</v>
      </c>
      <c r="P528" s="625">
        <f>(SUMIF('PA-Détails'!$R$1709:$R$2514,"=" &amp;'PA-Synthèse'!$B528,'PA-Détails'!P$1709:P$2514))/1000</f>
        <v>0</v>
      </c>
      <c r="Q528" s="625">
        <f>(SUMIF('PA-Détails'!$R$1709:$R$2514,"=" &amp;'PA-Synthèse'!$B528,'PA-Détails'!Q$1709:Q$2514))/1000</f>
        <v>11.5</v>
      </c>
      <c r="R528" s="612">
        <f>COUNTIF('PA-Détails'!$R$1709:$R$2514,"=" &amp;'PA-Synthèse'!$B528)</f>
        <v>1</v>
      </c>
      <c r="S528" s="572" t="str">
        <f t="shared" si="127"/>
        <v xml:space="preserve">3.1.3.1 Recensement des disparités et élaboration d'un plan de réduction des disparités ;  ;  ;  ; </v>
      </c>
      <c r="T528" s="572">
        <f t="shared" ref="T528:T588" si="128">47-COUNTBLANK(U528:BO528)</f>
        <v>1</v>
      </c>
      <c r="U528" s="572" t="s">
        <v>1061</v>
      </c>
    </row>
    <row r="529" spans="2:37" s="572" customFormat="1" hidden="1" x14ac:dyDescent="0.2">
      <c r="B529" s="623" t="s">
        <v>852</v>
      </c>
      <c r="C529" s="624"/>
      <c r="D529" s="624"/>
      <c r="E529" s="624"/>
      <c r="F529" s="624"/>
      <c r="G529" s="624"/>
      <c r="H529" s="624"/>
      <c r="I529" s="624"/>
      <c r="J529" s="624"/>
      <c r="K529" s="624"/>
      <c r="L529" s="625">
        <f>(SUMIF('PA-Détails'!$R$1709:$R$2514,"=" &amp;'PA-Synthèse'!$B529,'PA-Détails'!L$1709:L$2514))/1000</f>
        <v>129.6</v>
      </c>
      <c r="M529" s="625">
        <f>(SUMIF('PA-Détails'!$R$1709:$R$2514,"=" &amp;'PA-Synthèse'!$B529,'PA-Détails'!M$1709:M$2514))/1000</f>
        <v>111.6</v>
      </c>
      <c r="N529" s="625">
        <f>(SUMIF('PA-Détails'!$R$1709:$R$2514,"=" &amp;'PA-Synthèse'!$B529,'PA-Détails'!N$1709:N$2514))/1000</f>
        <v>129</v>
      </c>
      <c r="O529" s="625">
        <f>(SUMIF('PA-Détails'!$R$1709:$R$2514,"=" &amp;'PA-Synthèse'!$B529,'PA-Détails'!O$1709:O$2514))/1000</f>
        <v>111.6</v>
      </c>
      <c r="P529" s="625">
        <f>(SUMIF('PA-Détails'!$R$1709:$R$2514,"=" &amp;'PA-Synthèse'!$B529,'PA-Détails'!P$1709:P$2514))/1000</f>
        <v>129</v>
      </c>
      <c r="Q529" s="625">
        <f>(SUMIF('PA-Détails'!$R$1709:$R$2514,"=" &amp;'PA-Synthèse'!$B529,'PA-Détails'!Q$1709:Q$2514))/1000</f>
        <v>610.79999999999995</v>
      </c>
      <c r="R529" s="612">
        <f>COUNTIF('PA-Détails'!$R$1709:$R$2514,"=" &amp;'PA-Synthèse'!$B529)</f>
        <v>3</v>
      </c>
      <c r="S529" s="572" t="str">
        <f t="shared" si="127"/>
        <v xml:space="preserve">8.4.1.1 Formation des cadres des services centraux ; 8.4.1.2 Formation des cadres des services déconcentrés ; 8.4.1.3 Suivi  et évaluation des cadres des services déconcentrés ;  ; </v>
      </c>
      <c r="T529" s="572">
        <f t="shared" si="128"/>
        <v>3</v>
      </c>
      <c r="U529" s="572" t="s">
        <v>1202</v>
      </c>
      <c r="V529" s="572" t="s">
        <v>1201</v>
      </c>
      <c r="W529" s="572" t="s">
        <v>1199</v>
      </c>
    </row>
    <row r="530" spans="2:37" s="572" customFormat="1" hidden="1" x14ac:dyDescent="0.2">
      <c r="B530" s="623" t="s">
        <v>675</v>
      </c>
      <c r="C530" s="624"/>
      <c r="D530" s="624"/>
      <c r="E530" s="624"/>
      <c r="F530" s="624"/>
      <c r="G530" s="624"/>
      <c r="H530" s="624"/>
      <c r="I530" s="624"/>
      <c r="J530" s="624"/>
      <c r="K530" s="624"/>
      <c r="L530" s="626">
        <f>(SUMIF('PA-Détails'!$R$1709:$R$2514,"=" &amp;'PA-Synthèse'!$B530,'PA-Détails'!L$1709:L$2514))/1000</f>
        <v>16</v>
      </c>
      <c r="M530" s="626">
        <f>(SUMIF('PA-Détails'!$R$1709:$R$2514,"=" &amp;'PA-Synthèse'!$B530,'PA-Détails'!M$1709:M$2514))/1000</f>
        <v>0</v>
      </c>
      <c r="N530" s="626">
        <f>(SUMIF('PA-Détails'!$R$1709:$R$2514,"=" &amp;'PA-Synthèse'!$B530,'PA-Détails'!N$1709:N$2514))/1000</f>
        <v>2645</v>
      </c>
      <c r="O530" s="626">
        <f>(SUMIF('PA-Détails'!$R$1709:$R$2514,"=" &amp;'PA-Synthèse'!$B530,'PA-Détails'!O$1709:O$2514))/1000</f>
        <v>2645</v>
      </c>
      <c r="P530" s="626">
        <f>(SUMIF('PA-Détails'!$R$1709:$R$2514,"=" &amp;'PA-Synthèse'!$B530,'PA-Détails'!P$1709:P$2514))/1000</f>
        <v>2645</v>
      </c>
      <c r="Q530" s="626">
        <f>(SUMIF('PA-Détails'!$R$1709:$R$2514,"=" &amp;'PA-Synthèse'!$B530,'PA-Détails'!Q$1709:Q$2514))/1000</f>
        <v>7951</v>
      </c>
      <c r="R530" s="613">
        <f>COUNTIF('PA-Détails'!$R$1709:$R$2514,"=" &amp;'PA-Synthèse'!$B530)</f>
        <v>4</v>
      </c>
      <c r="S530" s="572" t="str">
        <f t="shared" si="127"/>
        <v xml:space="preserve">2.10.2.1 Allocation de la bourse d'études pour les enseignants en formation ; 2.9.3.1 Établissement d'une cartographie des REP existants ; 2.9.3.2 Extension des REP sur tout le territoire ;  ; </v>
      </c>
      <c r="T530" s="572">
        <f t="shared" si="128"/>
        <v>3</v>
      </c>
      <c r="U530" s="572" t="s">
        <v>1158</v>
      </c>
      <c r="V530" s="572" t="s">
        <v>1058</v>
      </c>
      <c r="W530" s="572" t="s">
        <v>433</v>
      </c>
    </row>
    <row r="531" spans="2:37" s="572" customFormat="1" hidden="1" x14ac:dyDescent="0.2">
      <c r="B531" s="623" t="s">
        <v>694</v>
      </c>
      <c r="C531" s="624"/>
      <c r="D531" s="624"/>
      <c r="E531" s="624"/>
      <c r="F531" s="624"/>
      <c r="G531" s="624"/>
      <c r="H531" s="624"/>
      <c r="I531" s="624"/>
      <c r="J531" s="624"/>
      <c r="K531" s="624"/>
      <c r="L531" s="626">
        <f>(SUMIF('PA-Détails'!$R$1709:$R$2514,"=" &amp;'PA-Synthèse'!$B531,'PA-Détails'!L$1709:L$2514))/1000</f>
        <v>332.88900000000001</v>
      </c>
      <c r="M531" s="626">
        <f>(SUMIF('PA-Détails'!$R$1709:$R$2514,"=" &amp;'PA-Synthèse'!$B531,'PA-Détails'!M$1709:M$2514))/1000</f>
        <v>325.88900000000001</v>
      </c>
      <c r="N531" s="626">
        <f>(SUMIF('PA-Détails'!$R$1709:$R$2514,"=" &amp;'PA-Synthèse'!$B531,'PA-Détails'!N$1709:N$2514))/1000</f>
        <v>325.88900000000001</v>
      </c>
      <c r="O531" s="626">
        <f>(SUMIF('PA-Détails'!$R$1709:$R$2514,"=" &amp;'PA-Synthèse'!$B531,'PA-Détails'!O$1709:O$2514))/1000</f>
        <v>325.88900000000001</v>
      </c>
      <c r="P531" s="626">
        <f>(SUMIF('PA-Détails'!$R$1709:$R$2514,"=" &amp;'PA-Synthèse'!$B531,'PA-Détails'!P$1709:P$2514))/1000</f>
        <v>325.88900000000001</v>
      </c>
      <c r="Q531" s="626">
        <f>(SUMIF('PA-Détails'!$R$1709:$R$2514,"=" &amp;'PA-Synthèse'!$B531,'PA-Détails'!Q$1709:Q$2514))/1000</f>
        <v>1636.4449999999999</v>
      </c>
      <c r="R531" s="613">
        <f>COUNTIF('PA-Détails'!$R$1709:$R$2514,"=" &amp;'PA-Synthèse'!$B531)</f>
        <v>3</v>
      </c>
      <c r="S531" s="572" t="str">
        <f t="shared" si="127"/>
        <v xml:space="preserve">4.5.2.1 Définition d'un kit minimum pour une école d'équipements pour activités physiques et sportives ; 4.5.2.2 Acquisition et distribution d'équipement pour activités physiques et sportives ; 5.6.2.1 Acquisition et distribution d'équipement pour activités physiques et sportives ;  ; </v>
      </c>
      <c r="T531" s="572">
        <f t="shared" si="128"/>
        <v>3</v>
      </c>
      <c r="U531" s="572" t="s">
        <v>1457</v>
      </c>
      <c r="V531" s="572" t="s">
        <v>474</v>
      </c>
      <c r="W531" s="572" t="s">
        <v>495</v>
      </c>
    </row>
    <row r="532" spans="2:37" s="572" customFormat="1" hidden="1" x14ac:dyDescent="0.2">
      <c r="B532" s="623" t="s">
        <v>826</v>
      </c>
      <c r="C532" s="624"/>
      <c r="D532" s="624"/>
      <c r="E532" s="624"/>
      <c r="F532" s="624"/>
      <c r="G532" s="624"/>
      <c r="H532" s="624"/>
      <c r="I532" s="624"/>
      <c r="J532" s="624"/>
      <c r="K532" s="624"/>
      <c r="L532" s="626">
        <f>(SUMIF('PA-Détails'!$R$1709:$R$2514,"=" &amp;'PA-Synthèse'!$B532,'PA-Détails'!L$1709:L$2514))/1000</f>
        <v>0</v>
      </c>
      <c r="M532" s="626">
        <f>(SUMIF('PA-Détails'!$R$1709:$R$2514,"=" &amp;'PA-Synthèse'!$B532,'PA-Détails'!M$1709:M$2514))/1000</f>
        <v>4.5</v>
      </c>
      <c r="N532" s="626">
        <f>(SUMIF('PA-Détails'!$R$1709:$R$2514,"=" &amp;'PA-Synthèse'!$B532,'PA-Détails'!N$1709:N$2514))/1000</f>
        <v>0</v>
      </c>
      <c r="O532" s="626">
        <f>(SUMIF('PA-Détails'!$R$1709:$R$2514,"=" &amp;'PA-Synthèse'!$B532,'PA-Détails'!O$1709:O$2514))/1000</f>
        <v>0</v>
      </c>
      <c r="P532" s="626">
        <f>(SUMIF('PA-Détails'!$R$1709:$R$2514,"=" &amp;'PA-Synthèse'!$B532,'PA-Détails'!P$1709:P$2514))/1000</f>
        <v>0</v>
      </c>
      <c r="Q532" s="626">
        <f>(SUMIF('PA-Détails'!$R$1709:$R$2514,"=" &amp;'PA-Synthèse'!$B532,'PA-Détails'!Q$1709:Q$2514))/1000</f>
        <v>4.5</v>
      </c>
      <c r="R532" s="613">
        <f>COUNTIF('PA-Détails'!$R$1709:$R$2514,"=" &amp;'PA-Synthèse'!$B532)</f>
        <v>2</v>
      </c>
      <c r="S532" s="572" t="str">
        <f t="shared" si="127"/>
        <v xml:space="preserve">5.8.4.1 Validation du guide de stage élaboré en 2015 ; 5.8.4.2 Élaboration d'un cadre de suivi des stages des enseignants en formation ;  ;  ; </v>
      </c>
      <c r="T532" s="572">
        <f t="shared" si="128"/>
        <v>2</v>
      </c>
      <c r="U532" s="572" t="s">
        <v>1180</v>
      </c>
      <c r="V532" s="572" t="s">
        <v>1181</v>
      </c>
    </row>
    <row r="533" spans="2:37" s="572" customFormat="1" hidden="1" x14ac:dyDescent="0.2">
      <c r="B533" s="623" t="s">
        <v>818</v>
      </c>
      <c r="C533" s="624"/>
      <c r="D533" s="624"/>
      <c r="E533" s="624"/>
      <c r="F533" s="624"/>
      <c r="G533" s="624"/>
      <c r="H533" s="624"/>
      <c r="I533" s="624"/>
      <c r="J533" s="624"/>
      <c r="K533" s="624"/>
      <c r="L533" s="626">
        <f>(SUMIF('PA-Détails'!$R$1709:$R$2514,"=" &amp;'PA-Synthèse'!$B533,'PA-Détails'!L$1709:L$2514))/1000</f>
        <v>3.15</v>
      </c>
      <c r="M533" s="626">
        <f>(SUMIF('PA-Détails'!$R$1709:$R$2514,"=" &amp;'PA-Synthèse'!$B533,'PA-Détails'!M$1709:M$2514))/1000</f>
        <v>3.15</v>
      </c>
      <c r="N533" s="626">
        <f>(SUMIF('PA-Détails'!$R$1709:$R$2514,"=" &amp;'PA-Synthèse'!$B533,'PA-Détails'!N$1709:N$2514))/1000</f>
        <v>3.15</v>
      </c>
      <c r="O533" s="626">
        <f>(SUMIF('PA-Détails'!$R$1709:$R$2514,"=" &amp;'PA-Synthèse'!$B533,'PA-Détails'!O$1709:O$2514))/1000</f>
        <v>3.15</v>
      </c>
      <c r="P533" s="626">
        <f>(SUMIF('PA-Détails'!$R$1709:$R$2514,"=" &amp;'PA-Synthèse'!$B533,'PA-Détails'!P$1709:P$2514))/1000</f>
        <v>3.15</v>
      </c>
      <c r="Q533" s="626">
        <f>(SUMIF('PA-Détails'!$R$1709:$R$2514,"=" &amp;'PA-Synthèse'!$B533,'PA-Détails'!Q$1709:Q$2514))/1000</f>
        <v>15.75</v>
      </c>
      <c r="R533" s="613">
        <f>COUNTIF('PA-Détails'!$R$1709:$R$2514,"=" &amp;'PA-Synthèse'!$B533)</f>
        <v>1</v>
      </c>
      <c r="S533" s="572" t="str">
        <f t="shared" si="127"/>
        <v xml:space="preserve">8.17.13.2 Identification des élèves/étudiants déplacés ainsi que leurs établissements ;  ;  ;  ; </v>
      </c>
      <c r="T533" s="572">
        <f t="shared" si="128"/>
        <v>1</v>
      </c>
      <c r="U533" s="572" t="s">
        <v>1393</v>
      </c>
    </row>
    <row r="534" spans="2:37" s="572" customFormat="1" hidden="1" x14ac:dyDescent="0.2">
      <c r="B534" s="623" t="s">
        <v>880</v>
      </c>
      <c r="C534" s="624"/>
      <c r="D534" s="624"/>
      <c r="E534" s="624"/>
      <c r="F534" s="624"/>
      <c r="G534" s="624"/>
      <c r="H534" s="624"/>
      <c r="I534" s="624"/>
      <c r="J534" s="624"/>
      <c r="K534" s="624"/>
      <c r="L534" s="626">
        <f>(SUMIF('PA-Détails'!$R$1709:$R$2514,"=" &amp;'PA-Synthèse'!$B534,'PA-Détails'!L$1709:L$2514))/1000</f>
        <v>704.83</v>
      </c>
      <c r="M534" s="626">
        <f>(SUMIF('PA-Détails'!$R$1709:$R$2514,"=" &amp;'PA-Synthèse'!$B534,'PA-Détails'!M$1709:M$2514))/1000</f>
        <v>704.23</v>
      </c>
      <c r="N534" s="626">
        <f>(SUMIF('PA-Détails'!$R$1709:$R$2514,"=" &amp;'PA-Synthèse'!$B534,'PA-Détails'!N$1709:N$2514))/1000</f>
        <v>715.23</v>
      </c>
      <c r="O534" s="626">
        <f>(SUMIF('PA-Détails'!$R$1709:$R$2514,"=" &amp;'PA-Synthèse'!$B534,'PA-Détails'!O$1709:O$2514))/1000</f>
        <v>771.23</v>
      </c>
      <c r="P534" s="626">
        <f>(SUMIF('PA-Détails'!$R$1709:$R$2514,"=" &amp;'PA-Synthèse'!$B534,'PA-Détails'!P$1709:P$2514))/1000</f>
        <v>827.23</v>
      </c>
      <c r="Q534" s="626">
        <f>(SUMIF('PA-Détails'!$R$1709:$R$2514,"=" &amp;'PA-Synthèse'!$B534,'PA-Détails'!Q$1709:Q$2514))/1000</f>
        <v>3722.75</v>
      </c>
      <c r="R534" s="613">
        <f>COUNTIF('PA-Détails'!$R$1709:$R$2514,"=" &amp;'PA-Synthèse'!$B534)</f>
        <v>7</v>
      </c>
      <c r="S534" s="572" t="str">
        <f>CONCATENATE(U534," ; ",V534," ; ",W534," ; ",X534," ; ",Y534," ; ",Z534," ; ",AA534)</f>
        <v>8.16.1.1 Mise en place progressive du dispositif numérique de collecte de données et de saisie des données ; 8.16.1.2 Formation des cadres au logiciel de collecte et de saisie des données ; 8.16.1.3 Campagne de collecte de données ; 8.16.2.1 Traitement et analyse des données ; 8.16.2.2 Publication des annuaires nationaux et provinciaux et des cartes scolaires ; 8.16.3.1 Élaboration des cartes scolaires/universitaires ; 8.16.3.2 Publication de la carte scolaire/universitaire (papier et numérique)</v>
      </c>
      <c r="T534" s="572">
        <f t="shared" si="128"/>
        <v>7</v>
      </c>
      <c r="U534" s="572" t="s">
        <v>1320</v>
      </c>
      <c r="V534" s="572" t="s">
        <v>1472</v>
      </c>
      <c r="W534" s="572" t="s">
        <v>1322</v>
      </c>
      <c r="X534" s="572" t="s">
        <v>1324</v>
      </c>
      <c r="Y534" s="572" t="s">
        <v>1325</v>
      </c>
      <c r="Z534" s="572" t="s">
        <v>1327</v>
      </c>
      <c r="AA534" s="572" t="s">
        <v>1328</v>
      </c>
    </row>
    <row r="535" spans="2:37" s="572" customFormat="1" hidden="1" x14ac:dyDescent="0.2">
      <c r="B535" s="623" t="s">
        <v>827</v>
      </c>
      <c r="C535" s="624"/>
      <c r="D535" s="624"/>
      <c r="E535" s="624"/>
      <c r="F535" s="624"/>
      <c r="G535" s="624"/>
      <c r="H535" s="624"/>
      <c r="I535" s="624"/>
      <c r="J535" s="624"/>
      <c r="K535" s="624"/>
      <c r="L535" s="626">
        <f>(SUMIF('PA-Détails'!$R$1709:$R$2514,"=" &amp;'PA-Synthèse'!$B535,'PA-Détails'!L$1709:L$2514))/1000</f>
        <v>0</v>
      </c>
      <c r="M535" s="626">
        <f>(SUMIF('PA-Détails'!$R$1709:$R$2514,"=" &amp;'PA-Synthèse'!$B535,'PA-Détails'!M$1709:M$2514))/1000</f>
        <v>25.5</v>
      </c>
      <c r="N535" s="626">
        <f>(SUMIF('PA-Détails'!$R$1709:$R$2514,"=" &amp;'PA-Synthèse'!$B535,'PA-Détails'!N$1709:N$2514))/1000</f>
        <v>137.6</v>
      </c>
      <c r="O535" s="626">
        <f>(SUMIF('PA-Détails'!$R$1709:$R$2514,"=" &amp;'PA-Synthèse'!$B535,'PA-Détails'!O$1709:O$2514))/1000</f>
        <v>0</v>
      </c>
      <c r="P535" s="626">
        <f>(SUMIF('PA-Détails'!$R$1709:$R$2514,"=" &amp;'PA-Synthèse'!$B535,'PA-Détails'!P$1709:P$2514))/1000</f>
        <v>0</v>
      </c>
      <c r="Q535" s="626">
        <f>(SUMIF('PA-Détails'!$R$1709:$R$2514,"=" &amp;'PA-Synthèse'!$B535,'PA-Détails'!Q$1709:Q$2514))/1000</f>
        <v>163.1</v>
      </c>
      <c r="R535" s="613">
        <f>COUNTIF('PA-Détails'!$R$1709:$R$2514,"=" &amp;'PA-Synthèse'!$B535)</f>
        <v>2</v>
      </c>
      <c r="S535" s="572" t="str">
        <f t="shared" ref="S535:S541" si="129">CONCATENATE(U535," ; ",V535," ; ",W535," ; ",X535," ; ",Y535)</f>
        <v xml:space="preserve">8.13.4.1 Mise en place d'un système de suivi des carrières scolaires ; 8.13.4.2 Mise en œuvre du dispositif ;  ;  ; </v>
      </c>
      <c r="T535" s="572">
        <f t="shared" si="128"/>
        <v>2</v>
      </c>
      <c r="U535" s="572" t="s">
        <v>1289</v>
      </c>
      <c r="V535" s="572" t="s">
        <v>1290</v>
      </c>
    </row>
    <row r="536" spans="2:37" s="572" customFormat="1" hidden="1" x14ac:dyDescent="0.2">
      <c r="B536" s="623" t="s">
        <v>819</v>
      </c>
      <c r="C536" s="624"/>
      <c r="D536" s="624"/>
      <c r="E536" s="624"/>
      <c r="F536" s="624"/>
      <c r="G536" s="624"/>
      <c r="H536" s="624"/>
      <c r="I536" s="624"/>
      <c r="J536" s="624"/>
      <c r="K536" s="624"/>
      <c r="L536" s="626">
        <f>(SUMIF('PA-Détails'!$R$1709:$R$2514,"=" &amp;'PA-Synthèse'!$B536,'PA-Détails'!L$1709:L$2514))/1000</f>
        <v>37.299999999999997</v>
      </c>
      <c r="M536" s="626">
        <f>(SUMIF('PA-Détails'!$R$1709:$R$2514,"=" &amp;'PA-Synthèse'!$B536,'PA-Détails'!M$1709:M$2514))/1000</f>
        <v>3.3</v>
      </c>
      <c r="N536" s="626">
        <f>(SUMIF('PA-Détails'!$R$1709:$R$2514,"=" &amp;'PA-Synthèse'!$B536,'PA-Détails'!N$1709:N$2514))/1000</f>
        <v>0</v>
      </c>
      <c r="O536" s="626">
        <f>(SUMIF('PA-Détails'!$R$1709:$R$2514,"=" &amp;'PA-Synthèse'!$B536,'PA-Détails'!O$1709:O$2514))/1000</f>
        <v>0</v>
      </c>
      <c r="P536" s="626">
        <f>(SUMIF('PA-Détails'!$R$1709:$R$2514,"=" &amp;'PA-Synthèse'!$B536,'PA-Détails'!P$1709:P$2514))/1000</f>
        <v>0</v>
      </c>
      <c r="Q536" s="626">
        <f>(SUMIF('PA-Détails'!$R$1709:$R$2514,"=" &amp;'PA-Synthèse'!$B536,'PA-Détails'!Q$1709:Q$2514))/1000</f>
        <v>40.6</v>
      </c>
      <c r="R536" s="613">
        <f>COUNTIF('PA-Détails'!$R$1709:$R$2514,"=" &amp;'PA-Synthèse'!$B536)</f>
        <v>3</v>
      </c>
      <c r="S536" s="572" t="str">
        <f t="shared" si="129"/>
        <v xml:space="preserve">5.2.1.1 Étude sur les modalités de l'examen de fin du cycle ; 5.2.1.2 Textes réglementaires adoptés ; 8.13.3.1 Formation des directeurs d'établissement scolaire au dispositif de rattrapage pour les élèves en difficulté ;  ; </v>
      </c>
      <c r="T536" s="572">
        <f t="shared" si="128"/>
        <v>3</v>
      </c>
      <c r="U536" s="572" t="s">
        <v>1085</v>
      </c>
      <c r="V536" s="572" t="s">
        <v>884</v>
      </c>
      <c r="W536" s="572" t="s">
        <v>1287</v>
      </c>
    </row>
    <row r="537" spans="2:37" s="572" customFormat="1" hidden="1" x14ac:dyDescent="0.2">
      <c r="B537" s="623" t="s">
        <v>881</v>
      </c>
      <c r="C537" s="624"/>
      <c r="D537" s="624"/>
      <c r="E537" s="624"/>
      <c r="F537" s="624"/>
      <c r="G537" s="624"/>
      <c r="H537" s="624"/>
      <c r="I537" s="624"/>
      <c r="J537" s="624"/>
      <c r="K537" s="624"/>
      <c r="L537" s="626">
        <f>(SUMIF('PA-Détails'!$R$1709:$R$2514,"=" &amp;'PA-Synthèse'!$B537,'PA-Détails'!L$1709:L$2514))/1000</f>
        <v>50</v>
      </c>
      <c r="M537" s="626">
        <f>(SUMIF('PA-Détails'!$R$1709:$R$2514,"=" &amp;'PA-Synthèse'!$B537,'PA-Détails'!M$1709:M$2514))/1000</f>
        <v>27</v>
      </c>
      <c r="N537" s="626">
        <f>(SUMIF('PA-Détails'!$R$1709:$R$2514,"=" &amp;'PA-Synthèse'!$B537,'PA-Détails'!N$1709:N$2514))/1000</f>
        <v>48</v>
      </c>
      <c r="O537" s="626">
        <f>(SUMIF('PA-Détails'!$R$1709:$R$2514,"=" &amp;'PA-Synthèse'!$B537,'PA-Détails'!O$1709:O$2514))/1000</f>
        <v>48</v>
      </c>
      <c r="P537" s="626">
        <f>(SUMIF('PA-Détails'!$R$1709:$R$2514,"=" &amp;'PA-Synthèse'!$B537,'PA-Détails'!P$1709:P$2514))/1000</f>
        <v>48</v>
      </c>
      <c r="Q537" s="626">
        <f>(SUMIF('PA-Détails'!$R$1709:$R$2514,"=" &amp;'PA-Synthèse'!$B537,'PA-Détails'!Q$1709:Q$2514))/1000</f>
        <v>221</v>
      </c>
      <c r="R537" s="613">
        <f>COUNTIF('PA-Détails'!$R$1709:$R$2514,"=" &amp;'PA-Synthèse'!$B537)</f>
        <v>4</v>
      </c>
      <c r="S537" s="572" t="str">
        <f t="shared" si="129"/>
        <v xml:space="preserve">8.16.4.1 Définition des méthodes d'élaboration des tableaux des tableaux de bord provinciaux ; 8.16.4.2 Élaboration des premiers tableaux de bord provinciaux ; 8.16.5.1 Formation aux outils et méthodes ; 8.16.5.2 Publication et diffusion des tableaux de bords provinciaux ; </v>
      </c>
      <c r="T537" s="572">
        <f t="shared" si="128"/>
        <v>4</v>
      </c>
      <c r="U537" s="572" t="s">
        <v>1330</v>
      </c>
      <c r="V537" s="572" t="s">
        <v>1331</v>
      </c>
      <c r="W537" s="572" t="s">
        <v>1333</v>
      </c>
      <c r="X537" s="572" t="s">
        <v>1334</v>
      </c>
    </row>
    <row r="538" spans="2:37" s="572" customFormat="1" hidden="1" x14ac:dyDescent="0.2">
      <c r="B538" s="623" t="s">
        <v>841</v>
      </c>
      <c r="C538" s="624"/>
      <c r="D538" s="624"/>
      <c r="E538" s="624"/>
      <c r="F538" s="624"/>
      <c r="G538" s="624"/>
      <c r="H538" s="624"/>
      <c r="I538" s="624"/>
      <c r="J538" s="624"/>
      <c r="K538" s="624"/>
      <c r="L538" s="626">
        <f>(SUMIF('PA-Détails'!$R$1709:$R$2514,"=" &amp;'PA-Synthèse'!$B538,'PA-Détails'!L$1709:L$2514))/1000</f>
        <v>1260</v>
      </c>
      <c r="M538" s="626">
        <f>(SUMIF('PA-Détails'!$R$1709:$R$2514,"=" &amp;'PA-Synthèse'!$B538,'PA-Détails'!M$1709:M$2514))/1000</f>
        <v>1260</v>
      </c>
      <c r="N538" s="626">
        <f>(SUMIF('PA-Détails'!$R$1709:$R$2514,"=" &amp;'PA-Synthèse'!$B538,'PA-Détails'!N$1709:N$2514))/1000</f>
        <v>1260</v>
      </c>
      <c r="O538" s="626">
        <f>(SUMIF('PA-Détails'!$R$1709:$R$2514,"=" &amp;'PA-Synthèse'!$B538,'PA-Détails'!O$1709:O$2514))/1000</f>
        <v>1260</v>
      </c>
      <c r="P538" s="626">
        <f>(SUMIF('PA-Détails'!$R$1709:$R$2514,"=" &amp;'PA-Synthèse'!$B538,'PA-Détails'!P$1709:P$2514))/1000</f>
        <v>1260</v>
      </c>
      <c r="Q538" s="626">
        <f>(SUMIF('PA-Détails'!$R$1709:$R$2514,"=" &amp;'PA-Synthèse'!$B538,'PA-Détails'!Q$1709:Q$2514))/1000</f>
        <v>6300</v>
      </c>
      <c r="R538" s="613">
        <f>COUNTIF('PA-Détails'!$R$1709:$R$2514,"=" &amp;'PA-Synthèse'!$B538)</f>
        <v>1</v>
      </c>
      <c r="S538" s="572" t="str">
        <f t="shared" si="129"/>
        <v xml:space="preserve">8.17.9.1 Fourniture des repas pendant les crises ;  ;  ;  ; </v>
      </c>
      <c r="T538" s="572">
        <f t="shared" si="128"/>
        <v>1</v>
      </c>
      <c r="U538" s="572" t="s">
        <v>1382</v>
      </c>
    </row>
    <row r="539" spans="2:37" s="572" customFormat="1" hidden="1" x14ac:dyDescent="0.2">
      <c r="B539" s="623" t="s">
        <v>664</v>
      </c>
      <c r="C539" s="624"/>
      <c r="D539" s="624"/>
      <c r="E539" s="624"/>
      <c r="F539" s="624"/>
      <c r="G539" s="624"/>
      <c r="H539" s="624"/>
      <c r="I539" s="624"/>
      <c r="J539" s="624"/>
      <c r="K539" s="624"/>
      <c r="L539" s="626">
        <f>(SUMIF('PA-Détails'!$R$1709:$R$2514,"=" &amp;'PA-Synthèse'!$B539,'PA-Détails'!L$1709:L$2514))/1000</f>
        <v>16</v>
      </c>
      <c r="M539" s="626">
        <f>(SUMIF('PA-Détails'!$R$1709:$R$2514,"=" &amp;'PA-Synthèse'!$B539,'PA-Détails'!M$1709:M$2514))/1000</f>
        <v>0</v>
      </c>
      <c r="N539" s="626">
        <f>(SUMIF('PA-Détails'!$R$1709:$R$2514,"=" &amp;'PA-Synthèse'!$B539,'PA-Détails'!N$1709:N$2514))/1000</f>
        <v>0</v>
      </c>
      <c r="O539" s="626">
        <f>(SUMIF('PA-Détails'!$R$1709:$R$2514,"=" &amp;'PA-Synthèse'!$B539,'PA-Détails'!O$1709:O$2514))/1000</f>
        <v>0</v>
      </c>
      <c r="P539" s="626">
        <f>(SUMIF('PA-Détails'!$R$1709:$R$2514,"=" &amp;'PA-Synthèse'!$B539,'PA-Détails'!P$1709:P$2514))/1000</f>
        <v>0</v>
      </c>
      <c r="Q539" s="626">
        <f>(SUMIF('PA-Détails'!$R$1709:$R$2514,"=" &amp;'PA-Synthèse'!$B539,'PA-Détails'!Q$1709:Q$2514))/1000</f>
        <v>16</v>
      </c>
      <c r="R539" s="613">
        <f>COUNTIF('PA-Détails'!$R$1709:$R$2514,"=" &amp;'PA-Synthèse'!$B539)</f>
        <v>1</v>
      </c>
      <c r="S539" s="572" t="str">
        <f t="shared" si="129"/>
        <v xml:space="preserve">2.9.1.3 Évaluation et capitalisation du pilote de la composante "Formation continue" du PROSEB ;  ;  ;  ; </v>
      </c>
      <c r="T539" s="572">
        <f t="shared" si="128"/>
        <v>1</v>
      </c>
      <c r="U539" s="572" t="s">
        <v>1055</v>
      </c>
    </row>
    <row r="540" spans="2:37" s="572" customFormat="1" hidden="1" x14ac:dyDescent="0.2">
      <c r="B540" s="623" t="s">
        <v>1147</v>
      </c>
      <c r="C540" s="624"/>
      <c r="D540" s="624"/>
      <c r="E540" s="624"/>
      <c r="F540" s="624"/>
      <c r="G540" s="624"/>
      <c r="H540" s="624"/>
      <c r="I540" s="624"/>
      <c r="J540" s="624"/>
      <c r="K540" s="624"/>
      <c r="L540" s="626">
        <f>(SUMIF('PA-Détails'!$R$1709:$R$2514,"=" &amp;'PA-Synthèse'!$B540,'PA-Détails'!L$1709:L$2514))/1000</f>
        <v>48.5</v>
      </c>
      <c r="M540" s="626">
        <f>(SUMIF('PA-Détails'!$R$1709:$R$2514,"=" &amp;'PA-Synthèse'!$B540,'PA-Détails'!M$1709:M$2514))/1000</f>
        <v>48.5</v>
      </c>
      <c r="N540" s="626">
        <f>(SUMIF('PA-Détails'!$R$1709:$R$2514,"=" &amp;'PA-Synthèse'!$B540,'PA-Détails'!N$1709:N$2514))/1000</f>
        <v>48.5</v>
      </c>
      <c r="O540" s="626">
        <f>(SUMIF('PA-Détails'!$R$1709:$R$2514,"=" &amp;'PA-Synthèse'!$B540,'PA-Détails'!O$1709:O$2514))/1000</f>
        <v>0</v>
      </c>
      <c r="P540" s="626">
        <f>(SUMIF('PA-Détails'!$R$1709:$R$2514,"=" &amp;'PA-Synthèse'!$B540,'PA-Détails'!P$1709:P$2514))/1000</f>
        <v>0</v>
      </c>
      <c r="Q540" s="626">
        <f>(SUMIF('PA-Détails'!$R$1709:$R$2514,"=" &amp;'PA-Synthèse'!$B540,'PA-Détails'!Q$1709:Q$2514))/1000</f>
        <v>145.5</v>
      </c>
      <c r="R540" s="613">
        <f>COUNTIF('PA-Détails'!$R$1709:$R$2514,"=" &amp;'PA-Synthèse'!$B540)</f>
        <v>1</v>
      </c>
      <c r="S540" s="572" t="str">
        <f t="shared" si="129"/>
        <v xml:space="preserve">8.6.4.1 Fonctionnement régulier de la Commission des flux ascendants ;  ;  ;  ; </v>
      </c>
      <c r="T540" s="572">
        <f t="shared" si="128"/>
        <v>1</v>
      </c>
      <c r="U540" s="572" t="s">
        <v>1225</v>
      </c>
    </row>
    <row r="541" spans="2:37" s="572" customFormat="1" hidden="1" x14ac:dyDescent="0.2">
      <c r="B541" s="623" t="s">
        <v>755</v>
      </c>
      <c r="C541" s="624"/>
      <c r="D541" s="624"/>
      <c r="E541" s="624"/>
      <c r="F541" s="624"/>
      <c r="G541" s="624"/>
      <c r="H541" s="624"/>
      <c r="I541" s="624"/>
      <c r="J541" s="624"/>
      <c r="K541" s="624"/>
      <c r="L541" s="626">
        <f>(SUMIF('PA-Détails'!$R$1709:$R$2514,"=" &amp;'PA-Synthèse'!$B541,'PA-Détails'!L$1709:L$2514))/1000</f>
        <v>365.5</v>
      </c>
      <c r="M541" s="626">
        <f>(SUMIF('PA-Détails'!$R$1709:$R$2514,"=" &amp;'PA-Synthèse'!$B541,'PA-Détails'!M$1709:M$2514))/1000</f>
        <v>248.3</v>
      </c>
      <c r="N541" s="626">
        <f>(SUMIF('PA-Détails'!$R$1709:$R$2514,"=" &amp;'PA-Synthèse'!$B541,'PA-Détails'!N$1709:N$2514))/1000</f>
        <v>387.55</v>
      </c>
      <c r="O541" s="626">
        <f>(SUMIF('PA-Détails'!$R$1709:$R$2514,"=" &amp;'PA-Synthèse'!$B541,'PA-Détails'!O$1709:O$2514))/1000</f>
        <v>170</v>
      </c>
      <c r="P541" s="626">
        <f>(SUMIF('PA-Détails'!$R$1709:$R$2514,"=" &amp;'PA-Synthèse'!$B541,'PA-Détails'!P$1709:P$2514))/1000</f>
        <v>65</v>
      </c>
      <c r="Q541" s="626">
        <f>(SUMIF('PA-Détails'!$R$1709:$R$2514,"=" &amp;'PA-Synthèse'!$B541,'PA-Détails'!Q$1709:Q$2514))/1000</f>
        <v>1236.3499999999999</v>
      </c>
      <c r="R541" s="613">
        <f>COUNTIF('PA-Détails'!$R$1709:$R$2514,"=" &amp;'PA-Synthèse'!$B541)</f>
        <v>5</v>
      </c>
      <c r="S541" s="572" t="str">
        <f t="shared" si="129"/>
        <v>1.1.1.1 Évaluation de l'expérience des ECE et définition des possibilités de son extension ; 1.1.1.2 Définir un plan de communication ; 1.1.1.3 Développer des outils et des supports ; 1.1.1.4 Assurer des campagnes IEC ; 4.1.5.2 Sensibilisation à la réforme de l'éducation de base</v>
      </c>
      <c r="T541" s="572">
        <f t="shared" si="128"/>
        <v>5</v>
      </c>
      <c r="U541" s="572" t="s">
        <v>658</v>
      </c>
      <c r="V541" s="572" t="s">
        <v>659</v>
      </c>
      <c r="W541" s="572" t="s">
        <v>660</v>
      </c>
      <c r="X541" s="572" t="s">
        <v>661</v>
      </c>
      <c r="Y541" s="572" t="s">
        <v>1456</v>
      </c>
    </row>
    <row r="542" spans="2:37" s="572" customFormat="1" hidden="1" x14ac:dyDescent="0.2">
      <c r="B542" s="623" t="s">
        <v>754</v>
      </c>
      <c r="C542" s="624"/>
      <c r="D542" s="624"/>
      <c r="E542" s="624"/>
      <c r="F542" s="624"/>
      <c r="G542" s="624"/>
      <c r="H542" s="624"/>
      <c r="I542" s="624"/>
      <c r="J542" s="624"/>
      <c r="K542" s="624"/>
      <c r="L542" s="626">
        <f>(SUMIF('PA-Détails'!$R$1709:$R$2514,"=" &amp;'PA-Synthèse'!$B542,'PA-Détails'!L$1709:L$2514))/1000</f>
        <v>5275.98</v>
      </c>
      <c r="M542" s="626">
        <f>(SUMIF('PA-Détails'!$R$1709:$R$2514,"=" &amp;'PA-Synthèse'!$B542,'PA-Détails'!M$1709:M$2514))/1000</f>
        <v>16849.05</v>
      </c>
      <c r="N542" s="626">
        <f>(SUMIF('PA-Détails'!$R$1709:$R$2514,"=" &amp;'PA-Synthèse'!$B542,'PA-Détails'!N$1709:N$2514))/1000</f>
        <v>19731.580000000002</v>
      </c>
      <c r="O542" s="626">
        <f>(SUMIF('PA-Détails'!$R$1709:$R$2514,"=" &amp;'PA-Synthèse'!$B542,'PA-Détails'!O$1709:O$2514))/1000</f>
        <v>18316.09</v>
      </c>
      <c r="P542" s="626">
        <f>(SUMIF('PA-Détails'!$R$1709:$R$2514,"=" &amp;'PA-Synthèse'!$B542,'PA-Détails'!P$1709:P$2514))/1000</f>
        <v>19089.11</v>
      </c>
      <c r="Q542" s="626">
        <f>(SUMIF('PA-Détails'!$R$1709:$R$2514,"=" &amp;'PA-Synthèse'!$B542,'PA-Détails'!Q$1709:Q$2514))/1000</f>
        <v>79261.81</v>
      </c>
      <c r="R542" s="613">
        <f>COUNTIF('PA-Détails'!$R$1709:$R$2514,"=" &amp;'PA-Synthèse'!$B542)</f>
        <v>17</v>
      </c>
      <c r="S542" s="572" t="str">
        <f>CONCATENATE(U542," ; ",V542," ; ",W542," ; ",X542," ; ",Y542," ; ",Z542," ; ",AA542," ; ",AB542," ; ",AC542," ; ",AD542," ; ",AE542," ; ",AF542," ; ",AG542," ; ",AH542," ; ",AI542," ; ",AJ542," ; ",AK542)</f>
        <v>1.6.1.1 Équipement des Inspecteurs en Moto ; 1.6.2.1 Dotation en prime d'itinérance ; 2.12.1.1 Équipement informatique et de communication ; 2.12.2.1 Formation en informatique et aux TIC ; 2.3.2.1 Élaboration d'une carte scolaire (nationale et provinciale) à travers l'exploitation des données du SIGE ; 2.4.4.1  Définition d'une politique nationale pour l'éducation inclusive ; 2.4.5.1  Recensement des familles, des élèves et des écoles autochtones ; 2.5.1.1 Élaboration du programme d'allocation pour les provinces cibles ; 2.5.3.1 Recensement de l'offre ; 2.5.3.2 Programme de mise à niveau de la carte scolaire ; 4.1.4.1 Mise à disposition d'un mécanisme de gestion des flux accompagné d'outils opérationnels ; 4.1.5.1 Étude sur les coût, les financements et les impacts probables de la réforme ; 4.7.3.1 Équipement informatique et de communication ; 5.10.2.1 Assurer la connexion à internet ; 8.1.3.1 Investissements EPSINC ; 8.13.1.1 Élaboration d'un guide pour les écoles en vue de diminuer les redoublements ; 8.13.1.2 Acquisition et diffusion du guide</v>
      </c>
      <c r="T542" s="572">
        <f t="shared" si="128"/>
        <v>17</v>
      </c>
      <c r="U542" s="572" t="s">
        <v>1039</v>
      </c>
      <c r="V542" s="572" t="s">
        <v>1041</v>
      </c>
      <c r="W542" s="572" t="s">
        <v>1166</v>
      </c>
      <c r="X542" s="572" t="s">
        <v>1168</v>
      </c>
      <c r="Y542" s="572" t="s">
        <v>1043</v>
      </c>
      <c r="Z542" s="572" t="s">
        <v>275</v>
      </c>
      <c r="AA542" s="572" t="s">
        <v>680</v>
      </c>
      <c r="AB542" s="572" t="s">
        <v>567</v>
      </c>
      <c r="AC542" s="572" t="s">
        <v>573</v>
      </c>
      <c r="AD542" s="572" t="s">
        <v>685</v>
      </c>
      <c r="AE542" s="572" t="s">
        <v>233</v>
      </c>
      <c r="AF542" s="572" t="s">
        <v>1075</v>
      </c>
      <c r="AG542" s="572" t="s">
        <v>1082</v>
      </c>
      <c r="AH542" s="572" t="s">
        <v>1196</v>
      </c>
      <c r="AI542" s="572" t="s">
        <v>1126</v>
      </c>
      <c r="AJ542" s="572" t="s">
        <v>1282</v>
      </c>
      <c r="AK542" s="572" t="s">
        <v>1283</v>
      </c>
    </row>
    <row r="543" spans="2:37" s="572" customFormat="1" hidden="1" x14ac:dyDescent="0.2">
      <c r="B543" s="623" t="s">
        <v>1423</v>
      </c>
      <c r="C543" s="624"/>
      <c r="D543" s="624"/>
      <c r="E543" s="624"/>
      <c r="F543" s="624"/>
      <c r="G543" s="624"/>
      <c r="H543" s="624"/>
      <c r="I543" s="624"/>
      <c r="J543" s="624"/>
      <c r="K543" s="624"/>
      <c r="L543" s="626">
        <f>(SUMIF('PA-Détails'!$R$1709:$R$2514,"=" &amp;'PA-Synthèse'!$B543,'PA-Détails'!L$1709:L$2514))/1000</f>
        <v>26.4</v>
      </c>
      <c r="M543" s="626">
        <f>(SUMIF('PA-Détails'!$R$1709:$R$2514,"=" &amp;'PA-Synthèse'!$B543,'PA-Détails'!M$1709:M$2514))/1000</f>
        <v>9650</v>
      </c>
      <c r="N543" s="626">
        <f>(SUMIF('PA-Détails'!$R$1709:$R$2514,"=" &amp;'PA-Synthèse'!$B543,'PA-Détails'!N$1709:N$2514))/1000</f>
        <v>9650</v>
      </c>
      <c r="O543" s="626">
        <f>(SUMIF('PA-Détails'!$R$1709:$R$2514,"=" &amp;'PA-Synthèse'!$B543,'PA-Détails'!O$1709:O$2514))/1000</f>
        <v>9650</v>
      </c>
      <c r="P543" s="626">
        <f>(SUMIF('PA-Détails'!$R$1709:$R$2514,"=" &amp;'PA-Synthèse'!$B543,'PA-Détails'!P$1709:P$2514))/1000</f>
        <v>9650</v>
      </c>
      <c r="Q543" s="626">
        <f>(SUMIF('PA-Détails'!$R$1709:$R$2514,"=" &amp;'PA-Synthèse'!$B543,'PA-Détails'!Q$1709:Q$2514))/1000</f>
        <v>38626.400000000001</v>
      </c>
      <c r="R543" s="613">
        <f>COUNTIF('PA-Détails'!$R$1709:$R$2514,"=" &amp;'PA-Synthèse'!$B543)</f>
        <v>9</v>
      </c>
      <c r="S543" s="572" t="str">
        <f t="shared" ref="S543:S574" si="130">CONCATENATE(U543," ; ",V543," ; ",W543," ; ",X543," ; ",Y543," ; ",Z543," ; ",AA543," ; ",AB543," ; ",AC543," ; ",AD543," ; ",AE543," ; ",AF543," ; ",AG543," ; ",AH543," ; ",AI543," ; ",AJ543," ; ",AK543)</f>
        <v xml:space="preserve">2.5.2.1 Recensement de la situation ; 2.8.1.1 Identification des besoins et préparation du programme de mise à niveau ; 2.8.1.1 Réalisation du programme de construction de latrines ; 2.8.2.1 Identification des besoins et préparation du programme de mise à niveau ; 2.8.2.2 Réalisation du programme d'équipement en point d'eau ; 2.8.3.1 Identification des besoins et préparation du programme de mise à niveau ; 2.8.3.2 Réalisation du programme d'équipement en électricité ; 2.8.4.1 Identification des besoins et préparation du programme de mise à niveau ; 2.8.4.2 Réalisation du programme de construction des clôtures ;  ;  ;  ;  ;  ;  ;  ; </v>
      </c>
      <c r="T543" s="572">
        <f t="shared" si="128"/>
        <v>9</v>
      </c>
      <c r="U543" s="572" t="s">
        <v>570</v>
      </c>
      <c r="V543" s="572" t="s">
        <v>902</v>
      </c>
      <c r="W543" s="572" t="s">
        <v>903</v>
      </c>
      <c r="X543" s="572" t="s">
        <v>904</v>
      </c>
      <c r="Y543" s="572" t="s">
        <v>907</v>
      </c>
      <c r="Z543" s="572" t="s">
        <v>905</v>
      </c>
      <c r="AA543" s="572" t="s">
        <v>1053</v>
      </c>
      <c r="AB543" s="572" t="s">
        <v>906</v>
      </c>
      <c r="AC543" s="572" t="s">
        <v>1442</v>
      </c>
    </row>
    <row r="544" spans="2:37" s="572" customFormat="1" hidden="1" x14ac:dyDescent="0.2">
      <c r="B544" s="623" t="s">
        <v>771</v>
      </c>
      <c r="C544" s="624"/>
      <c r="D544" s="624"/>
      <c r="E544" s="624"/>
      <c r="F544" s="624"/>
      <c r="G544" s="624"/>
      <c r="H544" s="624"/>
      <c r="I544" s="624"/>
      <c r="J544" s="624"/>
      <c r="K544" s="624"/>
      <c r="L544" s="626">
        <f>(SUMIF('PA-Détails'!$R$1709:$R$2514,"=" &amp;'PA-Synthèse'!$B544,'PA-Détails'!L$1709:L$2514))/1000</f>
        <v>38.6</v>
      </c>
      <c r="M544" s="626">
        <f>(SUMIF('PA-Détails'!$R$1709:$R$2514,"=" &amp;'PA-Synthèse'!$B544,'PA-Détails'!M$1709:M$2514))/1000</f>
        <v>1055</v>
      </c>
      <c r="N544" s="626">
        <f>(SUMIF('PA-Détails'!$R$1709:$R$2514,"=" &amp;'PA-Synthèse'!$B544,'PA-Détails'!N$1709:N$2514))/1000</f>
        <v>13110</v>
      </c>
      <c r="O544" s="626">
        <f>(SUMIF('PA-Détails'!$R$1709:$R$2514,"=" &amp;'PA-Synthèse'!$B544,'PA-Détails'!O$1709:O$2514))/1000</f>
        <v>15110</v>
      </c>
      <c r="P544" s="626">
        <f>(SUMIF('PA-Détails'!$R$1709:$R$2514,"=" &amp;'PA-Synthèse'!$B544,'PA-Détails'!P$1709:P$2514))/1000</f>
        <v>17110</v>
      </c>
      <c r="Q544" s="626">
        <f>(SUMIF('PA-Détails'!$R$1709:$R$2514,"=" &amp;'PA-Synthèse'!$B544,'PA-Détails'!Q$1709:Q$2514))/1000</f>
        <v>46423.6</v>
      </c>
      <c r="R544" s="613">
        <f>COUNTIF('PA-Détails'!$R$1709:$R$2514,"=" &amp;'PA-Synthèse'!$B544)</f>
        <v>2</v>
      </c>
      <c r="S544" s="572" t="str">
        <f t="shared" ref="S544:S545" si="131">CONCATENATE(U544," ; ",V544," ; ",W544," ; ",X544," ; ",Y544)</f>
        <v xml:space="preserve">1.2.3.1 Préparation du programme de développement : Recensement et formation ; 1.2.3.2 Mise en place de la classe préparatoire (objectif 7000 en 2020) ;  ;  ; </v>
      </c>
      <c r="T544" s="572">
        <f t="shared" si="128"/>
        <v>2</v>
      </c>
      <c r="U544" s="572" t="s">
        <v>657</v>
      </c>
      <c r="V544" s="572" t="s">
        <v>667</v>
      </c>
    </row>
    <row r="545" spans="2:67" s="572" customFormat="1" hidden="1" x14ac:dyDescent="0.2">
      <c r="B545" s="623" t="s">
        <v>1407</v>
      </c>
      <c r="C545" s="624"/>
      <c r="D545" s="624"/>
      <c r="E545" s="624"/>
      <c r="F545" s="624"/>
      <c r="G545" s="624"/>
      <c r="H545" s="624"/>
      <c r="I545" s="624"/>
      <c r="J545" s="624"/>
      <c r="K545" s="624"/>
      <c r="L545" s="626">
        <f>(SUMIF('PA-Détails'!$R$1709:$R$2514,"=" &amp;'PA-Synthèse'!$B545,'PA-Détails'!L$1709:L$2514))/1000</f>
        <v>1855.42</v>
      </c>
      <c r="M545" s="626">
        <f>(SUMIF('PA-Détails'!$R$1709:$R$2514,"=" &amp;'PA-Synthèse'!$B545,'PA-Détails'!M$1709:M$2514))/1000</f>
        <v>21855.42</v>
      </c>
      <c r="N545" s="626">
        <f>(SUMIF('PA-Détails'!$R$1709:$R$2514,"=" &amp;'PA-Synthèse'!$B545,'PA-Détails'!N$1709:N$2514))/1000</f>
        <v>21855.42</v>
      </c>
      <c r="O545" s="626">
        <f>(SUMIF('PA-Détails'!$R$1709:$R$2514,"=" &amp;'PA-Synthèse'!$B545,'PA-Détails'!O$1709:O$2514))/1000</f>
        <v>21855.42</v>
      </c>
      <c r="P545" s="626">
        <f>(SUMIF('PA-Détails'!$R$1709:$R$2514,"=" &amp;'PA-Synthèse'!$B545,'PA-Détails'!P$1709:P$2514))/1000</f>
        <v>21855.42</v>
      </c>
      <c r="Q545" s="626">
        <f>(SUMIF('PA-Détails'!$R$1709:$R$2514,"=" &amp;'PA-Synthèse'!$B545,'PA-Détails'!Q$1709:Q$2514))/1000</f>
        <v>89277.1</v>
      </c>
      <c r="R545" s="613">
        <f>COUNTIF('PA-Détails'!$R$1709:$R$2514,"=" &amp;'PA-Synthèse'!$B545)</f>
        <v>2</v>
      </c>
      <c r="S545" s="572" t="str">
        <f t="shared" si="131"/>
        <v xml:space="preserve">8.1.2.1 Fonctionnement des services centraux EPSINC ; 5.1.1.2 Équipement en matériel pour les établissements spécialisés ;  ;  ; </v>
      </c>
      <c r="T545" s="572">
        <f t="shared" si="128"/>
        <v>2</v>
      </c>
      <c r="U545" s="572" t="s">
        <v>1125</v>
      </c>
      <c r="V545" s="572" t="s">
        <v>1084</v>
      </c>
    </row>
    <row r="546" spans="2:67" s="572" customFormat="1" hidden="1" x14ac:dyDescent="0.2">
      <c r="B546" s="623" t="s">
        <v>758</v>
      </c>
      <c r="C546" s="624"/>
      <c r="D546" s="624"/>
      <c r="E546" s="624"/>
      <c r="F546" s="624"/>
      <c r="G546" s="624"/>
      <c r="H546" s="624"/>
      <c r="I546" s="624"/>
      <c r="J546" s="624"/>
      <c r="K546" s="624"/>
      <c r="L546" s="626">
        <f>(SUMIF('PA-Détails'!$R$1709:$R$2514,"=" &amp;'PA-Synthèse'!$B546,'PA-Détails'!L$1709:L$2514))/1000</f>
        <v>56873.563999999998</v>
      </c>
      <c r="M546" s="626">
        <f>(SUMIF('PA-Détails'!$R$1709:$R$2514,"=" &amp;'PA-Synthèse'!$B546,'PA-Détails'!M$1709:M$2514))/1000</f>
        <v>69998.004000000001</v>
      </c>
      <c r="N546" s="626">
        <f>(SUMIF('PA-Détails'!$R$1709:$R$2514,"=" &amp;'PA-Synthèse'!$B546,'PA-Détails'!N$1709:N$2514))/1000</f>
        <v>91935.839000000007</v>
      </c>
      <c r="O546" s="626">
        <f>(SUMIF('PA-Détails'!$R$1709:$R$2514,"=" &amp;'PA-Synthèse'!$B546,'PA-Détails'!O$1709:O$2514))/1000</f>
        <v>96260.65</v>
      </c>
      <c r="P546" s="626">
        <f>(SUMIF('PA-Détails'!$R$1709:$R$2514,"=" &amp;'PA-Synthèse'!$B546,'PA-Détails'!P$1709:P$2514))/1000</f>
        <v>100761.75900000001</v>
      </c>
      <c r="Q546" s="626">
        <f>(SUMIF('PA-Détails'!$R$1709:$R$2514,"=" &amp;'PA-Synthèse'!$B546,'PA-Détails'!Q$1709:Q$2514))/1000</f>
        <v>415829.81599999999</v>
      </c>
      <c r="R546" s="613">
        <f>COUNTIF('PA-Détails'!$R$1709:$R$2514,"=" &amp;'PA-Synthèse'!$B546)</f>
        <v>47</v>
      </c>
      <c r="S546" s="572" t="s">
        <v>1484</v>
      </c>
      <c r="T546" s="572">
        <f t="shared" si="128"/>
        <v>47</v>
      </c>
      <c r="U546" s="572" t="s">
        <v>360</v>
      </c>
      <c r="V546" s="572" t="s">
        <v>1036</v>
      </c>
      <c r="W546" s="572" t="s">
        <v>1438</v>
      </c>
      <c r="X546" s="572" t="s">
        <v>1149</v>
      </c>
      <c r="Y546" s="572" t="s">
        <v>1150</v>
      </c>
      <c r="Z546" s="572" t="s">
        <v>1152</v>
      </c>
      <c r="AA546" s="572" t="s">
        <v>1153</v>
      </c>
      <c r="AB546" s="572" t="s">
        <v>1155</v>
      </c>
      <c r="AC546" s="572" t="s">
        <v>1156</v>
      </c>
      <c r="AD546" s="572" t="s">
        <v>399</v>
      </c>
      <c r="AE546" s="572" t="s">
        <v>400</v>
      </c>
      <c r="AF546" s="572" t="s">
        <v>687</v>
      </c>
      <c r="AG546" s="572" t="s">
        <v>1441</v>
      </c>
      <c r="AH546" s="572" t="s">
        <v>407</v>
      </c>
      <c r="AI546" s="572" t="s">
        <v>1048</v>
      </c>
      <c r="AJ546" s="572" t="s">
        <v>1049</v>
      </c>
      <c r="AK546" s="572" t="s">
        <v>1050</v>
      </c>
      <c r="AL546" s="572" t="s">
        <v>1051</v>
      </c>
      <c r="AM546" s="572" t="s">
        <v>911</v>
      </c>
      <c r="AN546" s="572" t="s">
        <v>1054</v>
      </c>
      <c r="AO546" s="572" t="s">
        <v>424</v>
      </c>
      <c r="AP546" s="572" t="s">
        <v>465</v>
      </c>
      <c r="AQ546" s="572" t="s">
        <v>466</v>
      </c>
      <c r="AR546" s="572" t="s">
        <v>1078</v>
      </c>
      <c r="AS546" s="572" t="s">
        <v>470</v>
      </c>
      <c r="AT546" s="572" t="s">
        <v>467</v>
      </c>
      <c r="AU546" s="572" t="s">
        <v>476</v>
      </c>
      <c r="AV546" s="572" t="s">
        <v>477</v>
      </c>
      <c r="AW546" s="572" t="s">
        <v>478</v>
      </c>
      <c r="AX546" s="572" t="s">
        <v>1083</v>
      </c>
      <c r="AY546" s="572" t="s">
        <v>482</v>
      </c>
      <c r="AZ546" s="572" t="s">
        <v>483</v>
      </c>
      <c r="BA546" s="572" t="s">
        <v>1088</v>
      </c>
      <c r="BB546" s="572" t="s">
        <v>1089</v>
      </c>
      <c r="BC546" s="572" t="s">
        <v>485</v>
      </c>
      <c r="BD546" s="572" t="s">
        <v>962</v>
      </c>
      <c r="BE546" s="572" t="s">
        <v>1091</v>
      </c>
      <c r="BF546" s="572" t="s">
        <v>1092</v>
      </c>
      <c r="BG546" s="572" t="s">
        <v>1093</v>
      </c>
      <c r="BH546" s="572" t="s">
        <v>488</v>
      </c>
      <c r="BI546" s="572" t="s">
        <v>489</v>
      </c>
      <c r="BJ546" s="572" t="s">
        <v>490</v>
      </c>
      <c r="BK546" s="572" t="s">
        <v>496</v>
      </c>
      <c r="BL546" s="572" t="s">
        <v>497</v>
      </c>
      <c r="BM546" s="572" t="s">
        <v>1235</v>
      </c>
      <c r="BN546" s="572" t="s">
        <v>1237</v>
      </c>
      <c r="BO546" s="572" t="s">
        <v>1238</v>
      </c>
    </row>
    <row r="547" spans="2:67" s="572" customFormat="1" hidden="1" x14ac:dyDescent="0.2">
      <c r="B547" s="623" t="s">
        <v>759</v>
      </c>
      <c r="C547" s="624"/>
      <c r="D547" s="624"/>
      <c r="E547" s="624"/>
      <c r="F547" s="624"/>
      <c r="G547" s="624"/>
      <c r="H547" s="624"/>
      <c r="I547" s="624"/>
      <c r="J547" s="624"/>
      <c r="K547" s="624"/>
      <c r="L547" s="626">
        <f>(SUMIF('PA-Détails'!$R$1709:$R$2514,"=" &amp;'PA-Synthèse'!$B547,'PA-Détails'!L$1709:L$2514))/1000</f>
        <v>13.8</v>
      </c>
      <c r="M547" s="626">
        <f>(SUMIF('PA-Détails'!$R$1709:$R$2514,"=" &amp;'PA-Synthèse'!$B547,'PA-Détails'!M$1709:M$2514))/1000</f>
        <v>0</v>
      </c>
      <c r="N547" s="626">
        <f>(SUMIF('PA-Détails'!$R$1709:$R$2514,"=" &amp;'PA-Synthèse'!$B547,'PA-Détails'!N$1709:N$2514))/1000</f>
        <v>0</v>
      </c>
      <c r="O547" s="626">
        <f>(SUMIF('PA-Détails'!$R$1709:$R$2514,"=" &amp;'PA-Synthèse'!$B547,'PA-Détails'!O$1709:O$2514))/1000</f>
        <v>0</v>
      </c>
      <c r="P547" s="626">
        <f>(SUMIF('PA-Détails'!$R$1709:$R$2514,"=" &amp;'PA-Synthèse'!$B547,'PA-Détails'!P$1709:P$2514))/1000</f>
        <v>0</v>
      </c>
      <c r="Q547" s="626">
        <f>(SUMIF('PA-Détails'!$R$1709:$R$2514,"=" &amp;'PA-Synthèse'!$B547,'PA-Détails'!Q$1709:Q$2514))/1000</f>
        <v>13.8</v>
      </c>
      <c r="R547" s="613">
        <f>COUNTIF('PA-Détails'!$R$1709:$R$2514,"=" &amp;'PA-Synthèse'!$B547)</f>
        <v>1</v>
      </c>
      <c r="S547" s="572" t="str">
        <f t="shared" ref="S547:S550" si="132">CONCATENATE(U547," ; ",V547," ; ",W547," ; ",X547," ; ",Y547)</f>
        <v xml:space="preserve">4.4.2.3 Élaboration du module de formation à l'utilisation des manuels scolaires en français, mathématiques et sciences ;  ;  ;  ; </v>
      </c>
      <c r="T547" s="572">
        <f t="shared" si="128"/>
        <v>1</v>
      </c>
      <c r="U547" s="572" t="s">
        <v>1079</v>
      </c>
    </row>
    <row r="548" spans="2:67" s="572" customFormat="1" hidden="1" x14ac:dyDescent="0.2">
      <c r="B548" s="623" t="s">
        <v>751</v>
      </c>
      <c r="C548" s="624"/>
      <c r="D548" s="624"/>
      <c r="E548" s="624"/>
      <c r="F548" s="624"/>
      <c r="G548" s="624"/>
      <c r="H548" s="624"/>
      <c r="I548" s="624"/>
      <c r="J548" s="624"/>
      <c r="K548" s="624"/>
      <c r="L548" s="626">
        <f>(SUMIF('PA-Détails'!$R$1709:$R$2514,"=" &amp;'PA-Synthèse'!$B548,'PA-Détails'!L$1709:L$2514))/1000</f>
        <v>73.5</v>
      </c>
      <c r="M548" s="626">
        <f>(SUMIF('PA-Détails'!$R$1709:$R$2514,"=" &amp;'PA-Synthèse'!$B548,'PA-Détails'!M$1709:M$2514))/1000</f>
        <v>0</v>
      </c>
      <c r="N548" s="626">
        <f>(SUMIF('PA-Détails'!$R$1709:$R$2514,"=" &amp;'PA-Synthèse'!$B548,'PA-Détails'!N$1709:N$2514))/1000</f>
        <v>0</v>
      </c>
      <c r="O548" s="626">
        <f>(SUMIF('PA-Détails'!$R$1709:$R$2514,"=" &amp;'PA-Synthèse'!$B548,'PA-Détails'!O$1709:O$2514))/1000</f>
        <v>0</v>
      </c>
      <c r="P548" s="626">
        <f>(SUMIF('PA-Détails'!$R$1709:$R$2514,"=" &amp;'PA-Synthèse'!$B548,'PA-Détails'!P$1709:P$2514))/1000</f>
        <v>0</v>
      </c>
      <c r="Q548" s="626">
        <f>(SUMIF('PA-Détails'!$R$1709:$R$2514,"=" &amp;'PA-Synthèse'!$B548,'PA-Détails'!Q$1709:Q$2514))/1000</f>
        <v>73.5</v>
      </c>
      <c r="R548" s="613">
        <f>COUNTIF('PA-Détails'!$R$1709:$R$2514,"=" &amp;'PA-Synthèse'!$B548)</f>
        <v>1</v>
      </c>
      <c r="S548" s="572" t="str">
        <f t="shared" si="132"/>
        <v xml:space="preserve">4.1.1.1 Déterminer les contenus et les finalités de la réforme vers l'éducation de base étendue à 8 ans ;  ;  ;  ; </v>
      </c>
      <c r="T548" s="572">
        <f t="shared" si="128"/>
        <v>1</v>
      </c>
      <c r="U548" s="572" t="s">
        <v>230</v>
      </c>
    </row>
    <row r="549" spans="2:67" s="572" customFormat="1" hidden="1" x14ac:dyDescent="0.2">
      <c r="B549" s="623" t="s">
        <v>780</v>
      </c>
      <c r="C549" s="624"/>
      <c r="D549" s="624"/>
      <c r="E549" s="624"/>
      <c r="F549" s="624"/>
      <c r="G549" s="624"/>
      <c r="H549" s="624"/>
      <c r="I549" s="624"/>
      <c r="J549" s="624"/>
      <c r="K549" s="624"/>
      <c r="L549" s="626">
        <f>(SUMIF('PA-Détails'!$R$1709:$R$2514,"=" &amp;'PA-Synthèse'!$B549,'PA-Détails'!L$1709:L$2514))/1000</f>
        <v>0</v>
      </c>
      <c r="M549" s="626">
        <f>(SUMIF('PA-Détails'!$R$1709:$R$2514,"=" &amp;'PA-Synthèse'!$B549,'PA-Détails'!M$1709:M$2514))/1000</f>
        <v>4.5</v>
      </c>
      <c r="N549" s="626">
        <f>(SUMIF('PA-Détails'!$R$1709:$R$2514,"=" &amp;'PA-Synthèse'!$B549,'PA-Détails'!N$1709:N$2514))/1000</f>
        <v>4.5</v>
      </c>
      <c r="O549" s="626">
        <f>(SUMIF('PA-Détails'!$R$1709:$R$2514,"=" &amp;'PA-Synthèse'!$B549,'PA-Détails'!O$1709:O$2514))/1000</f>
        <v>4.5</v>
      </c>
      <c r="P549" s="626">
        <f>(SUMIF('PA-Détails'!$R$1709:$R$2514,"=" &amp;'PA-Synthèse'!$B549,'PA-Détails'!P$1709:P$2514))/1000</f>
        <v>4.5</v>
      </c>
      <c r="Q549" s="626">
        <f>(SUMIF('PA-Détails'!$R$1709:$R$2514,"=" &amp;'PA-Synthèse'!$B549,'PA-Détails'!Q$1709:Q$2514))/1000</f>
        <v>18</v>
      </c>
      <c r="R549" s="613">
        <f>COUNTIF('PA-Détails'!$R$1709:$R$2514,"=" &amp;'PA-Synthèse'!$B549)</f>
        <v>1</v>
      </c>
      <c r="S549" s="572" t="str">
        <f t="shared" si="132"/>
        <v xml:space="preserve">2.6.2.3 Suivi de distribution des manuels scolaires ;  ;  ;  ; </v>
      </c>
      <c r="T549" s="572">
        <f t="shared" si="128"/>
        <v>1</v>
      </c>
      <c r="U549" s="572" t="s">
        <v>402</v>
      </c>
    </row>
    <row r="550" spans="2:67" s="572" customFormat="1" hidden="1" x14ac:dyDescent="0.2">
      <c r="B550" s="623" t="s">
        <v>783</v>
      </c>
      <c r="C550" s="624"/>
      <c r="D550" s="624"/>
      <c r="E550" s="624"/>
      <c r="F550" s="624"/>
      <c r="G550" s="624"/>
      <c r="H550" s="624"/>
      <c r="I550" s="624"/>
      <c r="J550" s="624"/>
      <c r="K550" s="624"/>
      <c r="L550" s="626">
        <f>(SUMIF('PA-Détails'!$R$1709:$R$2514,"=" &amp;'PA-Synthèse'!$B550,'PA-Détails'!L$1709:L$2514))/1000</f>
        <v>2346.0500000000002</v>
      </c>
      <c r="M550" s="626">
        <f>(SUMIF('PA-Détails'!$R$1709:$R$2514,"=" &amp;'PA-Synthèse'!$B550,'PA-Détails'!M$1709:M$2514))/1000</f>
        <v>2465.4</v>
      </c>
      <c r="N550" s="626">
        <f>(SUMIF('PA-Détails'!$R$1709:$R$2514,"=" &amp;'PA-Synthèse'!$B550,'PA-Détails'!N$1709:N$2514))/1000</f>
        <v>2576.5500000000002</v>
      </c>
      <c r="O550" s="626">
        <f>(SUMIF('PA-Détails'!$R$1709:$R$2514,"=" &amp;'PA-Synthèse'!$B550,'PA-Détails'!O$1709:O$2514))/1000</f>
        <v>2668.3</v>
      </c>
      <c r="P550" s="626">
        <f>(SUMIF('PA-Détails'!$R$1709:$R$2514,"=" &amp;'PA-Synthèse'!$B550,'PA-Détails'!P$1709:P$2514))/1000</f>
        <v>2735.75</v>
      </c>
      <c r="Q550" s="626">
        <f>(SUMIF('PA-Détails'!$R$1709:$R$2514,"=" &amp;'PA-Synthèse'!$B550,'PA-Détails'!Q$1709:Q$2514))/1000</f>
        <v>12792.05</v>
      </c>
      <c r="R550" s="613">
        <f>COUNTIF('PA-Détails'!$R$1709:$R$2514,"=" &amp;'PA-Synthèse'!$B550)</f>
        <v>2</v>
      </c>
      <c r="S550" s="572" t="str">
        <f t="shared" si="132"/>
        <v xml:space="preserve">2.8.5.1 Définition d'un kit minimum pour une école d'équipements pour activités physiques et sportives ; 2.8.5.2 Acquisition et distribution d'équipement pour activités physiques et sportives ;  ;  ; </v>
      </c>
      <c r="T550" s="572">
        <f t="shared" si="128"/>
        <v>2</v>
      </c>
      <c r="U550" s="572" t="s">
        <v>1443</v>
      </c>
      <c r="V550" s="572" t="s">
        <v>423</v>
      </c>
    </row>
    <row r="551" spans="2:67" s="572" customFormat="1" hidden="1" x14ac:dyDescent="0.2">
      <c r="B551" s="623" t="s">
        <v>753</v>
      </c>
      <c r="C551" s="624"/>
      <c r="D551" s="624"/>
      <c r="E551" s="624"/>
      <c r="F551" s="624"/>
      <c r="G551" s="624"/>
      <c r="H551" s="624"/>
      <c r="I551" s="624"/>
      <c r="J551" s="624"/>
      <c r="K551" s="624"/>
      <c r="L551" s="626">
        <f>(SUMIF('PA-Détails'!$R$1709:$R$2514,"=" &amp;'PA-Synthèse'!$B551,'PA-Détails'!L$1709:L$2514))/1000</f>
        <v>179788</v>
      </c>
      <c r="M551" s="626">
        <f>(SUMIF('PA-Détails'!$R$1709:$R$2514,"=" &amp;'PA-Synthèse'!$B551,'PA-Détails'!M$1709:M$2514))/1000</f>
        <v>189042.4</v>
      </c>
      <c r="N551" s="626">
        <f>(SUMIF('PA-Détails'!$R$1709:$R$2514,"=" &amp;'PA-Synthèse'!$B551,'PA-Détails'!N$1709:N$2514))/1000</f>
        <v>190637.7</v>
      </c>
      <c r="O551" s="626">
        <f>(SUMIF('PA-Détails'!$R$1709:$R$2514,"=" &amp;'PA-Synthèse'!$B551,'PA-Détails'!O$1709:O$2514))/1000</f>
        <v>190650</v>
      </c>
      <c r="P551" s="626">
        <f>(SUMIF('PA-Détails'!$R$1709:$R$2514,"=" &amp;'PA-Synthèse'!$B551,'PA-Détails'!P$1709:P$2514))/1000</f>
        <v>190662.3</v>
      </c>
      <c r="Q551" s="626">
        <f>(SUMIF('PA-Détails'!$R$1709:$R$2514,"=" &amp;'PA-Synthèse'!$B551,'PA-Détails'!Q$1709:Q$2514))/1000</f>
        <v>940780.4</v>
      </c>
      <c r="R551" s="613">
        <f>COUNTIF('PA-Détails'!$R$1709:$R$2514,"=" &amp;'PA-Synthèse'!$B551)</f>
        <v>12</v>
      </c>
      <c r="S551" s="572" t="str">
        <f t="shared" si="130"/>
        <v xml:space="preserve">1.3.2.1 Construction de salles de classe pour le préprimaire ; 2.1.1.1 Construction de salle de classe primaire ; 2.1.2.1 Réhabilitation de salle de classe ; 2.5.2.2 Mise en place du programme de construction de sanitaires séparés ; 4.1.3.1 Diagnostic et propositions pour la gestion des infrastructures dans le cadre de l'enseignement de base ; 4.2.1.1 Construction de salles de classes ; 4.5.1.1 Acquisition de table-bancs ; 5.3.2.1 Construction et équipement des salles au secondaire ; 5.6.1.1 Acquisition et distribution de table banc ; 8.5.1.1 Plan de renforcement des capacités ; 8.5.2.1 Recrutement d'ingénieurs ; 8.5.2.2 Actions de formation ;  ;  ;  ;  ; </v>
      </c>
      <c r="T551" s="572">
        <f t="shared" si="128"/>
        <v>12</v>
      </c>
      <c r="U551" s="572" t="s">
        <v>192</v>
      </c>
      <c r="V551" s="572" t="s">
        <v>201</v>
      </c>
      <c r="W551" s="572" t="s">
        <v>1439</v>
      </c>
      <c r="X551" s="572" t="s">
        <v>571</v>
      </c>
      <c r="Y551" s="572" t="s">
        <v>232</v>
      </c>
      <c r="Z551" s="572" t="s">
        <v>235</v>
      </c>
      <c r="AA551" s="572" t="s">
        <v>761</v>
      </c>
      <c r="AB551" s="572" t="s">
        <v>243</v>
      </c>
      <c r="AC551" s="572" t="s">
        <v>492</v>
      </c>
      <c r="AD551" s="572" t="s">
        <v>1209</v>
      </c>
      <c r="AE551" s="572" t="s">
        <v>1360</v>
      </c>
      <c r="AF551" s="572" t="s">
        <v>1361</v>
      </c>
    </row>
    <row r="552" spans="2:67" s="572" customFormat="1" hidden="1" x14ac:dyDescent="0.2">
      <c r="B552" s="623" t="s">
        <v>782</v>
      </c>
      <c r="C552" s="624"/>
      <c r="D552" s="624"/>
      <c r="E552" s="624"/>
      <c r="F552" s="624"/>
      <c r="G552" s="624"/>
      <c r="H552" s="624"/>
      <c r="I552" s="624"/>
      <c r="J552" s="624"/>
      <c r="K552" s="624"/>
      <c r="L552" s="626">
        <f>(SUMIF('PA-Détails'!$R$1709:$R$2514,"=" &amp;'PA-Synthèse'!$B552,'PA-Détails'!L$1709:L$2514))/1000</f>
        <v>2213</v>
      </c>
      <c r="M552" s="626">
        <f>(SUMIF('PA-Détails'!$R$1709:$R$2514,"=" &amp;'PA-Synthèse'!$B552,'PA-Détails'!M$1709:M$2514))/1000</f>
        <v>2213</v>
      </c>
      <c r="N552" s="626">
        <f>(SUMIF('PA-Détails'!$R$1709:$R$2514,"=" &amp;'PA-Synthèse'!$B552,'PA-Détails'!N$1709:N$2514))/1000</f>
        <v>2213</v>
      </c>
      <c r="O552" s="626">
        <f>(SUMIF('PA-Détails'!$R$1709:$R$2514,"=" &amp;'PA-Synthèse'!$B552,'PA-Détails'!O$1709:O$2514))/1000</f>
        <v>2213</v>
      </c>
      <c r="P552" s="626">
        <f>(SUMIF('PA-Détails'!$R$1709:$R$2514,"=" &amp;'PA-Synthèse'!$B552,'PA-Détails'!P$1709:P$2514))/1000</f>
        <v>2213</v>
      </c>
      <c r="Q552" s="626">
        <f>(SUMIF('PA-Détails'!$R$1709:$R$2514,"=" &amp;'PA-Synthèse'!$B552,'PA-Détails'!Q$1709:Q$2514))/1000</f>
        <v>11065</v>
      </c>
      <c r="R552" s="613">
        <f>COUNTIF('PA-Détails'!$R$1709:$R$2514,"=" &amp;'PA-Synthèse'!$B552)</f>
        <v>2</v>
      </c>
      <c r="S552" s="572" t="str">
        <f t="shared" ref="S552" si="133">CONCATENATE(U552," ; ",V552," ; ",W552," ; ",X552," ; ",Y552)</f>
        <v xml:space="preserve">2.6.5.1 Acquisition et distribution d'armoires de stockage ; 8.17.8.1 Respect des normes de constructions ;  ;  ; </v>
      </c>
      <c r="T552" s="572">
        <f t="shared" si="128"/>
        <v>2</v>
      </c>
      <c r="U552" s="572" t="s">
        <v>411</v>
      </c>
      <c r="V552" s="572" t="s">
        <v>1475</v>
      </c>
    </row>
    <row r="553" spans="2:67" s="572" customFormat="1" hidden="1" x14ac:dyDescent="0.2">
      <c r="B553" s="623" t="s">
        <v>836</v>
      </c>
      <c r="C553" s="624"/>
      <c r="D553" s="624"/>
      <c r="E553" s="624"/>
      <c r="F553" s="624"/>
      <c r="G553" s="624"/>
      <c r="H553" s="624"/>
      <c r="I553" s="624"/>
      <c r="J553" s="624"/>
      <c r="K553" s="624"/>
      <c r="L553" s="626">
        <f>(SUMIF('PA-Détails'!$R$1709:$R$2514,"=" &amp;'PA-Synthèse'!$B553,'PA-Détails'!L$1709:L$2514))/1000</f>
        <v>2519.4</v>
      </c>
      <c r="M553" s="626">
        <f>(SUMIF('PA-Détails'!$R$1709:$R$2514,"=" &amp;'PA-Synthèse'!$B553,'PA-Détails'!M$1709:M$2514))/1000</f>
        <v>2519.4</v>
      </c>
      <c r="N553" s="626">
        <f>(SUMIF('PA-Détails'!$R$1709:$R$2514,"=" &amp;'PA-Synthèse'!$B553,'PA-Détails'!N$1709:N$2514))/1000</f>
        <v>2519.4</v>
      </c>
      <c r="O553" s="626">
        <f>(SUMIF('PA-Détails'!$R$1709:$R$2514,"=" &amp;'PA-Synthèse'!$B553,'PA-Détails'!O$1709:O$2514))/1000</f>
        <v>2519.4</v>
      </c>
      <c r="P553" s="626">
        <f>(SUMIF('PA-Détails'!$R$1709:$R$2514,"=" &amp;'PA-Synthèse'!$B553,'PA-Détails'!P$1709:P$2514))/1000</f>
        <v>2519.4</v>
      </c>
      <c r="Q553" s="626">
        <f>(SUMIF('PA-Détails'!$R$1709:$R$2514,"=" &amp;'PA-Synthèse'!$B553,'PA-Détails'!Q$1709:Q$2514))/1000</f>
        <v>12597</v>
      </c>
      <c r="R553" s="613">
        <f>COUNTIF('PA-Détails'!$R$1709:$R$2514,"=" &amp;'PA-Synthèse'!$B553)</f>
        <v>6</v>
      </c>
      <c r="S553" s="572" t="str">
        <f t="shared" si="130"/>
        <v xml:space="preserve">8.17.10.1 Mise en place des infrastructures temporaires d’apprentissage pour les déplacés ; 8.17.10.2 Équipement des infrastructures temporaires d’apprentissage pour les déplacés ; 8.17.4.4 Équipement des infrastructures temporaires d’apprentissage ; 8.17.7.1 Identification des structures scolaires affectées par les conflits et catastrophes naturelles ; 8.17.7.2 Réhabilitation des infrastructures et des équipements éducatifs ; 8.17.7.3 Mise en place des infrastructures temporaires d’apprentissage ;  ;  ;  ;  ;  ;  ;  ;  ;  ;  ; </v>
      </c>
      <c r="T553" s="572">
        <f t="shared" si="128"/>
        <v>6</v>
      </c>
      <c r="U553" s="572" t="s">
        <v>1384</v>
      </c>
      <c r="V553" s="572" t="s">
        <v>1385</v>
      </c>
      <c r="W553" s="572" t="s">
        <v>1338</v>
      </c>
      <c r="X553" s="572" t="s">
        <v>1473</v>
      </c>
      <c r="Y553" s="572" t="s">
        <v>1474</v>
      </c>
      <c r="Z553" s="572" t="s">
        <v>1377</v>
      </c>
    </row>
    <row r="554" spans="2:67" s="572" customFormat="1" hidden="1" x14ac:dyDescent="0.2">
      <c r="B554" s="623" t="s">
        <v>778</v>
      </c>
      <c r="C554" s="624"/>
      <c r="D554" s="624"/>
      <c r="E554" s="624"/>
      <c r="F554" s="624"/>
      <c r="G554" s="624"/>
      <c r="H554" s="624"/>
      <c r="I554" s="624"/>
      <c r="J554" s="624"/>
      <c r="K554" s="624"/>
      <c r="L554" s="626">
        <f>(SUMIF('PA-Détails'!$R$1709:$R$2514,"=" &amp;'PA-Synthèse'!$B554,'PA-Détails'!L$1709:L$2514))/1000</f>
        <v>442.5</v>
      </c>
      <c r="M554" s="626">
        <f>(SUMIF('PA-Détails'!$R$1709:$R$2514,"=" &amp;'PA-Synthèse'!$B554,'PA-Détails'!M$1709:M$2514))/1000</f>
        <v>1397.8389999999999</v>
      </c>
      <c r="N554" s="626">
        <f>(SUMIF('PA-Détails'!$R$1709:$R$2514,"=" &amp;'PA-Synthèse'!$B554,'PA-Détails'!N$1709:N$2514))/1000</f>
        <v>2438.5830000000001</v>
      </c>
      <c r="O554" s="626">
        <f>(SUMIF('PA-Détails'!$R$1709:$R$2514,"=" &amp;'PA-Synthèse'!$B554,'PA-Détails'!O$1709:O$2514))/1000</f>
        <v>3404.5230000000001</v>
      </c>
      <c r="P554" s="626">
        <f>(SUMIF('PA-Détails'!$R$1709:$R$2514,"=" &amp;'PA-Synthèse'!$B554,'PA-Détails'!P$1709:P$2514))/1000</f>
        <v>4407.8620000000001</v>
      </c>
      <c r="Q554" s="626">
        <f>(SUMIF('PA-Détails'!$R$1709:$R$2514,"=" &amp;'PA-Synthèse'!$B554,'PA-Détails'!Q$1709:Q$2514))/1000</f>
        <v>12091.307000000001</v>
      </c>
      <c r="R554" s="613">
        <f>COUNTIF('PA-Détails'!$R$1709:$R$2514,"=" &amp;'PA-Synthèse'!$B554)</f>
        <v>7</v>
      </c>
      <c r="S554" s="572" t="str">
        <f t="shared" si="130"/>
        <v xml:space="preserve">2.4.2.1 Étude de faisabilité sur la mise en place des cantines scolaires ; 2.4.3.1 Identification des familles bénéficiaires ; 2.4.3.2 Distribution de l'allocation aux familles ; 2.4.5.2 Distribution de l'allocation aux élèves ; 8.17.12.1 Sensibiliser les élèves et les enseignants sur les risques des crises ainsi que le comportement à adopter y compris le soutien psycho-social ; 8.18.5.1 Formation du personnel enseignant et des administrateurs sur la prévention des conflits et des violences en milieu scolaire et universitaire ; 8.18.6.1 Campagnes de sensibilisation à travers les radios communautaires ;  ;  ;  ;  ;  ;  ;  ;  ;  ; </v>
      </c>
      <c r="T554" s="572">
        <f t="shared" si="128"/>
        <v>7</v>
      </c>
      <c r="U554" s="572" t="s">
        <v>1045</v>
      </c>
      <c r="V554" s="572" t="s">
        <v>789</v>
      </c>
      <c r="W554" s="572" t="s">
        <v>790</v>
      </c>
      <c r="X554" s="572" t="s">
        <v>683</v>
      </c>
      <c r="Y554" s="572" t="s">
        <v>1389</v>
      </c>
      <c r="Z554" s="572" t="s">
        <v>1395</v>
      </c>
      <c r="AA554" s="572" t="s">
        <v>1397</v>
      </c>
    </row>
    <row r="555" spans="2:67" s="572" customFormat="1" hidden="1" x14ac:dyDescent="0.2">
      <c r="B555" s="623" t="s">
        <v>777</v>
      </c>
      <c r="C555" s="624"/>
      <c r="D555" s="624"/>
      <c r="E555" s="624"/>
      <c r="F555" s="624"/>
      <c r="G555" s="624"/>
      <c r="H555" s="624"/>
      <c r="I555" s="624"/>
      <c r="J555" s="624"/>
      <c r="K555" s="624"/>
      <c r="L555" s="626">
        <f>(SUMIF('PA-Détails'!$R$1709:$R$2514,"=" &amp;'PA-Synthèse'!$B555,'PA-Détails'!L$1709:L$2514))/1000</f>
        <v>4.5</v>
      </c>
      <c r="M555" s="626">
        <f>(SUMIF('PA-Détails'!$R$1709:$R$2514,"=" &amp;'PA-Synthèse'!$B555,'PA-Détails'!M$1709:M$2514))/1000</f>
        <v>296</v>
      </c>
      <c r="N555" s="626">
        <f>(SUMIF('PA-Détails'!$R$1709:$R$2514,"=" &amp;'PA-Synthèse'!$B555,'PA-Détails'!N$1709:N$2514))/1000</f>
        <v>296</v>
      </c>
      <c r="O555" s="626">
        <f>(SUMIF('PA-Détails'!$R$1709:$R$2514,"=" &amp;'PA-Synthèse'!$B555,'PA-Détails'!O$1709:O$2514))/1000</f>
        <v>2787</v>
      </c>
      <c r="P555" s="626">
        <f>(SUMIF('PA-Détails'!$R$1709:$R$2514,"=" &amp;'PA-Synthèse'!$B555,'PA-Détails'!P$1709:P$2514))/1000</f>
        <v>5287</v>
      </c>
      <c r="Q555" s="626">
        <f>(SUMIF('PA-Détails'!$R$1709:$R$2514,"=" &amp;'PA-Synthèse'!$B555,'PA-Détails'!Q$1709:Q$2514))/1000</f>
        <v>8670.5</v>
      </c>
      <c r="R555" s="613">
        <f>COUNTIF('PA-Détails'!$R$1709:$R$2514,"=" &amp;'PA-Synthèse'!$B555)</f>
        <v>3</v>
      </c>
      <c r="S555" s="572" t="str">
        <f t="shared" ref="S555" si="134">CONCATENATE(U555," ; ",V555," ; ",W555," ; ",X555," ; ",Y555)</f>
        <v xml:space="preserve">2.4.1.1 Étude de faisabilité de création des coopératives scolaires ; 2.4.1.2 Mise en place de mesures d'incitation à la création de coopératives scolaires ; 2.4.2.2 Mise en place de mesures d'incitations à la création de cantines scolaires ;  ; </v>
      </c>
      <c r="T555" s="572">
        <f t="shared" si="128"/>
        <v>3</v>
      </c>
      <c r="U555" s="572" t="s">
        <v>1044</v>
      </c>
      <c r="V555" s="572" t="s">
        <v>673</v>
      </c>
      <c r="W555" s="572" t="s">
        <v>676</v>
      </c>
    </row>
    <row r="556" spans="2:67" s="572" customFormat="1" hidden="1" x14ac:dyDescent="0.2">
      <c r="B556" s="623" t="s">
        <v>752</v>
      </c>
      <c r="C556" s="624"/>
      <c r="D556" s="624"/>
      <c r="E556" s="624"/>
      <c r="F556" s="624"/>
      <c r="G556" s="624"/>
      <c r="H556" s="624"/>
      <c r="I556" s="624"/>
      <c r="J556" s="624"/>
      <c r="K556" s="624"/>
      <c r="L556" s="626">
        <f>(SUMIF('PA-Détails'!$R$1709:$R$2514,"=" &amp;'PA-Synthèse'!$B556,'PA-Détails'!L$1709:L$2514))/1000</f>
        <v>307.5</v>
      </c>
      <c r="M556" s="626">
        <f>(SUMIF('PA-Détails'!$R$1709:$R$2514,"=" &amp;'PA-Synthèse'!$B556,'PA-Détails'!M$1709:M$2514))/1000</f>
        <v>14072.5</v>
      </c>
      <c r="N556" s="626">
        <f>(SUMIF('PA-Détails'!$R$1709:$R$2514,"=" &amp;'PA-Synthèse'!$B556,'PA-Détails'!N$1709:N$2514))/1000</f>
        <v>20252.5</v>
      </c>
      <c r="O556" s="626">
        <f>(SUMIF('PA-Détails'!$R$1709:$R$2514,"=" &amp;'PA-Synthèse'!$B556,'PA-Détails'!O$1709:O$2514))/1000</f>
        <v>14075</v>
      </c>
      <c r="P556" s="626">
        <f>(SUMIF('PA-Détails'!$R$1709:$R$2514,"=" &amp;'PA-Synthèse'!$B556,'PA-Détails'!P$1709:P$2514))/1000</f>
        <v>14075</v>
      </c>
      <c r="Q556" s="626">
        <f>(SUMIF('PA-Détails'!$R$1709:$R$2514,"=" &amp;'PA-Synthèse'!$B556,'PA-Détails'!Q$1709:Q$2514))/1000</f>
        <v>62782.5</v>
      </c>
      <c r="R556" s="613">
        <f>COUNTIF('PA-Détails'!$R$1709:$R$2514,"=" &amp;'PA-Synthèse'!$B556)</f>
        <v>15</v>
      </c>
      <c r="S556" s="572" t="str">
        <f t="shared" si="130"/>
        <v xml:space="preserve">1.2.2.1 Assurer le fonctionnement de la phase pilote de la classe préparatoire ; 1.2.2.2 Évaluer l'expérience pilote ; 2.11.1.1 Équipement des inspecteurs en Moto ; 2.11.2.1 Assurer l'encadrement pédagogique et administratifs des écoles ; 2.7.4.1 Élaboration d'outils d'évaluation ; 2.7.4.2  Réalisation par les inspecteurs d'évaluations régulières des actions des écoles pour la lecture ; 2.9.4.1 Élaboration d'outils de suivi et d'évaluation ; 4.1.2.1 Déterminer les profils des enseignants ; 4.7.1.1 Renforcement des moyen des déplacements ; 4.7.2.1 Assurer l'encadrement pédagogique et administratifs des écoles ; 5.2.1.3 Assurer la réalisation de l'examen national ; 5.9.1.1 Renforcement des moyen des déplacements ; 5.9.2.1 Assurer l'encadrement pédagogique et administratifs des écoles ; 5.9.3.1 Équipement des inspecteurs en ordinateurs portables ; 8.13.2.1 Sensibilisation des directeurs d'écoles et des inspecteurs ;  ; </v>
      </c>
      <c r="T556" s="572">
        <f t="shared" si="128"/>
        <v>15</v>
      </c>
      <c r="U556" s="572" t="s">
        <v>666</v>
      </c>
      <c r="V556" s="572" t="s">
        <v>190</v>
      </c>
      <c r="W556" s="572" t="s">
        <v>1161</v>
      </c>
      <c r="X556" s="572" t="s">
        <v>1163</v>
      </c>
      <c r="Y556" s="572" t="s">
        <v>416</v>
      </c>
      <c r="Z556" s="572" t="s">
        <v>417</v>
      </c>
      <c r="AA556" s="572" t="s">
        <v>1444</v>
      </c>
      <c r="AB556" s="572" t="s">
        <v>231</v>
      </c>
      <c r="AC556" s="572" t="s">
        <v>1080</v>
      </c>
      <c r="AD556" s="572" t="s">
        <v>1081</v>
      </c>
      <c r="AE556" s="572" t="s">
        <v>889</v>
      </c>
      <c r="AF556" s="572" t="s">
        <v>1187</v>
      </c>
      <c r="AG556" s="572" t="s">
        <v>1189</v>
      </c>
      <c r="AH556" s="572" t="s">
        <v>1191</v>
      </c>
      <c r="AI556" s="572" t="s">
        <v>1285</v>
      </c>
    </row>
    <row r="557" spans="2:67" s="572" customFormat="1" hidden="1" x14ac:dyDescent="0.2">
      <c r="B557" s="623" t="s">
        <v>843</v>
      </c>
      <c r="C557" s="624"/>
      <c r="D557" s="624"/>
      <c r="E557" s="624"/>
      <c r="F557" s="624"/>
      <c r="G557" s="624"/>
      <c r="H557" s="624"/>
      <c r="I557" s="624"/>
      <c r="J557" s="624"/>
      <c r="K557" s="624"/>
      <c r="L557" s="626">
        <f>(SUMIF('PA-Détails'!$R$1709:$R$2514,"=" &amp;'PA-Synthèse'!$B557,'PA-Détails'!L$1709:L$2514))/1000</f>
        <v>5.5</v>
      </c>
      <c r="M557" s="626">
        <f>(SUMIF('PA-Détails'!$R$1709:$R$2514,"=" &amp;'PA-Synthèse'!$B557,'PA-Détails'!M$1709:M$2514))/1000</f>
        <v>5.5</v>
      </c>
      <c r="N557" s="626">
        <f>(SUMIF('PA-Détails'!$R$1709:$R$2514,"=" &amp;'PA-Synthèse'!$B557,'PA-Détails'!N$1709:N$2514))/1000</f>
        <v>5.5</v>
      </c>
      <c r="O557" s="626">
        <f>(SUMIF('PA-Détails'!$R$1709:$R$2514,"=" &amp;'PA-Synthèse'!$B557,'PA-Détails'!O$1709:O$2514))/1000</f>
        <v>0</v>
      </c>
      <c r="P557" s="626">
        <f>(SUMIF('PA-Détails'!$R$1709:$R$2514,"=" &amp;'PA-Synthèse'!$B557,'PA-Détails'!P$1709:P$2514))/1000</f>
        <v>0</v>
      </c>
      <c r="Q557" s="626">
        <f>(SUMIF('PA-Détails'!$R$1709:$R$2514,"=" &amp;'PA-Synthèse'!$B557,'PA-Détails'!Q$1709:Q$2514))/1000</f>
        <v>16.5</v>
      </c>
      <c r="R557" s="613">
        <f>COUNTIF('PA-Détails'!$R$1709:$R$2514,"=" &amp;'PA-Synthèse'!$B557)</f>
        <v>1</v>
      </c>
      <c r="S557" s="572" t="str">
        <f t="shared" ref="S557:S559" si="135">CONCATENATE(U557," ; ",V557," ; ",W557," ; ",X557," ; ",Y557)</f>
        <v xml:space="preserve">8.17.12.2 Former les inspecteurs formateurs des enseignants sur les risques de catastrophe naturelle, leurs conséquences et le comportement à tenir à destination des élèves ;  ;  ;  ; </v>
      </c>
      <c r="T557" s="572">
        <f t="shared" si="128"/>
        <v>1</v>
      </c>
      <c r="U557" s="572" t="s">
        <v>1390</v>
      </c>
    </row>
    <row r="558" spans="2:67" s="572" customFormat="1" hidden="1" x14ac:dyDescent="0.2">
      <c r="B558" s="623" t="s">
        <v>842</v>
      </c>
      <c r="C558" s="624"/>
      <c r="D558" s="624"/>
      <c r="E558" s="624"/>
      <c r="F558" s="624"/>
      <c r="G558" s="624"/>
      <c r="H558" s="624"/>
      <c r="I558" s="624"/>
      <c r="J558" s="624"/>
      <c r="K558" s="624"/>
      <c r="L558" s="626">
        <f>(SUMIF('PA-Détails'!$R$1709:$R$2514,"=" &amp;'PA-Synthèse'!$B558,'PA-Détails'!L$1709:L$2514))/1000</f>
        <v>6.9</v>
      </c>
      <c r="M558" s="626">
        <f>(SUMIF('PA-Détails'!$R$1709:$R$2514,"=" &amp;'PA-Synthèse'!$B558,'PA-Détails'!M$1709:M$2514))/1000</f>
        <v>0.4</v>
      </c>
      <c r="N558" s="626">
        <f>(SUMIF('PA-Détails'!$R$1709:$R$2514,"=" &amp;'PA-Synthèse'!$B558,'PA-Détails'!N$1709:N$2514))/1000</f>
        <v>0.4</v>
      </c>
      <c r="O558" s="626">
        <f>(SUMIF('PA-Détails'!$R$1709:$R$2514,"=" &amp;'PA-Synthèse'!$B558,'PA-Détails'!O$1709:O$2514))/1000</f>
        <v>0.4</v>
      </c>
      <c r="P558" s="626">
        <f>(SUMIF('PA-Détails'!$R$1709:$R$2514,"=" &amp;'PA-Synthèse'!$B558,'PA-Détails'!P$1709:P$2514))/1000</f>
        <v>0.4</v>
      </c>
      <c r="Q558" s="626">
        <f>(SUMIF('PA-Détails'!$R$1709:$R$2514,"=" &amp;'PA-Synthèse'!$B558,'PA-Détails'!Q$1709:Q$2514))/1000</f>
        <v>8.5</v>
      </c>
      <c r="R558" s="613">
        <f>COUNTIF('PA-Détails'!$R$1709:$R$2514,"=" &amp;'PA-Synthèse'!$B558)</f>
        <v>1</v>
      </c>
      <c r="S558" s="572" t="str">
        <f t="shared" si="135"/>
        <v xml:space="preserve">8.17.11.1 Élaboration d'un guide pratique pour adapter le calendrier et les horaires ;  ;  ;  ; </v>
      </c>
      <c r="T558" s="572">
        <f t="shared" si="128"/>
        <v>1</v>
      </c>
      <c r="U558" s="572" t="s">
        <v>1387</v>
      </c>
    </row>
    <row r="559" spans="2:67" s="572" customFormat="1" hidden="1" x14ac:dyDescent="0.2">
      <c r="B559" s="623" t="s">
        <v>1047</v>
      </c>
      <c r="C559" s="624"/>
      <c r="D559" s="624"/>
      <c r="E559" s="624"/>
      <c r="F559" s="624"/>
      <c r="G559" s="624"/>
      <c r="H559" s="624"/>
      <c r="I559" s="624"/>
      <c r="J559" s="624"/>
      <c r="K559" s="624"/>
      <c r="L559" s="626">
        <f>(SUMIF('PA-Détails'!$R$1709:$R$2514,"=" &amp;'PA-Synthèse'!$B559,'PA-Détails'!L$1709:L$2514))/1000</f>
        <v>10.199999999999999</v>
      </c>
      <c r="M559" s="626">
        <f>(SUMIF('PA-Détails'!$R$1709:$R$2514,"=" &amp;'PA-Synthèse'!$B559,'PA-Détails'!M$1709:M$2514))/1000</f>
        <v>0</v>
      </c>
      <c r="N559" s="626">
        <f>(SUMIF('PA-Détails'!$R$1709:$R$2514,"=" &amp;'PA-Synthèse'!$B559,'PA-Détails'!N$1709:N$2514))/1000</f>
        <v>0</v>
      </c>
      <c r="O559" s="626">
        <f>(SUMIF('PA-Détails'!$R$1709:$R$2514,"=" &amp;'PA-Synthèse'!$B559,'PA-Détails'!O$1709:O$2514))/1000</f>
        <v>0</v>
      </c>
      <c r="P559" s="626">
        <f>(SUMIF('PA-Détails'!$R$1709:$R$2514,"=" &amp;'PA-Synthèse'!$B559,'PA-Détails'!P$1709:P$2514))/1000</f>
        <v>0</v>
      </c>
      <c r="Q559" s="626">
        <f>(SUMIF('PA-Détails'!$R$1709:$R$2514,"=" &amp;'PA-Synthèse'!$B559,'PA-Détails'!Q$1709:Q$2514))/1000</f>
        <v>10.199999999999999</v>
      </c>
      <c r="R559" s="613">
        <f>COUNTIF('PA-Détails'!$R$1709:$R$2514,"=" &amp;'PA-Synthèse'!$B559)</f>
        <v>1</v>
      </c>
      <c r="S559" s="572" t="str">
        <f t="shared" si="135"/>
        <v xml:space="preserve">2.6.3.1 Élaboration de plaquettes sur l'éducation à la gestion, l'éducation à la paix et à la citoyenneté ;  ;  ;  ; </v>
      </c>
      <c r="T559" s="572">
        <f t="shared" si="128"/>
        <v>1</v>
      </c>
      <c r="U559" s="572" t="s">
        <v>1046</v>
      </c>
    </row>
    <row r="560" spans="2:67" s="572" customFormat="1" hidden="1" x14ac:dyDescent="0.2">
      <c r="B560" s="623" t="s">
        <v>772</v>
      </c>
      <c r="C560" s="624"/>
      <c r="D560" s="624"/>
      <c r="E560" s="624"/>
      <c r="F560" s="624"/>
      <c r="G560" s="624"/>
      <c r="H560" s="624"/>
      <c r="I560" s="624"/>
      <c r="J560" s="624"/>
      <c r="K560" s="624"/>
      <c r="L560" s="626">
        <f>(SUMIF('PA-Détails'!$R$1709:$R$2514,"=" &amp;'PA-Synthèse'!$B560,'PA-Détails'!L$1709:L$2514))/1000</f>
        <v>106741.89</v>
      </c>
      <c r="M560" s="626">
        <f>(SUMIF('PA-Détails'!$R$1709:$R$2514,"=" &amp;'PA-Synthèse'!$B560,'PA-Détails'!M$1709:M$2514))/1000</f>
        <v>118788.72</v>
      </c>
      <c r="N560" s="626">
        <f>(SUMIF('PA-Détails'!$R$1709:$R$2514,"=" &amp;'PA-Synthèse'!$B560,'PA-Détails'!N$1709:N$2514))/1000</f>
        <v>135188.82</v>
      </c>
      <c r="O560" s="626">
        <f>(SUMIF('PA-Détails'!$R$1709:$R$2514,"=" &amp;'PA-Synthèse'!$B560,'PA-Détails'!O$1709:O$2514))/1000</f>
        <v>154235.75</v>
      </c>
      <c r="P560" s="626">
        <f>(SUMIF('PA-Détails'!$R$1709:$R$2514,"=" &amp;'PA-Synthèse'!$B560,'PA-Détails'!P$1709:P$2514))/1000</f>
        <v>176113.97</v>
      </c>
      <c r="Q560" s="626">
        <f>(SUMIF('PA-Détails'!$R$1709:$R$2514,"=" &amp;'PA-Synthèse'!$B560,'PA-Détails'!Q$1709:Q$2514))/1000</f>
        <v>691069.15</v>
      </c>
      <c r="R560" s="613">
        <f>COUNTIF('PA-Détails'!$R$1709:$R$2514,"=" &amp;'PA-Synthèse'!$B560)</f>
        <v>6</v>
      </c>
      <c r="S560" s="572" t="str">
        <f t="shared" si="130"/>
        <v xml:space="preserve">1.3.1.1 Recenser les enseignants de la classe préparatoire ; 1.3.1.2 Paiement des enseignants (préscolaire yc préparatoire) ; 2.5.1.2 Assurer la distribution des allocations ; 8.1.1.1 Rémunération des personnels des services centraux  EPSINC ; 8.2.1.1 Rémunération du personnel des bureaux gestionnaires  EPSINC ; 8.2.2.1 Subvention de fonctionnement des BG du MEPSINC ;  ;  ;  ;  ;  ;  ;  ;  ;  ;  ; </v>
      </c>
      <c r="T560" s="572">
        <f t="shared" si="128"/>
        <v>6</v>
      </c>
      <c r="U560" s="572" t="s">
        <v>197</v>
      </c>
      <c r="V560" s="572" t="s">
        <v>989</v>
      </c>
      <c r="W560" s="572" t="s">
        <v>568</v>
      </c>
      <c r="X560" s="572" t="s">
        <v>1124</v>
      </c>
      <c r="Y560" s="572" t="s">
        <v>992</v>
      </c>
      <c r="Z560" s="572" t="s">
        <v>642</v>
      </c>
    </row>
    <row r="561" spans="2:33" s="572" customFormat="1" hidden="1" x14ac:dyDescent="0.2">
      <c r="B561" s="623" t="s">
        <v>775</v>
      </c>
      <c r="C561" s="624"/>
      <c r="D561" s="624"/>
      <c r="E561" s="624"/>
      <c r="F561" s="624"/>
      <c r="G561" s="624"/>
      <c r="H561" s="624"/>
      <c r="I561" s="624"/>
      <c r="J561" s="624"/>
      <c r="K561" s="624"/>
      <c r="L561" s="626">
        <f>(SUMIF('PA-Détails'!$R$1709:$R$2514,"=" &amp;'PA-Synthèse'!$B561,'PA-Détails'!L$1709:L$2514))/1000</f>
        <v>9.9</v>
      </c>
      <c r="M561" s="626">
        <f>(SUMIF('PA-Détails'!$R$1709:$R$2514,"=" &amp;'PA-Synthèse'!$B561,'PA-Détails'!M$1709:M$2514))/1000</f>
        <v>19.8</v>
      </c>
      <c r="N561" s="626">
        <f>(SUMIF('PA-Détails'!$R$1709:$R$2514,"=" &amp;'PA-Synthèse'!$B561,'PA-Détails'!N$1709:N$2514))/1000</f>
        <v>29.7</v>
      </c>
      <c r="O561" s="626">
        <f>(SUMIF('PA-Détails'!$R$1709:$R$2514,"=" &amp;'PA-Synthèse'!$B561,'PA-Détails'!O$1709:O$2514))/1000</f>
        <v>29.7</v>
      </c>
      <c r="P561" s="626">
        <f>(SUMIF('PA-Détails'!$R$1709:$R$2514,"=" &amp;'PA-Synthèse'!$B561,'PA-Détails'!P$1709:P$2514))/1000</f>
        <v>29.7</v>
      </c>
      <c r="Q561" s="626">
        <f>(SUMIF('PA-Détails'!$R$1709:$R$2514,"=" &amp;'PA-Synthèse'!$B561,'PA-Détails'!Q$1709:Q$2514))/1000</f>
        <v>118.8</v>
      </c>
      <c r="R561" s="613">
        <f>COUNTIF('PA-Détails'!$R$1709:$R$2514,"=" &amp;'PA-Synthèse'!$B561)</f>
        <v>1</v>
      </c>
      <c r="S561" s="572" t="str">
        <f t="shared" ref="S561:S564" si="136">CONCATENATE(U561," ; ",V561," ; ",W561," ; ",X561," ; ",Y561)</f>
        <v xml:space="preserve">2.2.2.1 Identification des écoles bénéficiaires de la subvention ;  ;  ;  ; </v>
      </c>
      <c r="T561" s="572">
        <f t="shared" si="128"/>
        <v>1</v>
      </c>
      <c r="U561" s="572" t="s">
        <v>668</v>
      </c>
    </row>
    <row r="562" spans="2:33" s="572" customFormat="1" hidden="1" x14ac:dyDescent="0.2">
      <c r="B562" s="623" t="s">
        <v>773</v>
      </c>
      <c r="C562" s="624"/>
      <c r="D562" s="624"/>
      <c r="E562" s="624"/>
      <c r="F562" s="624"/>
      <c r="G562" s="624"/>
      <c r="H562" s="624"/>
      <c r="I562" s="624"/>
      <c r="J562" s="624"/>
      <c r="K562" s="624"/>
      <c r="L562" s="626">
        <f>(SUMIF('PA-Détails'!$R$1709:$R$2514,"=" &amp;'PA-Synthèse'!$B562,'PA-Détails'!L$1709:L$2514))/1000</f>
        <v>18.899999999999999</v>
      </c>
      <c r="M562" s="626">
        <f>(SUMIF('PA-Détails'!$R$1709:$R$2514,"=" &amp;'PA-Synthèse'!$B562,'PA-Détails'!M$1709:M$2514))/1000</f>
        <v>37.799999999999997</v>
      </c>
      <c r="N562" s="626">
        <f>(SUMIF('PA-Détails'!$R$1709:$R$2514,"=" &amp;'PA-Synthèse'!$B562,'PA-Détails'!N$1709:N$2514))/1000</f>
        <v>56.7</v>
      </c>
      <c r="O562" s="626">
        <f>(SUMIF('PA-Détails'!$R$1709:$R$2514,"=" &amp;'PA-Synthèse'!$B562,'PA-Détails'!O$1709:O$2514))/1000</f>
        <v>56.7</v>
      </c>
      <c r="P562" s="626">
        <f>(SUMIF('PA-Détails'!$R$1709:$R$2514,"=" &amp;'PA-Synthèse'!$B562,'PA-Détails'!P$1709:P$2514))/1000</f>
        <v>56.7</v>
      </c>
      <c r="Q562" s="626">
        <f>(SUMIF('PA-Détails'!$R$1709:$R$2514,"=" &amp;'PA-Synthèse'!$B562,'PA-Détails'!Q$1709:Q$2514))/1000</f>
        <v>226.8</v>
      </c>
      <c r="R562" s="613">
        <f>COUNTIF('PA-Détails'!$R$1709:$R$2514,"=" &amp;'PA-Synthèse'!$B562)</f>
        <v>1</v>
      </c>
      <c r="S562" s="572" t="str">
        <f t="shared" si="136"/>
        <v xml:space="preserve">2.2.1.1 Recenser les enseignants du primaire à prendre en charge ;  ;  ;  ; </v>
      </c>
      <c r="T562" s="572">
        <f t="shared" si="128"/>
        <v>1</v>
      </c>
      <c r="U562" s="572" t="s">
        <v>206</v>
      </c>
    </row>
    <row r="563" spans="2:33" s="572" customFormat="1" hidden="1" x14ac:dyDescent="0.2">
      <c r="B563" s="623" t="s">
        <v>774</v>
      </c>
      <c r="C563" s="624"/>
      <c r="D563" s="624"/>
      <c r="E563" s="624"/>
      <c r="F563" s="624"/>
      <c r="G563" s="624"/>
      <c r="H563" s="624"/>
      <c r="I563" s="624"/>
      <c r="J563" s="624"/>
      <c r="K563" s="624"/>
      <c r="L563" s="626">
        <f>(SUMIF('PA-Détails'!$R$1709:$R$2514,"=" &amp;'PA-Synthèse'!$B563,'PA-Détails'!L$1709:L$2514))/1000</f>
        <v>383107.35901758051</v>
      </c>
      <c r="M563" s="626">
        <f>(SUMIF('PA-Détails'!$R$1709:$R$2514,"=" &amp;'PA-Synthèse'!$B563,'PA-Détails'!M$1709:M$2514))/1000</f>
        <v>422742.2591699175</v>
      </c>
      <c r="N563" s="626">
        <f>(SUMIF('PA-Détails'!$R$1709:$R$2514,"=" &amp;'PA-Synthèse'!$B563,'PA-Détails'!N$1709:N$2514))/1000</f>
        <v>463222.94983057224</v>
      </c>
      <c r="O563" s="626">
        <f>(SUMIF('PA-Détails'!$R$1709:$R$2514,"=" &amp;'PA-Synthèse'!$B563,'PA-Détails'!O$1709:O$2514))/1000</f>
        <v>504220.62995687139</v>
      </c>
      <c r="P563" s="626">
        <f>(SUMIF('PA-Détails'!$R$1709:$R$2514,"=" &amp;'PA-Synthèse'!$B563,'PA-Détails'!P$1709:P$2514))/1000</f>
        <v>542156.51396220422</v>
      </c>
      <c r="Q563" s="626">
        <f>(SUMIF('PA-Détails'!$R$1709:$R$2514,"=" &amp;'PA-Synthèse'!$B563,'PA-Détails'!Q$1709:Q$2514))/1000</f>
        <v>2315449.7119371463</v>
      </c>
      <c r="R563" s="613">
        <f>COUNTIF('PA-Détails'!$R$1709:$R$2514,"=" &amp;'PA-Synthèse'!$B563)</f>
        <v>4</v>
      </c>
      <c r="S563" s="572" t="str">
        <f t="shared" si="136"/>
        <v xml:space="preserve">2.2.1.2 Paiement des enseignants du primaire recensés par SECOPE ; 2.2.1.3 Paiement des enseignants du primaire non recensés ; 2.2.2.2 Subvention aux écoles primaires de la première à la 5ème année ; 2.2.2.3 Prise en charge des frais directs pour la 6ème année ; </v>
      </c>
      <c r="T563" s="572">
        <f t="shared" si="128"/>
        <v>4</v>
      </c>
      <c r="U563" s="572" t="s">
        <v>1056</v>
      </c>
      <c r="V563" s="572" t="s">
        <v>1042</v>
      </c>
      <c r="W563" s="572" t="s">
        <v>1440</v>
      </c>
      <c r="X563" s="572" t="s">
        <v>669</v>
      </c>
    </row>
    <row r="564" spans="2:33" s="572" customFormat="1" hidden="1" x14ac:dyDescent="0.2">
      <c r="B564" s="623" t="s">
        <v>776</v>
      </c>
      <c r="C564" s="624"/>
      <c r="D564" s="624"/>
      <c r="E564" s="624"/>
      <c r="F564" s="624"/>
      <c r="G564" s="624"/>
      <c r="H564" s="624"/>
      <c r="I564" s="624"/>
      <c r="J564" s="624"/>
      <c r="K564" s="624"/>
      <c r="L564" s="626">
        <f>(SUMIF('PA-Détails'!$R$1709:$R$2514,"=" &amp;'PA-Synthèse'!$B564,'PA-Détails'!L$1709:L$2514))/1000</f>
        <v>20966.383999999998</v>
      </c>
      <c r="M564" s="626">
        <f>(SUMIF('PA-Détails'!$R$1709:$R$2514,"=" &amp;'PA-Synthèse'!$B564,'PA-Détails'!M$1709:M$2514))/1000</f>
        <v>21316.912</v>
      </c>
      <c r="N564" s="626">
        <f>(SUMIF('PA-Détails'!$R$1709:$R$2514,"=" &amp;'PA-Synthèse'!$B564,'PA-Détails'!N$1709:N$2514))/1000</f>
        <v>24667.439999999999</v>
      </c>
      <c r="O564" s="626">
        <f>(SUMIF('PA-Détails'!$R$1709:$R$2514,"=" &amp;'PA-Synthèse'!$B564,'PA-Détails'!O$1709:O$2514))/1000</f>
        <v>25017.968000000001</v>
      </c>
      <c r="P564" s="626">
        <f>(SUMIF('PA-Détails'!$R$1709:$R$2514,"=" &amp;'PA-Synthèse'!$B564,'PA-Détails'!P$1709:P$2514))/1000</f>
        <v>25368.495999999999</v>
      </c>
      <c r="Q564" s="626">
        <f>(SUMIF('PA-Détails'!$R$1709:$R$2514,"=" &amp;'PA-Synthèse'!$B564,'PA-Détails'!Q$1709:Q$2514))/1000</f>
        <v>117337.2</v>
      </c>
      <c r="R564" s="613">
        <f>COUNTIF('PA-Détails'!$R$1709:$R$2514,"=" &amp;'PA-Synthèse'!$B564)</f>
        <v>1</v>
      </c>
      <c r="S564" s="572" t="str">
        <f t="shared" si="136"/>
        <v xml:space="preserve">2.3.1.1 Prime et logement pour enseignants en zones isolées ;  ;  ;  ; </v>
      </c>
      <c r="T564" s="572">
        <f t="shared" si="128"/>
        <v>1</v>
      </c>
      <c r="U564" s="572" t="s">
        <v>649</v>
      </c>
    </row>
    <row r="565" spans="2:33" s="572" customFormat="1" hidden="1" x14ac:dyDescent="0.2">
      <c r="B565" s="623" t="s">
        <v>763</v>
      </c>
      <c r="C565" s="624"/>
      <c r="D565" s="624"/>
      <c r="E565" s="624"/>
      <c r="F565" s="624"/>
      <c r="G565" s="624"/>
      <c r="H565" s="624"/>
      <c r="I565" s="624"/>
      <c r="J565" s="624"/>
      <c r="K565" s="624"/>
      <c r="L565" s="626">
        <f>(SUMIF('PA-Détails'!$R$1709:$R$2514,"=" &amp;'PA-Synthèse'!$B565,'PA-Détails'!L$1709:L$2514))/1000</f>
        <v>4476</v>
      </c>
      <c r="M565" s="626">
        <f>(SUMIF('PA-Détails'!$R$1709:$R$2514,"=" &amp;'PA-Synthèse'!$B565,'PA-Détails'!M$1709:M$2514))/1000</f>
        <v>2018.5</v>
      </c>
      <c r="N565" s="626">
        <f>(SUMIF('PA-Détails'!$R$1709:$R$2514,"=" &amp;'PA-Synthèse'!$B565,'PA-Détails'!N$1709:N$2514))/1000</f>
        <v>5387.5</v>
      </c>
      <c r="O565" s="626">
        <f>(SUMIF('PA-Détails'!$R$1709:$R$2514,"=" &amp;'PA-Synthèse'!$B565,'PA-Détails'!O$1709:O$2514))/1000</f>
        <v>2197.5</v>
      </c>
      <c r="P565" s="626">
        <f>(SUMIF('PA-Détails'!$R$1709:$R$2514,"=" &amp;'PA-Synthèse'!$B565,'PA-Détails'!P$1709:P$2514))/1000</f>
        <v>5773.5</v>
      </c>
      <c r="Q565" s="626">
        <f>(SUMIF('PA-Détails'!$R$1709:$R$2514,"=" &amp;'PA-Synthèse'!$B565,'PA-Détails'!Q$1709:Q$2514))/1000</f>
        <v>19853</v>
      </c>
      <c r="R565" s="613">
        <f>COUNTIF('PA-Détails'!$R$1709:$R$2514,"=" &amp;'PA-Synthèse'!$B565)</f>
        <v>13</v>
      </c>
      <c r="S565" s="572" t="str">
        <f t="shared" si="130"/>
        <v xml:space="preserve">1.5.1.1 Élaboration et validation d'un module de formation ; 1.5.1.2 Assurer la formation pour les nouveaux recrutements ; 1.5.2.1 Révision et validation des modules existants ; 1.5.2.2 Assurer la formation continue pour les encadreurs et enseignants ; 2.4.4.2 Formation des chefs d'établissement et enseignants à l'éducation inclusive ; 2.6.4.2 Production et distribution des guides pédagogiques ; 2.7.1.1 Formation des formateurs ; 2.9.1.1 Développement et actualisation des modules de formation ; 2.9.1.2 Numérisation et opérationnalisation des modules de formation ; 4.6.1.1 Développer et actualiser les modules de formation ; 4.6.1.2 Mettre en place le plan de formation ;  ;  ;  ;  ;  ; </v>
      </c>
      <c r="T565" s="572">
        <f t="shared" si="128"/>
        <v>11</v>
      </c>
      <c r="U565" s="572" t="s">
        <v>1037</v>
      </c>
      <c r="V565" s="572" t="s">
        <v>1018</v>
      </c>
      <c r="W565" s="572" t="s">
        <v>362</v>
      </c>
      <c r="X565" s="572" t="s">
        <v>1038</v>
      </c>
      <c r="Y565" s="572" t="s">
        <v>276</v>
      </c>
      <c r="Z565" s="572" t="s">
        <v>408</v>
      </c>
      <c r="AA565" s="572" t="s">
        <v>691</v>
      </c>
      <c r="AB565" s="572" t="s">
        <v>696</v>
      </c>
      <c r="AC565" s="572" t="s">
        <v>427</v>
      </c>
      <c r="AD565" s="572" t="s">
        <v>480</v>
      </c>
      <c r="AE565" s="572" t="s">
        <v>481</v>
      </c>
    </row>
    <row r="566" spans="2:33" s="572" customFormat="1" hidden="1" x14ac:dyDescent="0.2">
      <c r="B566" s="623" t="s">
        <v>784</v>
      </c>
      <c r="C566" s="624"/>
      <c r="D566" s="624"/>
      <c r="E566" s="624"/>
      <c r="F566" s="624"/>
      <c r="G566" s="624"/>
      <c r="H566" s="624"/>
      <c r="I566" s="624"/>
      <c r="J566" s="624"/>
      <c r="K566" s="624"/>
      <c r="L566" s="626">
        <f>(SUMIF('PA-Détails'!$R$1709:$R$2514,"=" &amp;'PA-Synthèse'!$B566,'PA-Détails'!L$1709:L$2514))/1000</f>
        <v>857.65200000000004</v>
      </c>
      <c r="M566" s="626">
        <f>(SUMIF('PA-Détails'!$R$1709:$R$2514,"=" &amp;'PA-Synthèse'!$B566,'PA-Détails'!M$1709:M$2514))/1000</f>
        <v>1018.98</v>
      </c>
      <c r="N566" s="626">
        <f>(SUMIF('PA-Détails'!$R$1709:$R$2514,"=" &amp;'PA-Synthèse'!$B566,'PA-Détails'!N$1709:N$2514))/1000</f>
        <v>944.73500000000001</v>
      </c>
      <c r="O566" s="626">
        <f>(SUMIF('PA-Détails'!$R$1709:$R$2514,"=" &amp;'PA-Synthèse'!$B566,'PA-Détails'!O$1709:O$2514))/1000</f>
        <v>978.37699999999995</v>
      </c>
      <c r="P566" s="626">
        <f>(SUMIF('PA-Détails'!$R$1709:$R$2514,"=" &amp;'PA-Synthèse'!$B566,'PA-Détails'!P$1709:P$2514))/1000</f>
        <v>1003.1079999999999</v>
      </c>
      <c r="Q566" s="626">
        <f>(SUMIF('PA-Détails'!$R$1709:$R$2514,"=" &amp;'PA-Synthèse'!$B566,'PA-Détails'!Q$1709:Q$2514))/1000</f>
        <v>4802.8519999999999</v>
      </c>
      <c r="R566" s="613">
        <f>COUNTIF('PA-Détails'!$R$1709:$R$2514,"=" &amp;'PA-Synthèse'!$B566)</f>
        <v>2</v>
      </c>
      <c r="S566" s="572" t="str">
        <f t="shared" ref="S566:S570" si="137">CONCATENATE(U566," ; ",V566," ; ",W566," ; ",X566," ; ",Y566)</f>
        <v xml:space="preserve">2.9.1.4 Mise en place des CRESD dans les différentes provinces ; 2.9.2.1 Formation aux modules et au leadership ;  ;  ; </v>
      </c>
      <c r="T566" s="572">
        <f t="shared" si="128"/>
        <v>2</v>
      </c>
      <c r="U566" s="572" t="s">
        <v>429</v>
      </c>
      <c r="V566" s="572" t="s">
        <v>1057</v>
      </c>
    </row>
    <row r="567" spans="2:33" s="572" customFormat="1" hidden="1" x14ac:dyDescent="0.2">
      <c r="B567" s="623" t="s">
        <v>779</v>
      </c>
      <c r="C567" s="624"/>
      <c r="D567" s="624"/>
      <c r="E567" s="624"/>
      <c r="F567" s="624"/>
      <c r="G567" s="624"/>
      <c r="H567" s="624"/>
      <c r="I567" s="624"/>
      <c r="J567" s="624"/>
      <c r="K567" s="624"/>
      <c r="L567" s="626">
        <f>(SUMIF('PA-Détails'!$R$1709:$R$2514,"=" &amp;'PA-Synthèse'!$B567,'PA-Détails'!L$1709:L$2514))/1000</f>
        <v>0</v>
      </c>
      <c r="M567" s="626">
        <f>(SUMIF('PA-Détails'!$R$1709:$R$2514,"=" &amp;'PA-Synthèse'!$B567,'PA-Détails'!M$1709:M$2514))/1000</f>
        <v>0</v>
      </c>
      <c r="N567" s="626">
        <f>(SUMIF('PA-Détails'!$R$1709:$R$2514,"=" &amp;'PA-Synthèse'!$B567,'PA-Détails'!N$1709:N$2514))/1000</f>
        <v>0</v>
      </c>
      <c r="O567" s="626">
        <f>(SUMIF('PA-Détails'!$R$1709:$R$2514,"=" &amp;'PA-Synthèse'!$B567,'PA-Détails'!O$1709:O$2514))/1000</f>
        <v>0</v>
      </c>
      <c r="P567" s="626">
        <f>(SUMIF('PA-Détails'!$R$1709:$R$2514,"=" &amp;'PA-Synthèse'!$B567,'PA-Détails'!P$1709:P$2514))/1000</f>
        <v>0</v>
      </c>
      <c r="Q567" s="626">
        <f>(SUMIF('PA-Détails'!$R$1709:$R$2514,"=" &amp;'PA-Synthèse'!$B567,'PA-Détails'!Q$1709:Q$2514))/1000</f>
        <v>0</v>
      </c>
      <c r="R567" s="613">
        <f>COUNTIF('PA-Détails'!$R$1709:$R$2514,"=" &amp;'PA-Synthèse'!$B567)</f>
        <v>1</v>
      </c>
      <c r="S567" s="572" t="str">
        <f t="shared" si="137"/>
        <v xml:space="preserve">2.4.4.3 Intégration des modules de formation à l'éducation inclusive dans la formation initiale des enseignants ;  ;  ;  ; </v>
      </c>
      <c r="T567" s="572">
        <f t="shared" si="128"/>
        <v>1</v>
      </c>
      <c r="U567" s="572" t="s">
        <v>277</v>
      </c>
    </row>
    <row r="568" spans="2:33" s="572" customFormat="1" hidden="1" x14ac:dyDescent="0.2">
      <c r="B568" s="623" t="s">
        <v>781</v>
      </c>
      <c r="C568" s="624"/>
      <c r="D568" s="624"/>
      <c r="E568" s="624"/>
      <c r="F568" s="624"/>
      <c r="G568" s="624"/>
      <c r="H568" s="624"/>
      <c r="I568" s="624"/>
      <c r="J568" s="624"/>
      <c r="K568" s="624"/>
      <c r="L568" s="626">
        <f>(SUMIF('PA-Détails'!$R$1709:$R$2514,"=" &amp;'PA-Synthèse'!$B568,'PA-Détails'!L$1709:L$2514))/1000</f>
        <v>0</v>
      </c>
      <c r="M568" s="626">
        <f>(SUMIF('PA-Détails'!$R$1709:$R$2514,"=" &amp;'PA-Synthèse'!$B568,'PA-Détails'!M$1709:M$2514))/1000</f>
        <v>33</v>
      </c>
      <c r="N568" s="626">
        <f>(SUMIF('PA-Détails'!$R$1709:$R$2514,"=" &amp;'PA-Synthèse'!$B568,'PA-Détails'!N$1709:N$2514))/1000</f>
        <v>0</v>
      </c>
      <c r="O568" s="626">
        <f>(SUMIF('PA-Détails'!$R$1709:$R$2514,"=" &amp;'PA-Synthèse'!$B568,'PA-Détails'!O$1709:O$2514))/1000</f>
        <v>0</v>
      </c>
      <c r="P568" s="626">
        <f>(SUMIF('PA-Détails'!$R$1709:$R$2514,"=" &amp;'PA-Synthèse'!$B568,'PA-Détails'!P$1709:P$2514))/1000</f>
        <v>0</v>
      </c>
      <c r="Q568" s="626">
        <f>(SUMIF('PA-Détails'!$R$1709:$R$2514,"=" &amp;'PA-Synthèse'!$B568,'PA-Détails'!Q$1709:Q$2514))/1000</f>
        <v>33</v>
      </c>
      <c r="R568" s="613">
        <f>COUNTIF('PA-Détails'!$R$1709:$R$2514,"=" &amp;'PA-Synthèse'!$B568)</f>
        <v>1</v>
      </c>
      <c r="S568" s="572" t="str">
        <f t="shared" si="137"/>
        <v xml:space="preserve">2.6.3.3 Formation à l'utilisation des plaquettes ;  ;  ;  ; </v>
      </c>
      <c r="T568" s="572">
        <f t="shared" si="128"/>
        <v>1</v>
      </c>
      <c r="U568" s="572" t="s">
        <v>405</v>
      </c>
    </row>
    <row r="569" spans="2:33" s="572" customFormat="1" hidden="1" x14ac:dyDescent="0.2">
      <c r="B569" s="623" t="s">
        <v>785</v>
      </c>
      <c r="C569" s="624"/>
      <c r="D569" s="624"/>
      <c r="E569" s="624"/>
      <c r="F569" s="624"/>
      <c r="G569" s="624"/>
      <c r="H569" s="624"/>
      <c r="I569" s="624"/>
      <c r="J569" s="624"/>
      <c r="K569" s="624"/>
      <c r="L569" s="626">
        <f>(SUMIF('PA-Détails'!$R$1709:$R$2514,"=" &amp;'PA-Synthèse'!$B569,'PA-Détails'!L$1709:L$2514))/1000</f>
        <v>390</v>
      </c>
      <c r="M569" s="626">
        <f>(SUMIF('PA-Détails'!$R$1709:$R$2514,"=" &amp;'PA-Synthèse'!$B569,'PA-Détails'!M$1709:M$2514))/1000</f>
        <v>390</v>
      </c>
      <c r="N569" s="626">
        <f>(SUMIF('PA-Détails'!$R$1709:$R$2514,"=" &amp;'PA-Synthèse'!$B569,'PA-Détails'!N$1709:N$2514))/1000</f>
        <v>390</v>
      </c>
      <c r="O569" s="626">
        <f>(SUMIF('PA-Détails'!$R$1709:$R$2514,"=" &amp;'PA-Synthèse'!$B569,'PA-Détails'!O$1709:O$2514))/1000</f>
        <v>390</v>
      </c>
      <c r="P569" s="626">
        <f>(SUMIF('PA-Détails'!$R$1709:$R$2514,"=" &amp;'PA-Synthèse'!$B569,'PA-Détails'!P$1709:P$2514))/1000</f>
        <v>390</v>
      </c>
      <c r="Q569" s="626">
        <f>(SUMIF('PA-Détails'!$R$1709:$R$2514,"=" &amp;'PA-Synthèse'!$B569,'PA-Détails'!Q$1709:Q$2514))/1000</f>
        <v>1950</v>
      </c>
      <c r="R569" s="613">
        <f>COUNTIF('PA-Détails'!$R$1709:$R$2514,"=" &amp;'PA-Synthèse'!$B569)</f>
        <v>2</v>
      </c>
      <c r="S569" s="572" t="str">
        <f t="shared" si="137"/>
        <v xml:space="preserve">2.9.1.5 Formation des inspecteurs et des conseillers d'enseignement ; 2.9.1.6 Formation des enseignants ;  ;  ; </v>
      </c>
      <c r="T569" s="572">
        <f t="shared" si="128"/>
        <v>2</v>
      </c>
      <c r="U569" s="572" t="s">
        <v>430</v>
      </c>
      <c r="V569" s="572" t="s">
        <v>695</v>
      </c>
    </row>
    <row r="570" spans="2:33" s="572" customFormat="1" hidden="1" x14ac:dyDescent="0.2">
      <c r="B570" s="623" t="s">
        <v>1408</v>
      </c>
      <c r="C570" s="624"/>
      <c r="D570" s="624"/>
      <c r="E570" s="624"/>
      <c r="F570" s="624"/>
      <c r="G570" s="624"/>
      <c r="H570" s="624"/>
      <c r="I570" s="624"/>
      <c r="J570" s="624"/>
      <c r="K570" s="624"/>
      <c r="L570" s="626">
        <f>(SUMIF('PA-Détails'!$R$1709:$R$2514,"=" &amp;'PA-Synthèse'!$B570,'PA-Détails'!L$1709:L$2514))/1000</f>
        <v>206.16</v>
      </c>
      <c r="M570" s="626">
        <f>(SUMIF('PA-Détails'!$R$1709:$R$2514,"=" &amp;'PA-Synthèse'!$B570,'PA-Détails'!M$1709:M$2514))/1000</f>
        <v>247.39</v>
      </c>
      <c r="N570" s="626">
        <f>(SUMIF('PA-Détails'!$R$1709:$R$2514,"=" &amp;'PA-Synthèse'!$B570,'PA-Détails'!N$1709:N$2514))/1000</f>
        <v>289.45</v>
      </c>
      <c r="O570" s="626">
        <f>(SUMIF('PA-Détails'!$R$1709:$R$2514,"=" &amp;'PA-Synthèse'!$B570,'PA-Détails'!O$1709:O$2514))/1000</f>
        <v>332.34</v>
      </c>
      <c r="P570" s="626">
        <f>(SUMIF('PA-Détails'!$R$1709:$R$2514,"=" &amp;'PA-Synthèse'!$B570,'PA-Détails'!P$1709:P$2514))/1000</f>
        <v>376.1</v>
      </c>
      <c r="Q570" s="626">
        <f>(SUMIF('PA-Détails'!$R$1709:$R$2514,"=" &amp;'PA-Synthèse'!$B570,'PA-Détails'!Q$1709:Q$2514))/1000</f>
        <v>1451.44</v>
      </c>
      <c r="R570" s="613">
        <f>COUNTIF('PA-Détails'!$R$1709:$R$2514,"=" &amp;'PA-Synthèse'!$B570)</f>
        <v>1</v>
      </c>
      <c r="S570" s="572" t="str">
        <f t="shared" si="137"/>
        <v xml:space="preserve">8.1.2.4 Fonctionnement des services centraux ETP ;  ;  ;  ; </v>
      </c>
      <c r="T570" s="572">
        <f t="shared" si="128"/>
        <v>1</v>
      </c>
      <c r="U570" s="572" t="s">
        <v>640</v>
      </c>
    </row>
    <row r="571" spans="2:33" s="572" customFormat="1" hidden="1" x14ac:dyDescent="0.2">
      <c r="B571" s="623" t="s">
        <v>838</v>
      </c>
      <c r="C571" s="624"/>
      <c r="D571" s="624"/>
      <c r="E571" s="624"/>
      <c r="F571" s="624"/>
      <c r="G571" s="624"/>
      <c r="H571" s="624"/>
      <c r="I571" s="624"/>
      <c r="J571" s="624"/>
      <c r="K571" s="624"/>
      <c r="L571" s="626">
        <f>(SUMIF('PA-Détails'!$R$1709:$R$2514,"=" &amp;'PA-Synthèse'!$B571,'PA-Détails'!L$1709:L$2514))/1000</f>
        <v>485.05</v>
      </c>
      <c r="M571" s="626">
        <f>(SUMIF('PA-Détails'!$R$1709:$R$2514,"=" &amp;'PA-Synthèse'!$B571,'PA-Détails'!M$1709:M$2514))/1000</f>
        <v>382.9</v>
      </c>
      <c r="N571" s="626">
        <f>(SUMIF('PA-Détails'!$R$1709:$R$2514,"=" &amp;'PA-Synthèse'!$B571,'PA-Détails'!N$1709:N$2514))/1000</f>
        <v>382.9</v>
      </c>
      <c r="O571" s="626">
        <f>(SUMIF('PA-Détails'!$R$1709:$R$2514,"=" &amp;'PA-Synthèse'!$B571,'PA-Détails'!O$1709:O$2514))/1000</f>
        <v>40.9</v>
      </c>
      <c r="P571" s="626">
        <f>(SUMIF('PA-Détails'!$R$1709:$R$2514,"=" &amp;'PA-Synthèse'!$B571,'PA-Détails'!P$1709:P$2514))/1000</f>
        <v>40.9</v>
      </c>
      <c r="Q571" s="626">
        <f>(SUMIF('PA-Détails'!$R$1709:$R$2514,"=" &amp;'PA-Synthèse'!$B571,'PA-Détails'!Q$1709:Q$2514))/1000</f>
        <v>1332.65</v>
      </c>
      <c r="R571" s="613">
        <f>COUNTIF('PA-Détails'!$R$1709:$R$2514,"=" &amp;'PA-Synthèse'!$B571)</f>
        <v>10</v>
      </c>
      <c r="S571" s="572" t="str">
        <f t="shared" si="130"/>
        <v xml:space="preserve">6.1.4.1 Étude sur l'actualisation des programmes ; 6.4.1.1 Définition du cadre national de concertation ; 6.4.1.2 Mise en place et fonctionnement du mécanisme de concertation ; 6.4.2.1 Définition des modalités de concertation régionale ; 6.4.2.2 Assurer les concertations régionales ; 6.4.4.1 Étude de faisabilité sur la création de Chambres des métiers et d'artisanat ; 8.11.3.1 Définition d'un commission de Qualification et de Certification ; 8.11.3.2 Textes réglementaires de création de la CNQC ; 8.11.3.3 Mise en place et fonctionnement de la CNQC ; 8.17.8.2 Élaboration d'un guide des normes de construction des établissements ETFP ;  ;  ;  ;  ;  ;  ; </v>
      </c>
      <c r="T571" s="572">
        <f t="shared" si="128"/>
        <v>10</v>
      </c>
      <c r="U571" s="572" t="s">
        <v>1097</v>
      </c>
      <c r="V571" s="572" t="s">
        <v>506</v>
      </c>
      <c r="W571" s="572" t="s">
        <v>507</v>
      </c>
      <c r="X571" s="572" t="s">
        <v>509</v>
      </c>
      <c r="Y571" s="572" t="s">
        <v>510</v>
      </c>
      <c r="Z571" s="572" t="s">
        <v>1102</v>
      </c>
      <c r="AA571" s="572" t="s">
        <v>1262</v>
      </c>
      <c r="AB571" s="572" t="s">
        <v>1263</v>
      </c>
      <c r="AC571" s="572" t="s">
        <v>1467</v>
      </c>
      <c r="AD571" s="572" t="s">
        <v>1380</v>
      </c>
    </row>
    <row r="572" spans="2:33" s="572" customFormat="1" hidden="1" x14ac:dyDescent="0.2">
      <c r="B572" s="623" t="s">
        <v>864</v>
      </c>
      <c r="C572" s="624"/>
      <c r="D572" s="624"/>
      <c r="E572" s="624"/>
      <c r="F572" s="624"/>
      <c r="G572" s="624"/>
      <c r="H572" s="624"/>
      <c r="I572" s="624"/>
      <c r="J572" s="624"/>
      <c r="K572" s="624"/>
      <c r="L572" s="626">
        <f>(SUMIF('PA-Détails'!$R$1709:$R$2514,"=" &amp;'PA-Synthèse'!$B572,'PA-Détails'!L$1709:L$2514))/1000</f>
        <v>1449.6</v>
      </c>
      <c r="M572" s="626">
        <f>(SUMIF('PA-Détails'!$R$1709:$R$2514,"=" &amp;'PA-Synthèse'!$B572,'PA-Détails'!M$1709:M$2514))/1000</f>
        <v>1412.1</v>
      </c>
      <c r="N572" s="626">
        <f>(SUMIF('PA-Détails'!$R$1709:$R$2514,"=" &amp;'PA-Synthèse'!$B572,'PA-Détails'!N$1709:N$2514))/1000</f>
        <v>1412.1</v>
      </c>
      <c r="O572" s="626">
        <f>(SUMIF('PA-Détails'!$R$1709:$R$2514,"=" &amp;'PA-Synthèse'!$B572,'PA-Détails'!O$1709:O$2514))/1000</f>
        <v>1412.1</v>
      </c>
      <c r="P572" s="626">
        <f>(SUMIF('PA-Détails'!$R$1709:$R$2514,"=" &amp;'PA-Synthèse'!$B572,'PA-Détails'!P$1709:P$2514))/1000</f>
        <v>1412.1</v>
      </c>
      <c r="Q572" s="626">
        <f>(SUMIF('PA-Détails'!$R$1709:$R$2514,"=" &amp;'PA-Synthèse'!$B572,'PA-Détails'!Q$1709:Q$2514))/1000</f>
        <v>7098</v>
      </c>
      <c r="R572" s="613">
        <f>COUNTIF('PA-Détails'!$R$1709:$R$2514,"=" &amp;'PA-Synthèse'!$B572)</f>
        <v>2</v>
      </c>
      <c r="S572" s="572" t="str">
        <f t="shared" ref="S572:S573" si="138">CONCATENATE(U572," ; ",V572," ; ",W572," ; ",X572," ; ",Y572)</f>
        <v xml:space="preserve">6.3.2.1 Définition des besoins en manuels scolaires ; 6.3.2.2 Acquisition et distribution de manuels scolaires ;  ;  ; </v>
      </c>
      <c r="T572" s="572">
        <f t="shared" si="128"/>
        <v>2</v>
      </c>
      <c r="U572" s="572" t="s">
        <v>501</v>
      </c>
      <c r="V572" s="572" t="s">
        <v>502</v>
      </c>
    </row>
    <row r="573" spans="2:33" s="572" customFormat="1" hidden="1" x14ac:dyDescent="0.2">
      <c r="B573" s="623" t="s">
        <v>865</v>
      </c>
      <c r="C573" s="624"/>
      <c r="D573" s="624"/>
      <c r="E573" s="624"/>
      <c r="F573" s="624"/>
      <c r="G573" s="624"/>
      <c r="H573" s="624"/>
      <c r="I573" s="624"/>
      <c r="J573" s="624"/>
      <c r="K573" s="624"/>
      <c r="L573" s="626">
        <f>(SUMIF('PA-Détails'!$R$1709:$R$2514,"=" &amp;'PA-Synthèse'!$B573,'PA-Détails'!L$1709:L$2514))/1000</f>
        <v>14.5</v>
      </c>
      <c r="M573" s="626">
        <f>(SUMIF('PA-Détails'!$R$1709:$R$2514,"=" &amp;'PA-Synthèse'!$B573,'PA-Détails'!M$1709:M$2514))/1000</f>
        <v>0</v>
      </c>
      <c r="N573" s="626">
        <f>(SUMIF('PA-Détails'!$R$1709:$R$2514,"=" &amp;'PA-Synthèse'!$B573,'PA-Détails'!N$1709:N$2514))/1000</f>
        <v>0</v>
      </c>
      <c r="O573" s="626">
        <f>(SUMIF('PA-Détails'!$R$1709:$R$2514,"=" &amp;'PA-Synthèse'!$B573,'PA-Détails'!O$1709:O$2514))/1000</f>
        <v>0</v>
      </c>
      <c r="P573" s="626">
        <f>(SUMIF('PA-Détails'!$R$1709:$R$2514,"=" &amp;'PA-Synthèse'!$B573,'PA-Détails'!P$1709:P$2514))/1000</f>
        <v>0</v>
      </c>
      <c r="Q573" s="626">
        <f>(SUMIF('PA-Détails'!$R$1709:$R$2514,"=" &amp;'PA-Synthèse'!$B573,'PA-Détails'!Q$1709:Q$2514))/1000</f>
        <v>14.5</v>
      </c>
      <c r="R573" s="613">
        <f>COUNTIF('PA-Détails'!$R$1709:$R$2514,"=" &amp;'PA-Synthèse'!$B573)</f>
        <v>2</v>
      </c>
      <c r="S573" s="572" t="str">
        <f t="shared" si="138"/>
        <v xml:space="preserve">6.4.3.1 Définition de modèles de partenariat ; 6.4.3.2 Mise en place des accords de partenariat ;  ;  ; </v>
      </c>
      <c r="T573" s="572">
        <f t="shared" si="128"/>
        <v>2</v>
      </c>
      <c r="U573" s="572" t="s">
        <v>513</v>
      </c>
      <c r="V573" s="572" t="s">
        <v>514</v>
      </c>
    </row>
    <row r="574" spans="2:33" s="572" customFormat="1" hidden="1" x14ac:dyDescent="0.2">
      <c r="B574" s="623" t="s">
        <v>862</v>
      </c>
      <c r="C574" s="624"/>
      <c r="D574" s="624"/>
      <c r="E574" s="624"/>
      <c r="F574" s="624"/>
      <c r="G574" s="624"/>
      <c r="H574" s="624"/>
      <c r="I574" s="624"/>
      <c r="J574" s="624"/>
      <c r="K574" s="624"/>
      <c r="L574" s="626">
        <f>(SUMIF('PA-Détails'!$R$1709:$R$2514,"=" &amp;'PA-Synthèse'!$B574,'PA-Détails'!L$1709:L$2514))/1000</f>
        <v>22093.3</v>
      </c>
      <c r="M574" s="626">
        <f>(SUMIF('PA-Détails'!$R$1709:$R$2514,"=" &amp;'PA-Synthèse'!$B574,'PA-Détails'!M$1709:M$2514))/1000</f>
        <v>21872.3</v>
      </c>
      <c r="N574" s="626">
        <f>(SUMIF('PA-Détails'!$R$1709:$R$2514,"=" &amp;'PA-Synthèse'!$B574,'PA-Détails'!N$1709:N$2514))/1000</f>
        <v>21852.799999999999</v>
      </c>
      <c r="O574" s="626">
        <f>(SUMIF('PA-Détails'!$R$1709:$R$2514,"=" &amp;'PA-Synthèse'!$B574,'PA-Détails'!O$1709:O$2514))/1000</f>
        <v>21799.5</v>
      </c>
      <c r="P574" s="626">
        <f>(SUMIF('PA-Détails'!$R$1709:$R$2514,"=" &amp;'PA-Synthèse'!$B574,'PA-Détails'!P$1709:P$2514))/1000</f>
        <v>21780</v>
      </c>
      <c r="Q574" s="626">
        <f>(SUMIF('PA-Détails'!$R$1709:$R$2514,"=" &amp;'PA-Synthèse'!$B574,'PA-Détails'!Q$1709:Q$2514))/1000</f>
        <v>109397.9</v>
      </c>
      <c r="R574" s="613">
        <f>COUNTIF('PA-Détails'!$R$1709:$R$2514,"=" &amp;'PA-Synthèse'!$B574)</f>
        <v>13</v>
      </c>
      <c r="S574" s="572" t="str">
        <f t="shared" si="130"/>
        <v xml:space="preserve">6.1.2.1 Étude préalable à la mise en place des nouvelles filières ; 6.2.1.1 Définir un plan de sensibilisation ; 6.2.1.2 Développer des outils et des supports ; 6.2.1.3 Assurer des campagnes ; 6.3.1.1 Équipement pédagogiques pour les filières prioritaires ; 6.5.1.1 Équipement des écoles techniques en mobilier scolaire ; 6.5.2.1 Acquisition et distribution d'équipement pour activités physiques et sportives ; 6.5.3.1 Analyse des besoins en bibliothèques (audit de l'existant) ; 6.5.3.2 Définition d'une bibliothèque standard et élaboration d'un guide de gestion ; 6.5.3.3 Acquisition et distribution de livres et de matériel ; 6.6.1.1 Étude de faisabilité du national d'ingénierie de la formation ; 6.7.4.1 Élaboration des accords de partenariat entre les trois entités concernés ; 6.7.4.2 Étude d'employabilité des sortants ;  ;  ;  ; </v>
      </c>
      <c r="T574" s="572">
        <f t="shared" si="128"/>
        <v>13</v>
      </c>
      <c r="U574" s="572" t="s">
        <v>1095</v>
      </c>
      <c r="V574" s="572" t="s">
        <v>576</v>
      </c>
      <c r="W574" s="572" t="s">
        <v>577</v>
      </c>
      <c r="X574" s="572" t="s">
        <v>578</v>
      </c>
      <c r="Y574" s="572" t="s">
        <v>499</v>
      </c>
      <c r="Z574" s="572" t="s">
        <v>1105</v>
      </c>
      <c r="AA574" s="572" t="s">
        <v>516</v>
      </c>
      <c r="AB574" s="572" t="s">
        <v>518</v>
      </c>
      <c r="AC574" s="572" t="s">
        <v>519</v>
      </c>
      <c r="AD574" s="572" t="s">
        <v>1001</v>
      </c>
      <c r="AE574" s="572" t="s">
        <v>1459</v>
      </c>
      <c r="AF574" s="572" t="s">
        <v>1110</v>
      </c>
      <c r="AG574" s="572" t="s">
        <v>1111</v>
      </c>
    </row>
    <row r="575" spans="2:33" s="572" customFormat="1" hidden="1" x14ac:dyDescent="0.2">
      <c r="B575" s="623" t="s">
        <v>869</v>
      </c>
      <c r="C575" s="624"/>
      <c r="D575" s="624"/>
      <c r="E575" s="624"/>
      <c r="F575" s="624"/>
      <c r="G575" s="624"/>
      <c r="H575" s="624"/>
      <c r="I575" s="624"/>
      <c r="J575" s="624"/>
      <c r="K575" s="624"/>
      <c r="L575" s="626">
        <f>(SUMIF('PA-Détails'!$R$1709:$R$2514,"=" &amp;'PA-Synthèse'!$B575,'PA-Détails'!L$1709:L$2514))/1000</f>
        <v>37</v>
      </c>
      <c r="M575" s="626">
        <f>(SUMIF('PA-Détails'!$R$1709:$R$2514,"=" &amp;'PA-Synthèse'!$B575,'PA-Détails'!M$1709:M$2514))/1000</f>
        <v>19.5</v>
      </c>
      <c r="N575" s="626">
        <f>(SUMIF('PA-Détails'!$R$1709:$R$2514,"=" &amp;'PA-Synthèse'!$B575,'PA-Détails'!N$1709:N$2514))/1000</f>
        <v>0</v>
      </c>
      <c r="O575" s="626">
        <f>(SUMIF('PA-Détails'!$R$1709:$R$2514,"=" &amp;'PA-Synthèse'!$B575,'PA-Détails'!O$1709:O$2514))/1000</f>
        <v>19.5</v>
      </c>
      <c r="P575" s="626">
        <f>(SUMIF('PA-Détails'!$R$1709:$R$2514,"=" &amp;'PA-Synthèse'!$B575,'PA-Détails'!P$1709:P$2514))/1000</f>
        <v>0</v>
      </c>
      <c r="Q575" s="626">
        <f>(SUMIF('PA-Détails'!$R$1709:$R$2514,"=" &amp;'PA-Synthèse'!$B575,'PA-Détails'!Q$1709:Q$2514))/1000</f>
        <v>76</v>
      </c>
      <c r="R575" s="613">
        <f>COUNTIF('PA-Détails'!$R$1709:$R$2514,"=" &amp;'PA-Synthèse'!$B575)</f>
        <v>2</v>
      </c>
      <c r="S575" s="572" t="str">
        <f t="shared" ref="S575:S612" si="139">CONCATENATE(U575," ; ",V575," ; ",W575," ; ",X575," ; ",Y575)</f>
        <v xml:space="preserve">6.1.1.1 Étude sur les filières obsolètes et porteuses d'emploi ; 6.1.3.1 Étude pour la définition des nouvelles critères d'ouverture des filières sur le territoire national ;  ;  ; </v>
      </c>
      <c r="T575" s="572">
        <f t="shared" si="128"/>
        <v>2</v>
      </c>
      <c r="U575" s="572" t="s">
        <v>1094</v>
      </c>
      <c r="V575" s="572" t="s">
        <v>1096</v>
      </c>
    </row>
    <row r="576" spans="2:33" s="572" customFormat="1" hidden="1" x14ac:dyDescent="0.2">
      <c r="B576" s="623" t="s">
        <v>866</v>
      </c>
      <c r="C576" s="624"/>
      <c r="D576" s="624"/>
      <c r="E576" s="624"/>
      <c r="F576" s="624"/>
      <c r="G576" s="624"/>
      <c r="H576" s="624"/>
      <c r="I576" s="624"/>
      <c r="J576" s="624"/>
      <c r="K576" s="624"/>
      <c r="L576" s="626">
        <f>(SUMIF('PA-Détails'!$R$1709:$R$2514,"=" &amp;'PA-Synthèse'!$B576,'PA-Détails'!L$1709:L$2514))/1000</f>
        <v>12414</v>
      </c>
      <c r="M576" s="626">
        <f>(SUMIF('PA-Détails'!$R$1709:$R$2514,"=" &amp;'PA-Synthèse'!$B576,'PA-Détails'!M$1709:M$2514))/1000</f>
        <v>13516</v>
      </c>
      <c r="N576" s="626">
        <f>(SUMIF('PA-Détails'!$R$1709:$R$2514,"=" &amp;'PA-Synthèse'!$B576,'PA-Détails'!N$1709:N$2514))/1000</f>
        <v>14074</v>
      </c>
      <c r="O576" s="626">
        <f>(SUMIF('PA-Détails'!$R$1709:$R$2514,"=" &amp;'PA-Synthèse'!$B576,'PA-Détails'!O$1709:O$2514))/1000</f>
        <v>5400</v>
      </c>
      <c r="P576" s="626">
        <f>(SUMIF('PA-Détails'!$R$1709:$R$2514,"=" &amp;'PA-Synthèse'!$B576,'PA-Détails'!P$1709:P$2514))/1000</f>
        <v>5400</v>
      </c>
      <c r="Q576" s="626">
        <f>(SUMIF('PA-Détails'!$R$1709:$R$2514,"=" &amp;'PA-Synthèse'!$B576,'PA-Détails'!Q$1709:Q$2514))/1000</f>
        <v>50804</v>
      </c>
      <c r="R576" s="613">
        <f>COUNTIF('PA-Détails'!$R$1709:$R$2514,"=" &amp;'PA-Synthèse'!$B576)</f>
        <v>5</v>
      </c>
      <c r="S576" s="572" t="str">
        <f t="shared" si="139"/>
        <v>6.1.5.1 Construction et équipement d'un centre de ressource ETFP ; 6.1.6.1 Construction et équipement des centres d'application ; 6.1.7.1 Évaluation des établissements transformés et état des lieux des établissements à transformer ; 6.1.7.2 Acquisition et installation des équipements pour les établissements transformés ; 6.6.1.2 Construction et équipement du CNIF</v>
      </c>
      <c r="T576" s="572">
        <f t="shared" si="128"/>
        <v>5</v>
      </c>
      <c r="U576" s="572" t="s">
        <v>244</v>
      </c>
      <c r="V576" s="572" t="s">
        <v>873</v>
      </c>
      <c r="W576" s="572" t="s">
        <v>1099</v>
      </c>
      <c r="X576" s="572" t="s">
        <v>874</v>
      </c>
      <c r="Y576" s="572" t="s">
        <v>521</v>
      </c>
    </row>
    <row r="577" spans="2:25" s="572" customFormat="1" hidden="1" x14ac:dyDescent="0.2">
      <c r="B577" s="623" t="s">
        <v>1410</v>
      </c>
      <c r="C577" s="624"/>
      <c r="D577" s="624"/>
      <c r="E577" s="624"/>
      <c r="F577" s="624"/>
      <c r="G577" s="624"/>
      <c r="H577" s="624"/>
      <c r="I577" s="624"/>
      <c r="J577" s="624"/>
      <c r="K577" s="624"/>
      <c r="L577" s="626">
        <f>(SUMIF('PA-Détails'!$R$1709:$R$2514,"=" &amp;'PA-Synthèse'!$B577,'PA-Détails'!L$1709:L$2514))/1000</f>
        <v>1684.63</v>
      </c>
      <c r="M577" s="626">
        <f>(SUMIF('PA-Détails'!$R$1709:$R$2514,"=" &amp;'PA-Synthèse'!$B577,'PA-Détails'!M$1709:M$2514))/1000</f>
        <v>1701.12</v>
      </c>
      <c r="N577" s="626">
        <f>(SUMIF('PA-Détails'!$R$1709:$R$2514,"=" &amp;'PA-Synthèse'!$B577,'PA-Détails'!N$1709:N$2514))/1000</f>
        <v>2221.75</v>
      </c>
      <c r="O577" s="626">
        <f>(SUMIF('PA-Détails'!$R$1709:$R$2514,"=" &amp;'PA-Synthèse'!$B577,'PA-Détails'!O$1709:O$2514))/1000</f>
        <v>2009.91</v>
      </c>
      <c r="P577" s="626">
        <f>(SUMIF('PA-Détails'!$R$1709:$R$2514,"=" &amp;'PA-Synthèse'!$B577,'PA-Détails'!P$1709:P$2514))/1000</f>
        <v>2027.41</v>
      </c>
      <c r="Q577" s="626">
        <f>(SUMIF('PA-Détails'!$R$1709:$R$2514,"=" &amp;'PA-Synthèse'!$B577,'PA-Détails'!Q$1709:Q$2514))/1000</f>
        <v>9644.82</v>
      </c>
      <c r="R577" s="613">
        <f>COUNTIF('PA-Détails'!$R$1709:$R$2514,"=" &amp;'PA-Synthèse'!$B577)</f>
        <v>5</v>
      </c>
      <c r="S577" s="572" t="str">
        <f t="shared" si="139"/>
        <v>6.2.2.1 Octroi des bourses pour les filles dans les filières prometteuses ; 6.5.4.1 Équipement des élèves en ordinateurs portables ; 6.7.2.1 Assurer l'encadrement pédagogique et administratif des centres d'ingénierie, d'application et de ressources ; 6.7.3.1 Équipement des inspecteurs en ordinateurs portables ; 8.1.1.4 Rémunération des personnels des services centraux  ETP</v>
      </c>
      <c r="T577" s="572">
        <f t="shared" si="128"/>
        <v>5</v>
      </c>
      <c r="U577" s="572" t="s">
        <v>1100</v>
      </c>
      <c r="V577" s="572" t="s">
        <v>1003</v>
      </c>
      <c r="W577" s="572" t="s">
        <v>868</v>
      </c>
      <c r="X577" s="572" t="s">
        <v>613</v>
      </c>
      <c r="Y577" s="572" t="s">
        <v>637</v>
      </c>
    </row>
    <row r="578" spans="2:25" s="572" customFormat="1" hidden="1" x14ac:dyDescent="0.2">
      <c r="B578" s="623" t="s">
        <v>867</v>
      </c>
      <c r="C578" s="624"/>
      <c r="D578" s="624"/>
      <c r="E578" s="624"/>
      <c r="F578" s="624"/>
      <c r="G578" s="624"/>
      <c r="H578" s="624"/>
      <c r="I578" s="624"/>
      <c r="J578" s="624"/>
      <c r="K578" s="624"/>
      <c r="L578" s="626">
        <f>(SUMIF('PA-Détails'!$R$1709:$R$2514,"=" &amp;'PA-Synthèse'!$B578,'PA-Détails'!L$1709:L$2514))/1000</f>
        <v>11134.45</v>
      </c>
      <c r="M578" s="626">
        <f>(SUMIF('PA-Détails'!$R$1709:$R$2514,"=" &amp;'PA-Synthèse'!$B578,'PA-Détails'!M$1709:M$2514))/1000</f>
        <v>0</v>
      </c>
      <c r="N578" s="626">
        <f>(SUMIF('PA-Détails'!$R$1709:$R$2514,"=" &amp;'PA-Synthèse'!$B578,'PA-Détails'!N$1709:N$2514))/1000</f>
        <v>11872.95</v>
      </c>
      <c r="O578" s="626">
        <f>(SUMIF('PA-Détails'!$R$1709:$R$2514,"=" &amp;'PA-Synthèse'!$B578,'PA-Détails'!O$1709:O$2514))/1000</f>
        <v>0</v>
      </c>
      <c r="P578" s="626">
        <f>(SUMIF('PA-Détails'!$R$1709:$R$2514,"=" &amp;'PA-Synthèse'!$B578,'PA-Détails'!P$1709:P$2514))/1000</f>
        <v>11125.95</v>
      </c>
      <c r="Q578" s="626">
        <f>(SUMIF('PA-Détails'!$R$1709:$R$2514,"=" &amp;'PA-Synthèse'!$B578,'PA-Détails'!Q$1709:Q$2514))/1000</f>
        <v>34133.35</v>
      </c>
      <c r="R578" s="613">
        <f>COUNTIF('PA-Détails'!$R$1709:$R$2514,"=" &amp;'PA-Synthèse'!$B578)</f>
        <v>3</v>
      </c>
      <c r="S578" s="572" t="str">
        <f t="shared" si="139"/>
        <v xml:space="preserve">6.6.2.1 Développer et actualiser les modules de formation ; 6.6.2.2 Mettre en place le plan de formation ; 6.7.1.1 Renforcement des moyen des déplacements ;  ; </v>
      </c>
      <c r="T578" s="572">
        <f t="shared" si="128"/>
        <v>3</v>
      </c>
      <c r="U578" s="572" t="s">
        <v>1004</v>
      </c>
      <c r="V578" s="572" t="s">
        <v>1005</v>
      </c>
      <c r="W578" s="572" t="s">
        <v>1109</v>
      </c>
    </row>
    <row r="579" spans="2:25" s="572" customFormat="1" hidden="1" x14ac:dyDescent="0.2">
      <c r="B579" s="623" t="s">
        <v>885</v>
      </c>
      <c r="C579" s="624"/>
      <c r="D579" s="624"/>
      <c r="E579" s="624"/>
      <c r="F579" s="624"/>
      <c r="G579" s="624"/>
      <c r="H579" s="624"/>
      <c r="I579" s="624"/>
      <c r="J579" s="624"/>
      <c r="K579" s="624"/>
      <c r="L579" s="626">
        <f>(SUMIF('PA-Détails'!$R$1709:$R$2514,"=" &amp;'PA-Synthèse'!$B579,'PA-Détails'!L$1709:L$2514))/1000</f>
        <v>0</v>
      </c>
      <c r="M579" s="626">
        <f>(SUMIF('PA-Détails'!$R$1709:$R$2514,"=" &amp;'PA-Synthèse'!$B579,'PA-Détails'!M$1709:M$2514))/1000</f>
        <v>77</v>
      </c>
      <c r="N579" s="626">
        <f>(SUMIF('PA-Détails'!$R$1709:$R$2514,"=" &amp;'PA-Synthèse'!$B579,'PA-Détails'!N$1709:N$2514))/1000</f>
        <v>77</v>
      </c>
      <c r="O579" s="626">
        <f>(SUMIF('PA-Détails'!$R$1709:$R$2514,"=" &amp;'PA-Synthèse'!$B579,'PA-Détails'!O$1709:O$2514))/1000</f>
        <v>77</v>
      </c>
      <c r="P579" s="626">
        <f>(SUMIF('PA-Détails'!$R$1709:$R$2514,"=" &amp;'PA-Synthèse'!$B579,'PA-Détails'!P$1709:P$2514))/1000</f>
        <v>77</v>
      </c>
      <c r="Q579" s="626">
        <f>(SUMIF('PA-Détails'!$R$1709:$R$2514,"=" &amp;'PA-Synthèse'!$B579,'PA-Détails'!Q$1709:Q$2514))/1000</f>
        <v>308</v>
      </c>
      <c r="R579" s="613">
        <f>COUNTIF('PA-Détails'!$R$1709:$R$2514,"=" &amp;'PA-Synthèse'!$B579)</f>
        <v>1</v>
      </c>
      <c r="S579" s="572" t="str">
        <f t="shared" si="139"/>
        <v xml:space="preserve">3.2.4.1 Formation des animateurs ;  ;  ;  ; </v>
      </c>
      <c r="T579" s="572">
        <f t="shared" si="128"/>
        <v>1</v>
      </c>
      <c r="U579" s="572" t="s">
        <v>788</v>
      </c>
    </row>
    <row r="580" spans="2:25" s="572" customFormat="1" hidden="1" x14ac:dyDescent="0.2">
      <c r="B580" s="623" t="s">
        <v>744</v>
      </c>
      <c r="C580" s="624"/>
      <c r="D580" s="624"/>
      <c r="E580" s="624"/>
      <c r="F580" s="624"/>
      <c r="G580" s="624"/>
      <c r="H580" s="624"/>
      <c r="I580" s="624"/>
      <c r="J580" s="624"/>
      <c r="K580" s="624"/>
      <c r="L580" s="626">
        <f>(SUMIF('PA-Détails'!$R$1709:$R$2514,"=" &amp;'PA-Synthèse'!$B580,'PA-Détails'!L$1709:L$2514))/1000</f>
        <v>14.3</v>
      </c>
      <c r="M580" s="626">
        <f>(SUMIF('PA-Détails'!$R$1709:$R$2514,"=" &amp;'PA-Synthèse'!$B580,'PA-Détails'!M$1709:M$2514))/1000</f>
        <v>14.3</v>
      </c>
      <c r="N580" s="626">
        <f>(SUMIF('PA-Détails'!$R$1709:$R$2514,"=" &amp;'PA-Synthèse'!$B580,'PA-Détails'!N$1709:N$2514))/1000</f>
        <v>0</v>
      </c>
      <c r="O580" s="626">
        <f>(SUMIF('PA-Détails'!$R$1709:$R$2514,"=" &amp;'PA-Synthèse'!$B580,'PA-Détails'!O$1709:O$2514))/1000</f>
        <v>0</v>
      </c>
      <c r="P580" s="626">
        <f>(SUMIF('PA-Détails'!$R$1709:$R$2514,"=" &amp;'PA-Synthèse'!$B580,'PA-Détails'!P$1709:P$2514))/1000</f>
        <v>0</v>
      </c>
      <c r="Q580" s="626">
        <f>(SUMIF('PA-Détails'!$R$1709:$R$2514,"=" &amp;'PA-Synthèse'!$B580,'PA-Détails'!Q$1709:Q$2514))/1000</f>
        <v>28.6</v>
      </c>
      <c r="R580" s="613">
        <f>COUNTIF('PA-Détails'!$R$1709:$R$2514,"=" &amp;'PA-Synthèse'!$B580)</f>
        <v>1</v>
      </c>
      <c r="S580" s="572" t="str">
        <f t="shared" si="139"/>
        <v xml:space="preserve">3.10.1.1 Formation spécifique destinée aux inspecteurs ;  ;  ;  ; </v>
      </c>
      <c r="T580" s="572">
        <f t="shared" si="128"/>
        <v>1</v>
      </c>
      <c r="U580" s="572" t="s">
        <v>604</v>
      </c>
    </row>
    <row r="581" spans="2:25" s="572" customFormat="1" hidden="1" x14ac:dyDescent="0.2">
      <c r="B581" s="623" t="s">
        <v>738</v>
      </c>
      <c r="C581" s="624"/>
      <c r="D581" s="624"/>
      <c r="E581" s="624"/>
      <c r="F581" s="624"/>
      <c r="G581" s="624"/>
      <c r="H581" s="624"/>
      <c r="I581" s="624"/>
      <c r="J581" s="624"/>
      <c r="K581" s="624"/>
      <c r="L581" s="626">
        <f>(SUMIF('PA-Détails'!$R$1709:$R$2514,"=" &amp;'PA-Synthèse'!$B581,'PA-Détails'!L$1709:L$2514))/1000</f>
        <v>4</v>
      </c>
      <c r="M581" s="626">
        <f>(SUMIF('PA-Détails'!$R$1709:$R$2514,"=" &amp;'PA-Synthèse'!$B581,'PA-Détails'!M$1709:M$2514))/1000</f>
        <v>196.74</v>
      </c>
      <c r="N581" s="626">
        <f>(SUMIF('PA-Détails'!$R$1709:$R$2514,"=" &amp;'PA-Synthèse'!$B581,'PA-Détails'!N$1709:N$2514))/1000</f>
        <v>167.11</v>
      </c>
      <c r="O581" s="626">
        <f>(SUMIF('PA-Détails'!$R$1709:$R$2514,"=" &amp;'PA-Synthèse'!$B581,'PA-Détails'!O$1709:O$2514))/1000</f>
        <v>39.479999999999997</v>
      </c>
      <c r="P581" s="626">
        <f>(SUMIF('PA-Détails'!$R$1709:$R$2514,"=" &amp;'PA-Synthèse'!$B581,'PA-Détails'!P$1709:P$2514))/1000</f>
        <v>39.85</v>
      </c>
      <c r="Q581" s="626">
        <f>(SUMIF('PA-Détails'!$R$1709:$R$2514,"=" &amp;'PA-Synthèse'!$B581,'PA-Détails'!Q$1709:Q$2514))/1000</f>
        <v>447.18</v>
      </c>
      <c r="R581" s="613">
        <f>COUNTIF('PA-Détails'!$R$1709:$R$2514,"=" &amp;'PA-Synthèse'!$B581)</f>
        <v>3</v>
      </c>
      <c r="S581" s="572" t="str">
        <f t="shared" si="139"/>
        <v xml:space="preserve">3.11.2.1 Développement et fonctionnement du site web ; 3.9.2.1 Renforcement des capacités du personnel ; 3.9.2.2 Renforcement des moyen matériels ;  ; </v>
      </c>
      <c r="T581" s="572">
        <f t="shared" si="128"/>
        <v>3</v>
      </c>
      <c r="U581" s="572" t="s">
        <v>608</v>
      </c>
      <c r="V581" s="572" t="s">
        <v>598</v>
      </c>
      <c r="W581" s="572" t="s">
        <v>599</v>
      </c>
    </row>
    <row r="582" spans="2:25" s="572" customFormat="1" hidden="1" x14ac:dyDescent="0.2">
      <c r="B582" s="623" t="s">
        <v>1409</v>
      </c>
      <c r="C582" s="624"/>
      <c r="D582" s="624"/>
      <c r="E582" s="624"/>
      <c r="F582" s="624"/>
      <c r="G582" s="624"/>
      <c r="H582" s="624"/>
      <c r="I582" s="624"/>
      <c r="J582" s="624"/>
      <c r="K582" s="624"/>
      <c r="L582" s="626">
        <f>(SUMIF('PA-Détails'!$R$1709:$R$2514,"=" &amp;'PA-Synthèse'!$B582,'PA-Détails'!L$1709:L$2514))/1000</f>
        <v>119</v>
      </c>
      <c r="M582" s="626">
        <f>(SUMIF('PA-Détails'!$R$1709:$R$2514,"=" &amp;'PA-Synthèse'!$B582,'PA-Détails'!M$1709:M$2514))/1000</f>
        <v>122</v>
      </c>
      <c r="N582" s="626">
        <f>(SUMIF('PA-Détails'!$R$1709:$R$2514,"=" &amp;'PA-Synthèse'!$B582,'PA-Détails'!N$1709:N$2514))/1000</f>
        <v>124</v>
      </c>
      <c r="O582" s="626">
        <f>(SUMIF('PA-Détails'!$R$1709:$R$2514,"=" &amp;'PA-Synthèse'!$B582,'PA-Détails'!O$1709:O$2514))/1000</f>
        <v>127</v>
      </c>
      <c r="P582" s="626">
        <f>(SUMIF('PA-Détails'!$R$1709:$R$2514,"=" &amp;'PA-Synthèse'!$B582,'PA-Détails'!P$1709:P$2514))/1000</f>
        <v>129</v>
      </c>
      <c r="Q582" s="626">
        <f>(SUMIF('PA-Détails'!$R$1709:$R$2514,"=" &amp;'PA-Synthèse'!$B582,'PA-Détails'!Q$1709:Q$2514))/1000</f>
        <v>621</v>
      </c>
      <c r="R582" s="613">
        <f>COUNTIF('PA-Détails'!$R$1709:$R$2514,"=" &amp;'PA-Synthèse'!$B582)</f>
        <v>1</v>
      </c>
      <c r="S582" s="572" t="str">
        <f t="shared" si="139"/>
        <v xml:space="preserve">8.1.3.3 Investissements MAS (ENF) ;  ;  ;  ; </v>
      </c>
      <c r="T582" s="572">
        <f t="shared" si="128"/>
        <v>1</v>
      </c>
      <c r="U582" s="572" t="s">
        <v>943</v>
      </c>
    </row>
    <row r="583" spans="2:25" s="572" customFormat="1" hidden="1" x14ac:dyDescent="0.2">
      <c r="B583" s="623" t="s">
        <v>717</v>
      </c>
      <c r="C583" s="624"/>
      <c r="D583" s="624"/>
      <c r="E583" s="624"/>
      <c r="F583" s="624"/>
      <c r="G583" s="624"/>
      <c r="H583" s="624"/>
      <c r="I583" s="624"/>
      <c r="J583" s="624"/>
      <c r="K583" s="624"/>
      <c r="L583" s="626">
        <f>(SUMIF('PA-Détails'!$R$1709:$R$2514,"=" &amp;'PA-Synthèse'!$B583,'PA-Détails'!L$1709:L$2514))/1000</f>
        <v>3.5</v>
      </c>
      <c r="M583" s="626">
        <f>(SUMIF('PA-Détails'!$R$1709:$R$2514,"=" &amp;'PA-Synthèse'!$B583,'PA-Détails'!M$1709:M$2514))/1000</f>
        <v>0</v>
      </c>
      <c r="N583" s="626">
        <f>(SUMIF('PA-Détails'!$R$1709:$R$2514,"=" &amp;'PA-Synthèse'!$B583,'PA-Détails'!N$1709:N$2514))/1000</f>
        <v>0</v>
      </c>
      <c r="O583" s="626">
        <f>(SUMIF('PA-Détails'!$R$1709:$R$2514,"=" &amp;'PA-Synthèse'!$B583,'PA-Détails'!O$1709:O$2514))/1000</f>
        <v>0</v>
      </c>
      <c r="P583" s="626">
        <f>(SUMIF('PA-Détails'!$R$1709:$R$2514,"=" &amp;'PA-Synthèse'!$B583,'PA-Détails'!P$1709:P$2514))/1000</f>
        <v>0</v>
      </c>
      <c r="Q583" s="626">
        <f>(SUMIF('PA-Détails'!$R$1709:$R$2514,"=" &amp;'PA-Synthèse'!$B583,'PA-Détails'!Q$1709:Q$2514))/1000</f>
        <v>3.5</v>
      </c>
      <c r="R583" s="613">
        <f>COUNTIF('PA-Détails'!$R$1709:$R$2514,"=" &amp;'PA-Synthèse'!$B583)</f>
        <v>1</v>
      </c>
      <c r="S583" s="572" t="str">
        <f t="shared" si="139"/>
        <v xml:space="preserve">3.2.3.1 Identification des structures d'accueil ;  ;  ;  ; </v>
      </c>
      <c r="T583" s="572">
        <f t="shared" si="128"/>
        <v>1</v>
      </c>
      <c r="U583" s="572" t="s">
        <v>712</v>
      </c>
    </row>
    <row r="584" spans="2:25" s="572" customFormat="1" hidden="1" x14ac:dyDescent="0.2">
      <c r="B584" s="623" t="s">
        <v>742</v>
      </c>
      <c r="C584" s="624"/>
      <c r="D584" s="624"/>
      <c r="E584" s="624"/>
      <c r="F584" s="624"/>
      <c r="G584" s="624"/>
      <c r="H584" s="624"/>
      <c r="I584" s="624"/>
      <c r="J584" s="624"/>
      <c r="K584" s="624"/>
      <c r="L584" s="626">
        <f>(SUMIF('PA-Détails'!$R$1709:$R$2514,"=" &amp;'PA-Synthèse'!$B584,'PA-Détails'!L$1709:L$2514))/1000</f>
        <v>8.5</v>
      </c>
      <c r="M584" s="626">
        <f>(SUMIF('PA-Détails'!$R$1709:$R$2514,"=" &amp;'PA-Synthèse'!$B584,'PA-Détails'!M$1709:M$2514))/1000</f>
        <v>50</v>
      </c>
      <c r="N584" s="626">
        <f>(SUMIF('PA-Détails'!$R$1709:$R$2514,"=" &amp;'PA-Synthèse'!$B584,'PA-Détails'!N$1709:N$2514))/1000</f>
        <v>20</v>
      </c>
      <c r="O584" s="626">
        <f>(SUMIF('PA-Détails'!$R$1709:$R$2514,"=" &amp;'PA-Synthèse'!$B584,'PA-Détails'!O$1709:O$2514))/1000</f>
        <v>20</v>
      </c>
      <c r="P584" s="626">
        <f>(SUMIF('PA-Détails'!$R$1709:$R$2514,"=" &amp;'PA-Synthèse'!$B584,'PA-Détails'!P$1709:P$2514))/1000</f>
        <v>20</v>
      </c>
      <c r="Q584" s="626">
        <f>(SUMIF('PA-Détails'!$R$1709:$R$2514,"=" &amp;'PA-Synthèse'!$B584,'PA-Détails'!Q$1709:Q$2514))/1000</f>
        <v>118.5</v>
      </c>
      <c r="R584" s="613">
        <f>COUNTIF('PA-Détails'!$R$1709:$R$2514,"=" &amp;'PA-Synthèse'!$B584)</f>
        <v>2</v>
      </c>
      <c r="S584" s="572" t="str">
        <f t="shared" si="139"/>
        <v xml:space="preserve">3.9.3.1 Étude de faisabilité de la transformation service en centre de ressource ; 3.9.3.2 Réhabilitation, équipement et fonctionnement du centre ;  ;  ; </v>
      </c>
      <c r="T584" s="572">
        <f t="shared" si="128"/>
        <v>2</v>
      </c>
      <c r="U584" s="572" t="s">
        <v>602</v>
      </c>
      <c r="V584" s="572" t="s">
        <v>603</v>
      </c>
    </row>
    <row r="585" spans="2:25" s="572" customFormat="1" hidden="1" x14ac:dyDescent="0.2">
      <c r="B585" s="623" t="s">
        <v>748</v>
      </c>
      <c r="C585" s="624"/>
      <c r="D585" s="624"/>
      <c r="E585" s="624"/>
      <c r="F585" s="624"/>
      <c r="G585" s="624"/>
      <c r="H585" s="624"/>
      <c r="I585" s="624"/>
      <c r="J585" s="624"/>
      <c r="K585" s="624"/>
      <c r="L585" s="626">
        <f>(SUMIF('PA-Détails'!$R$1709:$R$2514,"=" &amp;'PA-Synthèse'!$B585,'PA-Détails'!L$1709:L$2514))/1000</f>
        <v>12.7</v>
      </c>
      <c r="M585" s="626">
        <f>(SUMIF('PA-Détails'!$R$1709:$R$2514,"=" &amp;'PA-Synthèse'!$B585,'PA-Détails'!M$1709:M$2514))/1000</f>
        <v>0</v>
      </c>
      <c r="N585" s="626">
        <f>(SUMIF('PA-Détails'!$R$1709:$R$2514,"=" &amp;'PA-Synthèse'!$B585,'PA-Détails'!N$1709:N$2514))/1000</f>
        <v>0</v>
      </c>
      <c r="O585" s="626">
        <f>(SUMIF('PA-Détails'!$R$1709:$R$2514,"=" &amp;'PA-Synthèse'!$B585,'PA-Détails'!O$1709:O$2514))/1000</f>
        <v>0</v>
      </c>
      <c r="P585" s="626">
        <f>(SUMIF('PA-Détails'!$R$1709:$R$2514,"=" &amp;'PA-Synthèse'!$B585,'PA-Détails'!P$1709:P$2514))/1000</f>
        <v>0</v>
      </c>
      <c r="Q585" s="626">
        <f>(SUMIF('PA-Détails'!$R$1709:$R$2514,"=" &amp;'PA-Synthèse'!$B585,'PA-Détails'!Q$1709:Q$2514))/1000</f>
        <v>12.7</v>
      </c>
      <c r="R585" s="613">
        <f>COUNTIF('PA-Détails'!$R$1709:$R$2514,"=" &amp;'PA-Synthèse'!$B585)</f>
        <v>1</v>
      </c>
      <c r="S585" s="572" t="str">
        <f t="shared" si="139"/>
        <v xml:space="preserve">3.1.1.1 Définir un plan de communication ;  ;  ;  ; </v>
      </c>
      <c r="T585" s="572">
        <f t="shared" si="128"/>
        <v>1</v>
      </c>
      <c r="U585" s="572" t="s">
        <v>219</v>
      </c>
    </row>
    <row r="586" spans="2:25" s="572" customFormat="1" hidden="1" x14ac:dyDescent="0.2">
      <c r="B586" s="623" t="s">
        <v>707</v>
      </c>
      <c r="C586" s="624"/>
      <c r="D586" s="624"/>
      <c r="E586" s="624"/>
      <c r="F586" s="624"/>
      <c r="G586" s="624"/>
      <c r="H586" s="624"/>
      <c r="I586" s="624"/>
      <c r="J586" s="624"/>
      <c r="K586" s="624"/>
      <c r="L586" s="626">
        <f>(SUMIF('PA-Détails'!$R$1709:$R$2514,"=" &amp;'PA-Synthèse'!$B586,'PA-Détails'!L$1709:L$2514))/1000</f>
        <v>161.5</v>
      </c>
      <c r="M586" s="626">
        <f>(SUMIF('PA-Détails'!$R$1709:$R$2514,"=" &amp;'PA-Synthèse'!$B586,'PA-Détails'!M$1709:M$2514))/1000</f>
        <v>241.8</v>
      </c>
      <c r="N586" s="626">
        <f>(SUMIF('PA-Détails'!$R$1709:$R$2514,"=" &amp;'PA-Synthèse'!$B586,'PA-Détails'!N$1709:N$2514))/1000</f>
        <v>221.8</v>
      </c>
      <c r="O586" s="626">
        <f>(SUMIF('PA-Détails'!$R$1709:$R$2514,"=" &amp;'PA-Synthèse'!$B586,'PA-Détails'!O$1709:O$2514))/1000</f>
        <v>221.8</v>
      </c>
      <c r="P586" s="626">
        <f>(SUMIF('PA-Détails'!$R$1709:$R$2514,"=" &amp;'PA-Synthèse'!$B586,'PA-Détails'!P$1709:P$2514))/1000</f>
        <v>221.8</v>
      </c>
      <c r="Q586" s="626">
        <f>(SUMIF('PA-Détails'!$R$1709:$R$2514,"=" &amp;'PA-Synthèse'!$B586,'PA-Détails'!Q$1709:Q$2514))/1000</f>
        <v>1068.7</v>
      </c>
      <c r="R586" s="613">
        <f>COUNTIF('PA-Détails'!$R$1709:$R$2514,"=" &amp;'PA-Synthèse'!$B586)</f>
        <v>4</v>
      </c>
      <c r="S586" s="572" t="str">
        <f t="shared" si="139"/>
        <v xml:space="preserve">3.1.1.2 Développer des outils et des supports ; 3.1.4.2 Renforcement de l'offre alternative d’éducation pour les enfants en âge scolaire non scolarisés (9-14 ans) ; 3.1.4.3 Évaluation de l'efficacité de la subvention ; 3.9.1.1 Étude sur la réorganisation de la DGENF ; </v>
      </c>
      <c r="T586" s="572">
        <f t="shared" si="128"/>
        <v>4</v>
      </c>
      <c r="U586" s="572" t="s">
        <v>220</v>
      </c>
      <c r="V586" s="572" t="s">
        <v>1011</v>
      </c>
      <c r="W586" s="572" t="s">
        <v>1063</v>
      </c>
      <c r="X586" s="572" t="s">
        <v>741</v>
      </c>
    </row>
    <row r="587" spans="2:25" s="572" customFormat="1" hidden="1" x14ac:dyDescent="0.2">
      <c r="B587" s="623" t="s">
        <v>786</v>
      </c>
      <c r="C587" s="624"/>
      <c r="D587" s="624"/>
      <c r="E587" s="624"/>
      <c r="F587" s="624"/>
      <c r="G587" s="624"/>
      <c r="H587" s="624"/>
      <c r="I587" s="624"/>
      <c r="J587" s="624"/>
      <c r="K587" s="624"/>
      <c r="L587" s="626">
        <f>(SUMIF('PA-Détails'!$R$1709:$R$2514,"=" &amp;'PA-Synthèse'!$B587,'PA-Détails'!L$1709:L$2514))/1000</f>
        <v>218.5</v>
      </c>
      <c r="M587" s="626">
        <f>(SUMIF('PA-Détails'!$R$1709:$R$2514,"=" &amp;'PA-Synthèse'!$B587,'PA-Détails'!M$1709:M$2514))/1000</f>
        <v>132.9</v>
      </c>
      <c r="N587" s="626">
        <f>(SUMIF('PA-Détails'!$R$1709:$R$2514,"=" &amp;'PA-Synthèse'!$B587,'PA-Détails'!N$1709:N$2514))/1000</f>
        <v>132.9</v>
      </c>
      <c r="O587" s="626">
        <f>(SUMIF('PA-Détails'!$R$1709:$R$2514,"=" &amp;'PA-Synthèse'!$B587,'PA-Détails'!O$1709:O$2514))/1000</f>
        <v>0</v>
      </c>
      <c r="P587" s="626">
        <f>(SUMIF('PA-Détails'!$R$1709:$R$2514,"=" &amp;'PA-Synthèse'!$B587,'PA-Détails'!P$1709:P$2514))/1000</f>
        <v>0</v>
      </c>
      <c r="Q587" s="626">
        <f>(SUMIF('PA-Détails'!$R$1709:$R$2514,"=" &amp;'PA-Synthèse'!$B587,'PA-Détails'!Q$1709:Q$2514))/1000</f>
        <v>484.3</v>
      </c>
      <c r="R587" s="613">
        <f>COUNTIF('PA-Détails'!$R$1709:$R$2514,"=" &amp;'PA-Synthèse'!$B587)</f>
        <v>3</v>
      </c>
      <c r="S587" s="572" t="str">
        <f t="shared" si="139"/>
        <v xml:space="preserve">3.1.1.1 Définir un plan de communication ; 3.1.1.2 Développer des outils et des supports ; 3.1.1.3 Assurer des campagnes IEC ;  ; </v>
      </c>
      <c r="T587" s="572">
        <f t="shared" si="128"/>
        <v>3</v>
      </c>
      <c r="U587" s="572" t="s">
        <v>219</v>
      </c>
      <c r="V587" s="572" t="s">
        <v>220</v>
      </c>
      <c r="W587" s="572" t="s">
        <v>221</v>
      </c>
    </row>
    <row r="588" spans="2:25" s="572" customFormat="1" hidden="1" x14ac:dyDescent="0.2">
      <c r="B588" s="623" t="s">
        <v>702</v>
      </c>
      <c r="C588" s="624"/>
      <c r="D588" s="624"/>
      <c r="E588" s="624"/>
      <c r="F588" s="624"/>
      <c r="G588" s="624"/>
      <c r="H588" s="624"/>
      <c r="I588" s="624"/>
      <c r="J588" s="624"/>
      <c r="K588" s="624"/>
      <c r="L588" s="626">
        <f>(SUMIF('PA-Détails'!$R$1709:$R$2514,"=" &amp;'PA-Synthèse'!$B588,'PA-Détails'!L$1709:L$2514))/1000</f>
        <v>16.38</v>
      </c>
      <c r="M588" s="626">
        <f>(SUMIF('PA-Détails'!$R$1709:$R$2514,"=" &amp;'PA-Synthèse'!$B588,'PA-Détails'!M$1709:M$2514))/1000</f>
        <v>16.38</v>
      </c>
      <c r="N588" s="626">
        <f>(SUMIF('PA-Détails'!$R$1709:$R$2514,"=" &amp;'PA-Synthèse'!$B588,'PA-Détails'!N$1709:N$2514))/1000</f>
        <v>16.38</v>
      </c>
      <c r="O588" s="626">
        <f>(SUMIF('PA-Détails'!$R$1709:$R$2514,"=" &amp;'PA-Synthèse'!$B588,'PA-Détails'!O$1709:O$2514))/1000</f>
        <v>0</v>
      </c>
      <c r="P588" s="626">
        <f>(SUMIF('PA-Détails'!$R$1709:$R$2514,"=" &amp;'PA-Synthèse'!$B588,'PA-Détails'!P$1709:P$2514))/1000</f>
        <v>0</v>
      </c>
      <c r="Q588" s="626">
        <f>(SUMIF('PA-Détails'!$R$1709:$R$2514,"=" &amp;'PA-Synthèse'!$B588,'PA-Détails'!Q$1709:Q$2514))/1000</f>
        <v>49.14</v>
      </c>
      <c r="R588" s="613">
        <f>COUNTIF('PA-Détails'!$R$1709:$R$2514,"=" &amp;'PA-Synthèse'!$B588)</f>
        <v>1</v>
      </c>
      <c r="S588" s="572" t="str">
        <f t="shared" si="139"/>
        <v xml:space="preserve">3.1.2.1 Identification des écoles primaires pouvant servir d'appui ;  ;  ;  ; </v>
      </c>
      <c r="T588" s="572">
        <f t="shared" si="128"/>
        <v>1</v>
      </c>
      <c r="U588" s="572" t="s">
        <v>223</v>
      </c>
    </row>
    <row r="589" spans="2:25" s="572" customFormat="1" hidden="1" x14ac:dyDescent="0.2">
      <c r="B589" s="623" t="s">
        <v>730</v>
      </c>
      <c r="C589" s="624"/>
      <c r="D589" s="624"/>
      <c r="E589" s="624"/>
      <c r="F589" s="624"/>
      <c r="G589" s="624"/>
      <c r="H589" s="624"/>
      <c r="I589" s="624"/>
      <c r="J589" s="624"/>
      <c r="K589" s="624"/>
      <c r="L589" s="626">
        <f>(SUMIF('PA-Détails'!$R$1709:$R$2514,"=" &amp;'PA-Synthèse'!$B589,'PA-Détails'!L$1709:L$2514))/1000</f>
        <v>0</v>
      </c>
      <c r="M589" s="626">
        <f>(SUMIF('PA-Détails'!$R$1709:$R$2514,"=" &amp;'PA-Synthèse'!$B589,'PA-Détails'!M$1709:M$2514))/1000</f>
        <v>0</v>
      </c>
      <c r="N589" s="626">
        <f>(SUMIF('PA-Détails'!$R$1709:$R$2514,"=" &amp;'PA-Synthèse'!$B589,'PA-Détails'!N$1709:N$2514))/1000</f>
        <v>0</v>
      </c>
      <c r="O589" s="626">
        <f>(SUMIF('PA-Détails'!$R$1709:$R$2514,"=" &amp;'PA-Synthèse'!$B589,'PA-Détails'!O$1709:O$2514))/1000</f>
        <v>247.5</v>
      </c>
      <c r="P589" s="626">
        <f>(SUMIF('PA-Détails'!$R$1709:$R$2514,"=" &amp;'PA-Synthèse'!$B589,'PA-Détails'!P$1709:P$2514))/1000</f>
        <v>247.5</v>
      </c>
      <c r="Q589" s="626">
        <f>(SUMIF('PA-Détails'!$R$1709:$R$2514,"=" &amp;'PA-Synthèse'!$B589,'PA-Détails'!Q$1709:Q$2514))/1000</f>
        <v>495</v>
      </c>
      <c r="R589" s="613">
        <f>COUNTIF('PA-Détails'!$R$1709:$R$2514,"=" &amp;'PA-Synthèse'!$B589)</f>
        <v>1</v>
      </c>
      <c r="S589" s="572" t="str">
        <f t="shared" si="139"/>
        <v xml:space="preserve">3.5.3.1 Formation des enseignants à l'utilisation des manuels et guides ;  ;  ;  ; </v>
      </c>
      <c r="T589" s="572">
        <f t="shared" ref="T589:T650" si="140">47-COUNTBLANK(U589:BO589)</f>
        <v>1</v>
      </c>
      <c r="U589" s="572" t="s">
        <v>451</v>
      </c>
    </row>
    <row r="590" spans="2:25" s="572" customFormat="1" hidden="1" x14ac:dyDescent="0.2">
      <c r="B590" s="623" t="s">
        <v>736</v>
      </c>
      <c r="C590" s="624"/>
      <c r="D590" s="624"/>
      <c r="E590" s="624"/>
      <c r="F590" s="624"/>
      <c r="G590" s="624"/>
      <c r="H590" s="624"/>
      <c r="I590" s="624"/>
      <c r="J590" s="624"/>
      <c r="K590" s="624"/>
      <c r="L590" s="626">
        <f>(SUMIF('PA-Détails'!$R$1709:$R$2514,"=" &amp;'PA-Synthèse'!$B590,'PA-Détails'!L$1709:L$2514))/1000</f>
        <v>9436.1780159834252</v>
      </c>
      <c r="M590" s="626">
        <f>(SUMIF('PA-Détails'!$R$1709:$R$2514,"=" &amp;'PA-Synthèse'!$B590,'PA-Détails'!M$1709:M$2514))/1000</f>
        <v>9213.832872319972</v>
      </c>
      <c r="N590" s="626">
        <f>(SUMIF('PA-Détails'!$R$1709:$R$2514,"=" &amp;'PA-Synthèse'!$B590,'PA-Détails'!N$1709:N$2514))/1000</f>
        <v>10434.144047269217</v>
      </c>
      <c r="O590" s="626">
        <f>(SUMIF('PA-Détails'!$R$1709:$R$2514,"=" &amp;'PA-Synthèse'!$B590,'PA-Détails'!O$1709:O$2514))/1000</f>
        <v>10124.819302845683</v>
      </c>
      <c r="P590" s="626">
        <f>(SUMIF('PA-Détails'!$R$1709:$R$2514,"=" &amp;'PA-Synthèse'!$B590,'PA-Détails'!P$1709:P$2514))/1000</f>
        <v>11177.679711646975</v>
      </c>
      <c r="Q590" s="626">
        <f>(SUMIF('PA-Détails'!$R$1709:$R$2514,"=" &amp;'PA-Synthèse'!$B590,'PA-Détails'!Q$1709:Q$2514))/1000</f>
        <v>50386.653950065273</v>
      </c>
      <c r="R590" s="613">
        <f>COUNTIF('PA-Détails'!$R$1709:$R$2514,"=" &amp;'PA-Synthèse'!$B590)</f>
        <v>2</v>
      </c>
      <c r="S590" s="572" t="str">
        <f t="shared" si="139"/>
        <v xml:space="preserve">3.7.2.1 Formation des formateurs des éducateurs sociaux ; 3.7.3.1 Rémunération des enseignants ;  ;  ; </v>
      </c>
      <c r="T590" s="572">
        <f t="shared" si="140"/>
        <v>2</v>
      </c>
      <c r="U590" s="572" t="s">
        <v>1455</v>
      </c>
      <c r="V590" s="572" t="s">
        <v>988</v>
      </c>
    </row>
    <row r="591" spans="2:25" s="572" customFormat="1" hidden="1" x14ac:dyDescent="0.2">
      <c r="B591" s="623" t="s">
        <v>739</v>
      </c>
      <c r="C591" s="624"/>
      <c r="D591" s="624"/>
      <c r="E591" s="624"/>
      <c r="F591" s="624"/>
      <c r="G591" s="624"/>
      <c r="H591" s="624"/>
      <c r="I591" s="624"/>
      <c r="J591" s="624"/>
      <c r="K591" s="624"/>
      <c r="L591" s="626">
        <f>(SUMIF('PA-Détails'!$R$1709:$R$2514,"=" &amp;'PA-Synthèse'!$B591,'PA-Détails'!L$1709:L$2514))/1000</f>
        <v>14</v>
      </c>
      <c r="M591" s="626">
        <f>(SUMIF('PA-Détails'!$R$1709:$R$2514,"=" &amp;'PA-Synthèse'!$B591,'PA-Détails'!M$1709:M$2514))/1000</f>
        <v>14</v>
      </c>
      <c r="N591" s="626">
        <f>(SUMIF('PA-Détails'!$R$1709:$R$2514,"=" &amp;'PA-Synthèse'!$B591,'PA-Détails'!N$1709:N$2514))/1000</f>
        <v>14</v>
      </c>
      <c r="O591" s="626">
        <f>(SUMIF('PA-Détails'!$R$1709:$R$2514,"=" &amp;'PA-Synthèse'!$B591,'PA-Détails'!O$1709:O$2514))/1000</f>
        <v>14</v>
      </c>
      <c r="P591" s="626">
        <f>(SUMIF('PA-Détails'!$R$1709:$R$2514,"=" &amp;'PA-Synthèse'!$B591,'PA-Détails'!P$1709:P$2514))/1000</f>
        <v>14</v>
      </c>
      <c r="Q591" s="626">
        <f>(SUMIF('PA-Détails'!$R$1709:$R$2514,"=" &amp;'PA-Synthèse'!$B591,'PA-Détails'!Q$1709:Q$2514))/1000</f>
        <v>70</v>
      </c>
      <c r="R591" s="613">
        <f>COUNTIF('PA-Détails'!$R$1709:$R$2514,"=" &amp;'PA-Synthèse'!$B591)</f>
        <v>1</v>
      </c>
      <c r="S591" s="572" t="str">
        <f t="shared" si="139"/>
        <v xml:space="preserve">3.8.1.1 Dynamiser les instances de conseil et de coordination ;  ;  ;  ; </v>
      </c>
      <c r="T591" s="572">
        <f t="shared" si="140"/>
        <v>1</v>
      </c>
      <c r="U591" s="572" t="s">
        <v>596</v>
      </c>
    </row>
    <row r="592" spans="2:25" s="572" customFormat="1" hidden="1" x14ac:dyDescent="0.2">
      <c r="B592" s="623" t="s">
        <v>727</v>
      </c>
      <c r="C592" s="624"/>
      <c r="D592" s="624"/>
      <c r="E592" s="624"/>
      <c r="F592" s="624"/>
      <c r="G592" s="624"/>
      <c r="H592" s="624"/>
      <c r="I592" s="624"/>
      <c r="J592" s="624"/>
      <c r="K592" s="624"/>
      <c r="L592" s="626">
        <f>(SUMIF('PA-Détails'!$R$1709:$R$2514,"=" &amp;'PA-Synthèse'!$B592,'PA-Détails'!L$1709:L$2514))/1000</f>
        <v>0</v>
      </c>
      <c r="M592" s="626">
        <f>(SUMIF('PA-Détails'!$R$1709:$R$2514,"=" &amp;'PA-Synthèse'!$B592,'PA-Détails'!M$1709:M$2514))/1000</f>
        <v>0</v>
      </c>
      <c r="N592" s="626">
        <f>(SUMIF('PA-Détails'!$R$1709:$R$2514,"=" &amp;'PA-Synthèse'!$B592,'PA-Détails'!N$1709:N$2514))/1000</f>
        <v>2407.3339999999998</v>
      </c>
      <c r="O592" s="626">
        <f>(SUMIF('PA-Détails'!$R$1709:$R$2514,"=" &amp;'PA-Synthèse'!$B592,'PA-Détails'!O$1709:O$2514))/1000</f>
        <v>3591.7750000000001</v>
      </c>
      <c r="P592" s="626">
        <f>(SUMIF('PA-Détails'!$R$1709:$R$2514,"=" &amp;'PA-Synthèse'!$B592,'PA-Détails'!P$1709:P$2514))/1000</f>
        <v>3591.7750000000001</v>
      </c>
      <c r="Q592" s="626">
        <f>(SUMIF('PA-Détails'!$R$1709:$R$2514,"=" &amp;'PA-Synthèse'!$B592,'PA-Détails'!Q$1709:Q$2514))/1000</f>
        <v>9590.884</v>
      </c>
      <c r="R592" s="613">
        <f>COUNTIF('PA-Détails'!$R$1709:$R$2514,"=" &amp;'PA-Synthèse'!$B592)</f>
        <v>4</v>
      </c>
      <c r="S592" s="572" t="str">
        <f t="shared" si="139"/>
        <v xml:space="preserve">3.4.4.1 Acquisition et distribution des programmes ; 3.4.4.2 Acquisition et distribution des manuels ; 3.4.4.3 Acquisition et distribution des guides ; 3.5.2.3 Production et distribution des manuels et guides en langue locale ; </v>
      </c>
      <c r="T592" s="572">
        <f t="shared" si="140"/>
        <v>4</v>
      </c>
      <c r="U592" s="572" t="s">
        <v>1451</v>
      </c>
      <c r="V592" s="572" t="s">
        <v>999</v>
      </c>
      <c r="W592" s="572" t="s">
        <v>1000</v>
      </c>
      <c r="X592" s="572" t="s">
        <v>449</v>
      </c>
    </row>
    <row r="593" spans="2:24" s="572" customFormat="1" hidden="1" x14ac:dyDescent="0.2">
      <c r="B593" s="623" t="s">
        <v>787</v>
      </c>
      <c r="C593" s="624"/>
      <c r="D593" s="624"/>
      <c r="E593" s="624"/>
      <c r="F593" s="624"/>
      <c r="G593" s="624"/>
      <c r="H593" s="624"/>
      <c r="I593" s="624"/>
      <c r="J593" s="624"/>
      <c r="K593" s="624"/>
      <c r="L593" s="626">
        <f>(SUMIF('PA-Détails'!$R$1709:$R$2514,"=" &amp;'PA-Synthèse'!$B593,'PA-Détails'!L$1709:L$2514))/1000</f>
        <v>29.75</v>
      </c>
      <c r="M593" s="626">
        <f>(SUMIF('PA-Détails'!$R$1709:$R$2514,"=" &amp;'PA-Synthèse'!$B593,'PA-Détails'!M$1709:M$2514))/1000</f>
        <v>0</v>
      </c>
      <c r="N593" s="626">
        <f>(SUMIF('PA-Détails'!$R$1709:$R$2514,"=" &amp;'PA-Synthèse'!$B593,'PA-Détails'!N$1709:N$2514))/1000</f>
        <v>0</v>
      </c>
      <c r="O593" s="626">
        <f>(SUMIF('PA-Détails'!$R$1709:$R$2514,"=" &amp;'PA-Synthèse'!$B593,'PA-Détails'!O$1709:O$2514))/1000</f>
        <v>0</v>
      </c>
      <c r="P593" s="626">
        <f>(SUMIF('PA-Détails'!$R$1709:$R$2514,"=" &amp;'PA-Synthèse'!$B593,'PA-Détails'!P$1709:P$2514))/1000</f>
        <v>0</v>
      </c>
      <c r="Q593" s="626">
        <f>(SUMIF('PA-Détails'!$R$1709:$R$2514,"=" &amp;'PA-Synthèse'!$B593,'PA-Détails'!Q$1709:Q$2514))/1000</f>
        <v>29.75</v>
      </c>
      <c r="R593" s="613">
        <f>COUNTIF('PA-Détails'!$R$1709:$R$2514,"=" &amp;'PA-Synthèse'!$B593)</f>
        <v>1</v>
      </c>
      <c r="S593" s="572" t="str">
        <f t="shared" si="139"/>
        <v xml:space="preserve">3.1.4.1 Élaboration d’une stratégie de réinsertion scolaire des enfants déscolarisés et des outils d’identification de ces enfants ;  ;  ;  ; </v>
      </c>
      <c r="T593" s="572">
        <f t="shared" si="140"/>
        <v>1</v>
      </c>
      <c r="U593" s="572" t="s">
        <v>1062</v>
      </c>
    </row>
    <row r="594" spans="2:24" s="572" customFormat="1" hidden="1" x14ac:dyDescent="0.2">
      <c r="B594" s="623" t="s">
        <v>723</v>
      </c>
      <c r="C594" s="624"/>
      <c r="D594" s="624"/>
      <c r="E594" s="624"/>
      <c r="F594" s="624"/>
      <c r="G594" s="624"/>
      <c r="H594" s="624"/>
      <c r="I594" s="624"/>
      <c r="J594" s="624"/>
      <c r="K594" s="624"/>
      <c r="L594" s="626">
        <f>(SUMIF('PA-Détails'!$R$1709:$R$2514,"=" &amp;'PA-Synthèse'!$B594,'PA-Détails'!L$1709:L$2514))/1000</f>
        <v>20.5</v>
      </c>
      <c r="M594" s="626">
        <f>(SUMIF('PA-Détails'!$R$1709:$R$2514,"=" &amp;'PA-Synthèse'!$B594,'PA-Détails'!M$1709:M$2514))/1000</f>
        <v>0</v>
      </c>
      <c r="N594" s="626">
        <f>(SUMIF('PA-Détails'!$R$1709:$R$2514,"=" &amp;'PA-Synthèse'!$B594,'PA-Détails'!N$1709:N$2514))/1000</f>
        <v>0</v>
      </c>
      <c r="O594" s="626">
        <f>(SUMIF('PA-Détails'!$R$1709:$R$2514,"=" &amp;'PA-Synthèse'!$B594,'PA-Détails'!O$1709:O$2514))/1000</f>
        <v>0</v>
      </c>
      <c r="P594" s="626">
        <f>(SUMIF('PA-Détails'!$R$1709:$R$2514,"=" &amp;'PA-Synthèse'!$B594,'PA-Détails'!P$1709:P$2514))/1000</f>
        <v>0</v>
      </c>
      <c r="Q594" s="626">
        <f>(SUMIF('PA-Détails'!$R$1709:$R$2514,"=" &amp;'PA-Synthèse'!$B594,'PA-Détails'!Q$1709:Q$2514))/1000</f>
        <v>20.5</v>
      </c>
      <c r="R594" s="613">
        <f>COUNTIF('PA-Détails'!$R$1709:$R$2514,"=" &amp;'PA-Synthèse'!$B594)</f>
        <v>2</v>
      </c>
      <c r="S594" s="572" t="str">
        <f t="shared" si="139"/>
        <v xml:space="preserve">3.4.1.1 Ateliers techniques de révision du programme de rattrapage scolaire ; 3.6.1.1 Standardisation des outils de suivi et d'évaluation des apprenants ;  ;  ; </v>
      </c>
      <c r="T594" s="572">
        <f t="shared" si="140"/>
        <v>2</v>
      </c>
      <c r="U594" s="572" t="s">
        <v>1447</v>
      </c>
      <c r="V594" s="572" t="s">
        <v>1452</v>
      </c>
    </row>
    <row r="595" spans="2:24" s="572" customFormat="1" hidden="1" x14ac:dyDescent="0.2">
      <c r="B595" s="623" t="s">
        <v>734</v>
      </c>
      <c r="C595" s="624"/>
      <c r="D595" s="624"/>
      <c r="E595" s="624"/>
      <c r="F595" s="624"/>
      <c r="G595" s="624"/>
      <c r="H595" s="624"/>
      <c r="I595" s="624"/>
      <c r="J595" s="624"/>
      <c r="K595" s="624"/>
      <c r="L595" s="626">
        <f>(SUMIF('PA-Détails'!$R$1709:$R$2514,"=" &amp;'PA-Synthèse'!$B595,'PA-Détails'!L$1709:L$2514))/1000</f>
        <v>20</v>
      </c>
      <c r="M595" s="626">
        <f>(SUMIF('PA-Détails'!$R$1709:$R$2514,"=" &amp;'PA-Synthèse'!$B595,'PA-Détails'!M$1709:M$2514))/1000</f>
        <v>0</v>
      </c>
      <c r="N595" s="626">
        <f>(SUMIF('PA-Détails'!$R$1709:$R$2514,"=" &amp;'PA-Synthèse'!$B595,'PA-Détails'!N$1709:N$2514))/1000</f>
        <v>0</v>
      </c>
      <c r="O595" s="626">
        <f>(SUMIF('PA-Détails'!$R$1709:$R$2514,"=" &amp;'PA-Synthèse'!$B595,'PA-Détails'!O$1709:O$2514))/1000</f>
        <v>0</v>
      </c>
      <c r="P595" s="626">
        <f>(SUMIF('PA-Détails'!$R$1709:$R$2514,"=" &amp;'PA-Synthèse'!$B595,'PA-Détails'!P$1709:P$2514))/1000</f>
        <v>0</v>
      </c>
      <c r="Q595" s="626">
        <f>(SUMIF('PA-Détails'!$R$1709:$R$2514,"=" &amp;'PA-Synthèse'!$B595,'PA-Détails'!Q$1709:Q$2514))/1000</f>
        <v>20</v>
      </c>
      <c r="R595" s="613">
        <f>COUNTIF('PA-Détails'!$R$1709:$R$2514,"=" &amp;'PA-Synthèse'!$B595)</f>
        <v>2</v>
      </c>
      <c r="S595" s="572" t="str">
        <f t="shared" si="139"/>
        <v xml:space="preserve">3.7.1.1 Actualisation des modules de formation de rattrapage scolaire ; 3.7.1.2 Actualisation des modules de formation d'alphabétisation ;  ;  ; </v>
      </c>
      <c r="T595" s="572">
        <f t="shared" si="140"/>
        <v>2</v>
      </c>
      <c r="U595" s="572" t="s">
        <v>1454</v>
      </c>
      <c r="V595" s="572" t="s">
        <v>460</v>
      </c>
    </row>
    <row r="596" spans="2:24" s="572" customFormat="1" hidden="1" x14ac:dyDescent="0.2">
      <c r="B596" s="623" t="s">
        <v>732</v>
      </c>
      <c r="C596" s="624"/>
      <c r="D596" s="624"/>
      <c r="E596" s="624"/>
      <c r="F596" s="624"/>
      <c r="G596" s="624"/>
      <c r="H596" s="624"/>
      <c r="I596" s="624"/>
      <c r="J596" s="624"/>
      <c r="K596" s="624"/>
      <c r="L596" s="626">
        <f>(SUMIF('PA-Détails'!$R$1709:$R$2514,"=" &amp;'PA-Synthèse'!$B596,'PA-Détails'!L$1709:L$2514))/1000</f>
        <v>11</v>
      </c>
      <c r="M596" s="626">
        <f>(SUMIF('PA-Détails'!$R$1709:$R$2514,"=" &amp;'PA-Synthèse'!$B596,'PA-Détails'!M$1709:M$2514))/1000</f>
        <v>277.2</v>
      </c>
      <c r="N596" s="626">
        <f>(SUMIF('PA-Détails'!$R$1709:$R$2514,"=" &amp;'PA-Synthèse'!$B596,'PA-Détails'!N$1709:N$2514))/1000</f>
        <v>277.2</v>
      </c>
      <c r="O596" s="626">
        <f>(SUMIF('PA-Détails'!$R$1709:$R$2514,"=" &amp;'PA-Synthèse'!$B596,'PA-Détails'!O$1709:O$2514))/1000</f>
        <v>0</v>
      </c>
      <c r="P596" s="626">
        <f>(SUMIF('PA-Détails'!$R$1709:$R$2514,"=" &amp;'PA-Synthèse'!$B596,'PA-Détails'!P$1709:P$2514))/1000</f>
        <v>0</v>
      </c>
      <c r="Q596" s="626">
        <f>(SUMIF('PA-Détails'!$R$1709:$R$2514,"=" &amp;'PA-Synthèse'!$B596,'PA-Détails'!Q$1709:Q$2514))/1000</f>
        <v>565.4</v>
      </c>
      <c r="R596" s="613">
        <f>COUNTIF('PA-Détails'!$R$1709:$R$2514,"=" &amp;'PA-Synthèse'!$B596)</f>
        <v>3</v>
      </c>
      <c r="S596" s="572" t="str">
        <f t="shared" si="139"/>
        <v xml:space="preserve">3.6.2.1 Standardisation des documents de certification ; 3.6.3.1 Formation des inspecteurs des Affaires sociales (alphabétisation, rattrapage scolaire et apprentissage professionnel) ; 3.6.3.2 Formation des inspecteurs de l'EPSINC (rattrapage scolaire) ;  ; </v>
      </c>
      <c r="T596" s="572">
        <f t="shared" si="140"/>
        <v>3</v>
      </c>
      <c r="U596" s="572" t="s">
        <v>1453</v>
      </c>
      <c r="V596" s="572" t="s">
        <v>1071</v>
      </c>
      <c r="W596" s="572" t="s">
        <v>1072</v>
      </c>
    </row>
    <row r="597" spans="2:24" s="572" customFormat="1" hidden="1" x14ac:dyDescent="0.2">
      <c r="B597" s="623" t="s">
        <v>735</v>
      </c>
      <c r="C597" s="624"/>
      <c r="D597" s="624"/>
      <c r="E597" s="624"/>
      <c r="F597" s="624"/>
      <c r="G597" s="624"/>
      <c r="H597" s="624"/>
      <c r="I597" s="624"/>
      <c r="J597" s="624"/>
      <c r="K597" s="624"/>
      <c r="L597" s="626">
        <f>(SUMIF('PA-Détails'!$R$1709:$R$2514,"=" &amp;'PA-Synthèse'!$B597,'PA-Détails'!L$1709:L$2514))/1000</f>
        <v>0</v>
      </c>
      <c r="M597" s="626">
        <f>(SUMIF('PA-Détails'!$R$1709:$R$2514,"=" &amp;'PA-Synthèse'!$B597,'PA-Détails'!M$1709:M$2514))/1000</f>
        <v>10</v>
      </c>
      <c r="N597" s="626">
        <f>(SUMIF('PA-Détails'!$R$1709:$R$2514,"=" &amp;'PA-Synthèse'!$B597,'PA-Détails'!N$1709:N$2514))/1000</f>
        <v>0</v>
      </c>
      <c r="O597" s="626">
        <f>(SUMIF('PA-Détails'!$R$1709:$R$2514,"=" &amp;'PA-Synthèse'!$B597,'PA-Détails'!O$1709:O$2514))/1000</f>
        <v>0</v>
      </c>
      <c r="P597" s="626">
        <f>(SUMIF('PA-Détails'!$R$1709:$R$2514,"=" &amp;'PA-Synthèse'!$B597,'PA-Détails'!P$1709:P$2514))/1000</f>
        <v>0</v>
      </c>
      <c r="Q597" s="626">
        <f>(SUMIF('PA-Détails'!$R$1709:$R$2514,"=" &amp;'PA-Synthèse'!$B597,'PA-Détails'!Q$1709:Q$2514))/1000</f>
        <v>10</v>
      </c>
      <c r="R597" s="613">
        <f>COUNTIF('PA-Détails'!$R$1709:$R$2514,"=" &amp;'PA-Synthèse'!$B597)</f>
        <v>1</v>
      </c>
      <c r="S597" s="572" t="str">
        <f t="shared" si="139"/>
        <v xml:space="preserve">3.7.1.3 Actualisation des modules de formation d'apprentissage professionnel ;  ;  ;  ; </v>
      </c>
      <c r="T597" s="572">
        <f t="shared" si="140"/>
        <v>1</v>
      </c>
      <c r="U597" s="572" t="s">
        <v>461</v>
      </c>
    </row>
    <row r="598" spans="2:24" s="572" customFormat="1" hidden="1" x14ac:dyDescent="0.2">
      <c r="B598" s="623" t="s">
        <v>718</v>
      </c>
      <c r="C598" s="624"/>
      <c r="D598" s="624"/>
      <c r="E598" s="624"/>
      <c r="F598" s="624"/>
      <c r="G598" s="624"/>
      <c r="H598" s="624"/>
      <c r="I598" s="624"/>
      <c r="J598" s="624"/>
      <c r="K598" s="624"/>
      <c r="L598" s="626">
        <f>(SUMIF('PA-Détails'!$R$1709:$R$2514,"=" &amp;'PA-Synthèse'!$B598,'PA-Détails'!L$1709:L$2514))/1000</f>
        <v>4.5</v>
      </c>
      <c r="M598" s="626">
        <f>(SUMIF('PA-Détails'!$R$1709:$R$2514,"=" &amp;'PA-Synthèse'!$B598,'PA-Détails'!M$1709:M$2514))/1000</f>
        <v>0</v>
      </c>
      <c r="N598" s="626">
        <f>(SUMIF('PA-Détails'!$R$1709:$R$2514,"=" &amp;'PA-Synthèse'!$B598,'PA-Détails'!N$1709:N$2514))/1000</f>
        <v>0</v>
      </c>
      <c r="O598" s="626">
        <f>(SUMIF('PA-Détails'!$R$1709:$R$2514,"=" &amp;'PA-Synthèse'!$B598,'PA-Détails'!O$1709:O$2514))/1000</f>
        <v>0</v>
      </c>
      <c r="P598" s="626">
        <f>(SUMIF('PA-Détails'!$R$1709:$R$2514,"=" &amp;'PA-Synthèse'!$B598,'PA-Détails'!P$1709:P$2514))/1000</f>
        <v>0</v>
      </c>
      <c r="Q598" s="626">
        <f>(SUMIF('PA-Détails'!$R$1709:$R$2514,"=" &amp;'PA-Synthèse'!$B598,'PA-Détails'!Q$1709:Q$2514))/1000</f>
        <v>4.5</v>
      </c>
      <c r="R598" s="613">
        <f>COUNTIF('PA-Détails'!$R$1709:$R$2514,"=" &amp;'PA-Synthèse'!$B598)</f>
        <v>1</v>
      </c>
      <c r="S598" s="572" t="str">
        <f t="shared" si="139"/>
        <v xml:space="preserve">3.2.3.2 Définition des outils et matériels pédagogiques ;  ;  ;  ; </v>
      </c>
      <c r="T598" s="572">
        <f t="shared" si="140"/>
        <v>1</v>
      </c>
      <c r="U598" s="572" t="s">
        <v>1445</v>
      </c>
    </row>
    <row r="599" spans="2:24" s="572" customFormat="1" hidden="1" x14ac:dyDescent="0.2">
      <c r="B599" s="623" t="s">
        <v>729</v>
      </c>
      <c r="C599" s="624"/>
      <c r="D599" s="624"/>
      <c r="E599" s="624"/>
      <c r="F599" s="624"/>
      <c r="G599" s="624"/>
      <c r="H599" s="624"/>
      <c r="I599" s="624"/>
      <c r="J599" s="624"/>
      <c r="K599" s="624"/>
      <c r="L599" s="626">
        <f>(SUMIF('PA-Détails'!$R$1709:$R$2514,"=" &amp;'PA-Synthèse'!$B599,'PA-Détails'!L$1709:L$2514))/1000</f>
        <v>0</v>
      </c>
      <c r="M599" s="626">
        <f>(SUMIF('PA-Détails'!$R$1709:$R$2514,"=" &amp;'PA-Synthèse'!$B599,'PA-Détails'!M$1709:M$2514))/1000</f>
        <v>21</v>
      </c>
      <c r="N599" s="626">
        <f>(SUMIF('PA-Détails'!$R$1709:$R$2514,"=" &amp;'PA-Synthèse'!$B599,'PA-Détails'!N$1709:N$2514))/1000</f>
        <v>0</v>
      </c>
      <c r="O599" s="626">
        <f>(SUMIF('PA-Détails'!$R$1709:$R$2514,"=" &amp;'PA-Synthèse'!$B599,'PA-Détails'!O$1709:O$2514))/1000</f>
        <v>0</v>
      </c>
      <c r="P599" s="626">
        <f>(SUMIF('PA-Détails'!$R$1709:$R$2514,"=" &amp;'PA-Synthèse'!$B599,'PA-Détails'!P$1709:P$2514))/1000</f>
        <v>0</v>
      </c>
      <c r="Q599" s="626">
        <f>(SUMIF('PA-Détails'!$R$1709:$R$2514,"=" &amp;'PA-Synthèse'!$B599,'PA-Détails'!Q$1709:Q$2514))/1000</f>
        <v>21</v>
      </c>
      <c r="R599" s="613">
        <f>COUNTIF('PA-Détails'!$R$1709:$R$2514,"=" &amp;'PA-Synthèse'!$B599)</f>
        <v>2</v>
      </c>
      <c r="S599" s="572" t="str">
        <f t="shared" si="139"/>
        <v xml:space="preserve">3.5.1.1 État des lieux de la codification des langues ; 3.5.2.2 Atelier de validation des manuels et guides en langue locale ;  ;  ; </v>
      </c>
      <c r="T599" s="572">
        <f t="shared" si="140"/>
        <v>2</v>
      </c>
      <c r="U599" s="572" t="s">
        <v>1069</v>
      </c>
      <c r="V599" s="572" t="s">
        <v>448</v>
      </c>
    </row>
    <row r="600" spans="2:24" s="572" customFormat="1" hidden="1" x14ac:dyDescent="0.2">
      <c r="B600" s="623" t="s">
        <v>719</v>
      </c>
      <c r="C600" s="624"/>
      <c r="D600" s="624"/>
      <c r="E600" s="624"/>
      <c r="F600" s="624"/>
      <c r="G600" s="624"/>
      <c r="H600" s="624"/>
      <c r="I600" s="624"/>
      <c r="J600" s="624"/>
      <c r="K600" s="624"/>
      <c r="L600" s="625">
        <f>(SUMIF('PA-Détails'!$R$1709:$R$2514,"=" &amp;'PA-Synthèse'!$B600,'PA-Détails'!L$1709:L$2514))/1000</f>
        <v>43</v>
      </c>
      <c r="M600" s="625">
        <f>(SUMIF('PA-Détails'!$R$1709:$R$2514,"=" &amp;'PA-Synthèse'!$B600,'PA-Détails'!M$1709:M$2514))/1000</f>
        <v>39.5</v>
      </c>
      <c r="N600" s="625">
        <f>(SUMIF('PA-Détails'!$R$1709:$R$2514,"=" &amp;'PA-Synthèse'!$B600,'PA-Détails'!N$1709:N$2514))/1000</f>
        <v>71</v>
      </c>
      <c r="O600" s="625">
        <f>(SUMIF('PA-Détails'!$R$1709:$R$2514,"=" &amp;'PA-Synthèse'!$B600,'PA-Détails'!O$1709:O$2514))/1000</f>
        <v>0</v>
      </c>
      <c r="P600" s="625">
        <f>(SUMIF('PA-Détails'!$R$1709:$R$2514,"=" &amp;'PA-Synthèse'!$B600,'PA-Détails'!P$1709:P$2514))/1000</f>
        <v>0</v>
      </c>
      <c r="Q600" s="625">
        <f>(SUMIF('PA-Détails'!$R$1709:$R$2514,"=" &amp;'PA-Synthèse'!$B600,'PA-Détails'!Q$1709:Q$2514))/1000</f>
        <v>153.5</v>
      </c>
      <c r="R600" s="612">
        <f>COUNTIF('PA-Détails'!$R$1709:$R$2514,"=" &amp;'PA-Synthèse'!$B600)</f>
        <v>3</v>
      </c>
      <c r="S600" s="572" t="str">
        <f t="shared" si="139"/>
        <v xml:space="preserve">3.3.1.1 Révision des programmes ; 3.4.2.1 Élaboration de manuels et de guides pédagogiques de rattrapage scolaire ; 3.4.3.1 Uniformisation des manuels et des guides andragogiques et pédagogiques ;  ; </v>
      </c>
      <c r="T600" s="572">
        <f t="shared" si="140"/>
        <v>3</v>
      </c>
      <c r="U600" s="572" t="s">
        <v>436</v>
      </c>
      <c r="V600" s="572" t="s">
        <v>1068</v>
      </c>
      <c r="W600" s="572" t="s">
        <v>995</v>
      </c>
    </row>
    <row r="601" spans="2:24" s="572" customFormat="1" hidden="1" x14ac:dyDescent="0.2">
      <c r="B601" s="623" t="s">
        <v>721</v>
      </c>
      <c r="C601" s="624"/>
      <c r="D601" s="624"/>
      <c r="E601" s="624"/>
      <c r="F601" s="624"/>
      <c r="G601" s="624"/>
      <c r="H601" s="624"/>
      <c r="I601" s="624"/>
      <c r="J601" s="624"/>
      <c r="K601" s="624"/>
      <c r="L601" s="625">
        <f>(SUMIF('PA-Détails'!$R$1709:$R$2514,"=" &amp;'PA-Synthèse'!$B601,'PA-Détails'!L$1709:L$2514))/1000</f>
        <v>0</v>
      </c>
      <c r="M601" s="625">
        <f>(SUMIF('PA-Détails'!$R$1709:$R$2514,"=" &amp;'PA-Synthèse'!$B601,'PA-Détails'!M$1709:M$2514))/1000</f>
        <v>214</v>
      </c>
      <c r="N601" s="625">
        <f>(SUMIF('PA-Détails'!$R$1709:$R$2514,"=" &amp;'PA-Synthèse'!$B601,'PA-Détails'!N$1709:N$2514))/1000</f>
        <v>235</v>
      </c>
      <c r="O601" s="625">
        <f>(SUMIF('PA-Détails'!$R$1709:$R$2514,"=" &amp;'PA-Synthèse'!$B601,'PA-Détails'!O$1709:O$2514))/1000</f>
        <v>882.14300000000003</v>
      </c>
      <c r="P601" s="625">
        <f>(SUMIF('PA-Détails'!$R$1709:$R$2514,"=" &amp;'PA-Synthèse'!$B601,'PA-Détails'!P$1709:P$2514))/1000</f>
        <v>591</v>
      </c>
      <c r="Q601" s="625">
        <f>(SUMIF('PA-Détails'!$R$1709:$R$2514,"=" &amp;'PA-Synthèse'!$B601,'PA-Détails'!Q$1709:Q$2514))/1000</f>
        <v>1922.143</v>
      </c>
      <c r="R601" s="612">
        <f>COUNTIF('PA-Détails'!$R$1709:$R$2514,"=" &amp;'PA-Synthèse'!$B601)</f>
        <v>3</v>
      </c>
      <c r="S601" s="572" t="str">
        <f t="shared" si="139"/>
        <v xml:space="preserve">3.3.2.1 Formation du personnel, de la société civile à l'utilisation des programmes ; 3.4.2.2 Formation des utilisateurs aux manuels et guides pédagogiques de rattrapage scolaire ; 3.4.3.2 Formation des utilisateurs aux manuels et guides andragogiques et pédagogiques ;  ; </v>
      </c>
      <c r="T601" s="572">
        <f t="shared" si="140"/>
        <v>3</v>
      </c>
      <c r="U601" s="572" t="s">
        <v>438</v>
      </c>
      <c r="V601" s="572" t="s">
        <v>443</v>
      </c>
      <c r="W601" s="572" t="s">
        <v>996</v>
      </c>
    </row>
    <row r="602" spans="2:24" s="572" customFormat="1" hidden="1" x14ac:dyDescent="0.2">
      <c r="B602" s="623" t="s">
        <v>710</v>
      </c>
      <c r="C602" s="624"/>
      <c r="D602" s="624"/>
      <c r="E602" s="624"/>
      <c r="F602" s="624"/>
      <c r="G602" s="624"/>
      <c r="H602" s="624"/>
      <c r="I602" s="624"/>
      <c r="J602" s="624"/>
      <c r="K602" s="624"/>
      <c r="L602" s="625">
        <f>(SUMIF('PA-Détails'!$R$1709:$R$2514,"=" &amp;'PA-Synthèse'!$B602,'PA-Détails'!L$1709:L$2514))/1000</f>
        <v>11.4</v>
      </c>
      <c r="M602" s="625">
        <f>(SUMIF('PA-Détails'!$R$1709:$R$2514,"=" &amp;'PA-Synthèse'!$B602,'PA-Détails'!M$1709:M$2514))/1000</f>
        <v>172.66</v>
      </c>
      <c r="N602" s="625">
        <f>(SUMIF('PA-Détails'!$R$1709:$R$2514,"=" &amp;'PA-Synthèse'!$B602,'PA-Détails'!N$1709:N$2514))/1000</f>
        <v>50</v>
      </c>
      <c r="O602" s="625">
        <f>(SUMIF('PA-Détails'!$R$1709:$R$2514,"=" &amp;'PA-Synthèse'!$B602,'PA-Détails'!O$1709:O$2514))/1000</f>
        <v>50</v>
      </c>
      <c r="P602" s="625">
        <f>(SUMIF('PA-Détails'!$R$1709:$R$2514,"=" &amp;'PA-Synthèse'!$B602,'PA-Détails'!P$1709:P$2514))/1000</f>
        <v>50</v>
      </c>
      <c r="Q602" s="625">
        <f>(SUMIF('PA-Détails'!$R$1709:$R$2514,"=" &amp;'PA-Synthèse'!$B602,'PA-Détails'!Q$1709:Q$2514))/1000</f>
        <v>334.06</v>
      </c>
      <c r="R602" s="612">
        <f>COUNTIF('PA-Détails'!$R$1709:$R$2514,"=" &amp;'PA-Synthèse'!$B602)</f>
        <v>3</v>
      </c>
      <c r="S602" s="572" t="str">
        <f t="shared" si="139"/>
        <v xml:space="preserve">3.2.1.1 Recensement des communautés de base et structures de référencement ; 3.2.2.1 Élaboration d'une carte sociale des familles les plus vulnérables ; 3.2.3.3 Acquisition et distribution des outils et matériels pédagogiques ;  ; </v>
      </c>
      <c r="T602" s="572">
        <f t="shared" si="140"/>
        <v>3</v>
      </c>
      <c r="U602" s="572" t="s">
        <v>709</v>
      </c>
      <c r="V602" s="572" t="s">
        <v>1064</v>
      </c>
      <c r="W602" s="572" t="s">
        <v>1446</v>
      </c>
    </row>
    <row r="603" spans="2:24" s="572" customFormat="1" hidden="1" x14ac:dyDescent="0.2">
      <c r="B603" s="623" t="s">
        <v>724</v>
      </c>
      <c r="C603" s="624"/>
      <c r="D603" s="624"/>
      <c r="E603" s="624"/>
      <c r="F603" s="624"/>
      <c r="G603" s="624"/>
      <c r="H603" s="624"/>
      <c r="I603" s="624"/>
      <c r="J603" s="624"/>
      <c r="K603" s="624"/>
      <c r="L603" s="625">
        <f>(SUMIF('PA-Détails'!$R$1709:$R$2514,"=" &amp;'PA-Synthèse'!$B603,'PA-Détails'!L$1709:L$2514))/1000</f>
        <v>17.5</v>
      </c>
      <c r="M603" s="625">
        <f>(SUMIF('PA-Détails'!$R$1709:$R$2514,"=" &amp;'PA-Synthèse'!$B603,'PA-Détails'!M$1709:M$2514))/1000</f>
        <v>0</v>
      </c>
      <c r="N603" s="625">
        <f>(SUMIF('PA-Détails'!$R$1709:$R$2514,"=" &amp;'PA-Synthèse'!$B603,'PA-Détails'!N$1709:N$2514))/1000</f>
        <v>0</v>
      </c>
      <c r="O603" s="625">
        <f>(SUMIF('PA-Détails'!$R$1709:$R$2514,"=" &amp;'PA-Synthèse'!$B603,'PA-Détails'!O$1709:O$2514))/1000</f>
        <v>0</v>
      </c>
      <c r="P603" s="625">
        <f>(SUMIF('PA-Détails'!$R$1709:$R$2514,"=" &amp;'PA-Synthèse'!$B603,'PA-Détails'!P$1709:P$2514))/1000</f>
        <v>0</v>
      </c>
      <c r="Q603" s="625">
        <f>(SUMIF('PA-Détails'!$R$1709:$R$2514,"=" &amp;'PA-Synthèse'!$B603,'PA-Détails'!Q$1709:Q$2514))/1000</f>
        <v>17.5</v>
      </c>
      <c r="R603" s="612">
        <f>COUNTIF('PA-Détails'!$R$1709:$R$2514,"=" &amp;'PA-Synthèse'!$B603)</f>
        <v>2</v>
      </c>
      <c r="S603" s="572" t="str">
        <f t="shared" si="139"/>
        <v xml:space="preserve">3.4.1.2 Harmoniser les programmes d'alphabétisation existants ; 3.4.1.5 Actualisation du guide d'alphabétisation ;  ;  ; </v>
      </c>
      <c r="T603" s="572">
        <f t="shared" si="140"/>
        <v>2</v>
      </c>
      <c r="U603" s="572" t="s">
        <v>441</v>
      </c>
      <c r="V603" s="572" t="s">
        <v>1449</v>
      </c>
    </row>
    <row r="604" spans="2:24" s="572" customFormat="1" hidden="1" x14ac:dyDescent="0.2">
      <c r="B604" s="623" t="s">
        <v>726</v>
      </c>
      <c r="C604" s="624"/>
      <c r="D604" s="624"/>
      <c r="E604" s="624"/>
      <c r="F604" s="624"/>
      <c r="G604" s="624"/>
      <c r="H604" s="624"/>
      <c r="I604" s="624"/>
      <c r="J604" s="624"/>
      <c r="K604" s="624"/>
      <c r="L604" s="625">
        <f>(SUMIF('PA-Détails'!$R$1709:$R$2514,"=" &amp;'PA-Synthèse'!$B604,'PA-Détails'!L$1709:L$2514))/1000</f>
        <v>6.5</v>
      </c>
      <c r="M604" s="625">
        <f>(SUMIF('PA-Détails'!$R$1709:$R$2514,"=" &amp;'PA-Synthèse'!$B604,'PA-Détails'!M$1709:M$2514))/1000</f>
        <v>0</v>
      </c>
      <c r="N604" s="625">
        <f>(SUMIF('PA-Détails'!$R$1709:$R$2514,"=" &amp;'PA-Synthèse'!$B604,'PA-Détails'!N$1709:N$2514))/1000</f>
        <v>0</v>
      </c>
      <c r="O604" s="625">
        <f>(SUMIF('PA-Détails'!$R$1709:$R$2514,"=" &amp;'PA-Synthèse'!$B604,'PA-Détails'!O$1709:O$2514))/1000</f>
        <v>0</v>
      </c>
      <c r="P604" s="625">
        <f>(SUMIF('PA-Détails'!$R$1709:$R$2514,"=" &amp;'PA-Synthèse'!$B604,'PA-Détails'!P$1709:P$2514))/1000</f>
        <v>0</v>
      </c>
      <c r="Q604" s="625">
        <f>(SUMIF('PA-Détails'!$R$1709:$R$2514,"=" &amp;'PA-Synthèse'!$B604,'PA-Détails'!Q$1709:Q$2514))/1000</f>
        <v>6.5</v>
      </c>
      <c r="R604" s="612">
        <f>COUNTIF('PA-Détails'!$R$1709:$R$2514,"=" &amp;'PA-Synthèse'!$B604)</f>
        <v>1</v>
      </c>
      <c r="S604" s="572" t="str">
        <f t="shared" si="139"/>
        <v xml:space="preserve">3.4.1.4 Actualisation des guides des trois niveaux de rattrapage scolaire ;  ;  ;  ; </v>
      </c>
      <c r="T604" s="572">
        <f t="shared" si="140"/>
        <v>1</v>
      </c>
      <c r="U604" s="572" t="s">
        <v>1448</v>
      </c>
    </row>
    <row r="605" spans="2:24" s="572" customFormat="1" hidden="1" x14ac:dyDescent="0.2">
      <c r="B605" s="623" t="s">
        <v>725</v>
      </c>
      <c r="C605" s="624"/>
      <c r="D605" s="624"/>
      <c r="E605" s="624"/>
      <c r="F605" s="624"/>
      <c r="G605" s="624"/>
      <c r="H605" s="624"/>
      <c r="I605" s="624"/>
      <c r="J605" s="624"/>
      <c r="K605" s="624"/>
      <c r="L605" s="625">
        <f>(SUMIF('PA-Détails'!$R$1709:$R$2514,"=" &amp;'PA-Synthèse'!$B605,'PA-Détails'!L$1709:L$2514))/1000</f>
        <v>0</v>
      </c>
      <c r="M605" s="625">
        <f>(SUMIF('PA-Détails'!$R$1709:$R$2514,"=" &amp;'PA-Synthèse'!$B605,'PA-Détails'!M$1709:M$2514))/1000</f>
        <v>17.5</v>
      </c>
      <c r="N605" s="625">
        <f>(SUMIF('PA-Détails'!$R$1709:$R$2514,"=" &amp;'PA-Synthèse'!$B605,'PA-Détails'!N$1709:N$2514))/1000</f>
        <v>0</v>
      </c>
      <c r="O605" s="625">
        <f>(SUMIF('PA-Détails'!$R$1709:$R$2514,"=" &amp;'PA-Synthèse'!$B605,'PA-Détails'!O$1709:O$2514))/1000</f>
        <v>0</v>
      </c>
      <c r="P605" s="625">
        <f>(SUMIF('PA-Détails'!$R$1709:$R$2514,"=" &amp;'PA-Synthèse'!$B605,'PA-Détails'!P$1709:P$2514))/1000</f>
        <v>0</v>
      </c>
      <c r="Q605" s="625">
        <f>(SUMIF('PA-Détails'!$R$1709:$R$2514,"=" &amp;'PA-Synthèse'!$B605,'PA-Détails'!Q$1709:Q$2514))/1000</f>
        <v>17.5</v>
      </c>
      <c r="R605" s="612">
        <f>COUNTIF('PA-Détails'!$R$1709:$R$2514,"=" &amp;'PA-Synthèse'!$B605)</f>
        <v>2</v>
      </c>
      <c r="S605" s="572" t="str">
        <f t="shared" si="139"/>
        <v xml:space="preserve">3.4.1.3 Harmoniser les programmes d'apprentissage professionnel ; 3.4.1.6 Actualisation du guide d'apprentissage professionnel ;  ;  ; </v>
      </c>
      <c r="T605" s="572">
        <f t="shared" si="140"/>
        <v>2</v>
      </c>
      <c r="U605" s="572" t="s">
        <v>1065</v>
      </c>
      <c r="V605" s="572" t="s">
        <v>1450</v>
      </c>
    </row>
    <row r="606" spans="2:24" s="572" customFormat="1" hidden="1" x14ac:dyDescent="0.2">
      <c r="B606" s="623" t="s">
        <v>745</v>
      </c>
      <c r="C606" s="624"/>
      <c r="D606" s="624"/>
      <c r="E606" s="624"/>
      <c r="F606" s="624"/>
      <c r="G606" s="624"/>
      <c r="H606" s="624"/>
      <c r="I606" s="624"/>
      <c r="J606" s="624"/>
      <c r="K606" s="624"/>
      <c r="L606" s="625">
        <f>(SUMIF('PA-Détails'!$R$1709:$R$2514,"=" &amp;'PA-Synthèse'!$B606,'PA-Détails'!L$1709:L$2514))/1000</f>
        <v>31.2</v>
      </c>
      <c r="M606" s="625">
        <f>(SUMIF('PA-Détails'!$R$1709:$R$2514,"=" &amp;'PA-Synthèse'!$B606,'PA-Détails'!M$1709:M$2514))/1000</f>
        <v>31.2</v>
      </c>
      <c r="N606" s="625">
        <f>(SUMIF('PA-Détails'!$R$1709:$R$2514,"=" &amp;'PA-Synthèse'!$B606,'PA-Détails'!N$1709:N$2514))/1000</f>
        <v>31.2</v>
      </c>
      <c r="O606" s="625">
        <f>(SUMIF('PA-Détails'!$R$1709:$R$2514,"=" &amp;'PA-Synthèse'!$B606,'PA-Détails'!O$1709:O$2514))/1000</f>
        <v>31.2</v>
      </c>
      <c r="P606" s="625">
        <f>(SUMIF('PA-Détails'!$R$1709:$R$2514,"=" &amp;'PA-Synthèse'!$B606,'PA-Détails'!P$1709:P$2514))/1000</f>
        <v>31.2</v>
      </c>
      <c r="Q606" s="625">
        <f>(SUMIF('PA-Détails'!$R$1709:$R$2514,"=" &amp;'PA-Synthèse'!$B606,'PA-Détails'!Q$1709:Q$2514))/1000</f>
        <v>156</v>
      </c>
      <c r="R606" s="612">
        <f>COUNTIF('PA-Détails'!$R$1709:$R$2514,"=" &amp;'PA-Synthèse'!$B606)</f>
        <v>1</v>
      </c>
      <c r="S606" s="572" t="str">
        <f t="shared" si="139"/>
        <v xml:space="preserve">3.10.1.2 Assurer l'encadrement pédagogique et administratif des centres ;  ;  ;  ; </v>
      </c>
      <c r="T606" s="572">
        <f t="shared" si="140"/>
        <v>1</v>
      </c>
      <c r="U606" s="572" t="s">
        <v>746</v>
      </c>
    </row>
    <row r="607" spans="2:24" s="572" customFormat="1" hidden="1" x14ac:dyDescent="0.2">
      <c r="B607" s="623" t="s">
        <v>704</v>
      </c>
      <c r="C607" s="624"/>
      <c r="D607" s="624"/>
      <c r="E607" s="624"/>
      <c r="F607" s="624"/>
      <c r="G607" s="624"/>
      <c r="H607" s="624"/>
      <c r="I607" s="624"/>
      <c r="J607" s="624"/>
      <c r="K607" s="624"/>
      <c r="L607" s="625">
        <f>(SUMIF('PA-Détails'!$R$1709:$R$2514,"=" &amp;'PA-Synthèse'!$B607,'PA-Détails'!L$1709:L$2514))/1000</f>
        <v>724.27</v>
      </c>
      <c r="M607" s="625">
        <f>(SUMIF('PA-Détails'!$R$1709:$R$2514,"=" &amp;'PA-Synthèse'!$B607,'PA-Détails'!M$1709:M$2514))/1000</f>
        <v>3173.71</v>
      </c>
      <c r="N607" s="625">
        <f>(SUMIF('PA-Détails'!$R$1709:$R$2514,"=" &amp;'PA-Synthèse'!$B607,'PA-Détails'!N$1709:N$2514))/1000</f>
        <v>3213.19</v>
      </c>
      <c r="O607" s="625">
        <f>(SUMIF('PA-Détails'!$R$1709:$R$2514,"=" &amp;'PA-Synthèse'!$B607,'PA-Détails'!O$1709:O$2514))/1000</f>
        <v>3253.45</v>
      </c>
      <c r="P607" s="625">
        <f>(SUMIF('PA-Détails'!$R$1709:$R$2514,"=" &amp;'PA-Synthèse'!$B607,'PA-Détails'!P$1709:P$2514))/1000</f>
        <v>2094.52</v>
      </c>
      <c r="Q607" s="625">
        <f>(SUMIF('PA-Détails'!$R$1709:$R$2514,"=" &amp;'PA-Synthèse'!$B607,'PA-Détails'!Q$1709:Q$2514))/1000</f>
        <v>12459.14</v>
      </c>
      <c r="R607" s="612">
        <f>COUNTIF('PA-Détails'!$R$1709:$R$2514,"=" &amp;'PA-Synthèse'!$B607)</f>
        <v>4</v>
      </c>
      <c r="S607" s="572" t="str">
        <f t="shared" si="139"/>
        <v xml:space="preserve">3.1.2.2 Construction et équipement de centres de promotion sociale (alphabétisation, rattrapage) ; 3.1.2.3 Réhabilitation et équipement de centres de promotion sociale ; 8.1.1.3 Rémunération des personnels des services centraux MAS ; 8.1.2.3 Fonctionnement des services centraux MAS ; </v>
      </c>
      <c r="T607" s="572">
        <f t="shared" si="140"/>
        <v>4</v>
      </c>
      <c r="U607" s="572" t="s">
        <v>703</v>
      </c>
      <c r="V607" s="572" t="s">
        <v>224</v>
      </c>
      <c r="W607" s="572" t="s">
        <v>844</v>
      </c>
      <c r="X607" s="572" t="s">
        <v>639</v>
      </c>
    </row>
    <row r="608" spans="2:24" s="572" customFormat="1" hidden="1" x14ac:dyDescent="0.2">
      <c r="B608" s="623" t="s">
        <v>804</v>
      </c>
      <c r="C608" s="624"/>
      <c r="D608" s="624"/>
      <c r="E608" s="624"/>
      <c r="F608" s="624"/>
      <c r="G608" s="624"/>
      <c r="H608" s="624"/>
      <c r="I608" s="624"/>
      <c r="J608" s="624"/>
      <c r="K608" s="624"/>
      <c r="L608" s="625">
        <f>(SUMIF('PA-Détails'!$R$1709:$R$2514,"=" &amp;'PA-Synthèse'!$B608,'PA-Détails'!L$1709:L$2514))/1000</f>
        <v>430</v>
      </c>
      <c r="M608" s="625">
        <f>(SUMIF('PA-Détails'!$R$1709:$R$2514,"=" &amp;'PA-Synthèse'!$B608,'PA-Détails'!M$1709:M$2514))/1000</f>
        <v>1206</v>
      </c>
      <c r="N608" s="625">
        <f>(SUMIF('PA-Détails'!$R$1709:$R$2514,"=" &amp;'PA-Synthèse'!$B608,'PA-Détails'!N$1709:N$2514))/1000</f>
        <v>1407.5</v>
      </c>
      <c r="O608" s="625">
        <f>(SUMIF('PA-Détails'!$R$1709:$R$2514,"=" &amp;'PA-Synthèse'!$B608,'PA-Détails'!O$1709:O$2514))/1000</f>
        <v>1407.5</v>
      </c>
      <c r="P608" s="625">
        <f>(SUMIF('PA-Détails'!$R$1709:$R$2514,"=" &amp;'PA-Synthèse'!$B608,'PA-Détails'!P$1709:P$2514))/1000</f>
        <v>1407.5</v>
      </c>
      <c r="Q608" s="625">
        <f>(SUMIF('PA-Détails'!$R$1709:$R$2514,"=" &amp;'PA-Synthèse'!$B608,'PA-Détails'!Q$1709:Q$2514))/1000</f>
        <v>5858.5</v>
      </c>
      <c r="R608" s="612">
        <f>COUNTIF('PA-Détails'!$R$1709:$R$2514,"=" &amp;'PA-Synthèse'!$B608)</f>
        <v>3</v>
      </c>
      <c r="S608" s="572" t="str">
        <f t="shared" si="139"/>
        <v xml:space="preserve">7.13.1.1 Élaboration des textes réglementaires (mise en œuvre de la Loi-Cadre) ; 7.9.1.1 Assurer la tenue des exposition régionales et nationales ; 7.9.2.2 Fonctionnement du fonds compétitif ;  ; </v>
      </c>
      <c r="T608" s="572">
        <f t="shared" si="140"/>
        <v>3</v>
      </c>
      <c r="U608" s="572" t="s">
        <v>1123</v>
      </c>
      <c r="V608" s="572" t="s">
        <v>553</v>
      </c>
      <c r="W608" s="572" t="s">
        <v>556</v>
      </c>
    </row>
    <row r="609" spans="2:34" s="572" customFormat="1" hidden="1" x14ac:dyDescent="0.2">
      <c r="B609" s="623" t="s">
        <v>800</v>
      </c>
      <c r="C609" s="624"/>
      <c r="D609" s="624"/>
      <c r="E609" s="624"/>
      <c r="F609" s="624"/>
      <c r="G609" s="624"/>
      <c r="H609" s="624"/>
      <c r="I609" s="624"/>
      <c r="J609" s="624"/>
      <c r="K609" s="624"/>
      <c r="L609" s="625">
        <f>(SUMIF('PA-Détails'!$R$1709:$R$2514,"=" &amp;'PA-Synthèse'!$B609,'PA-Détails'!L$1709:L$2514))/1000</f>
        <v>10</v>
      </c>
      <c r="M609" s="625">
        <f>(SUMIF('PA-Détails'!$R$1709:$R$2514,"=" &amp;'PA-Synthèse'!$B609,'PA-Détails'!M$1709:M$2514))/1000</f>
        <v>240</v>
      </c>
      <c r="N609" s="625">
        <f>(SUMIF('PA-Détails'!$R$1709:$R$2514,"=" &amp;'PA-Synthèse'!$B609,'PA-Détails'!N$1709:N$2514))/1000</f>
        <v>240</v>
      </c>
      <c r="O609" s="625">
        <f>(SUMIF('PA-Détails'!$R$1709:$R$2514,"=" &amp;'PA-Synthèse'!$B609,'PA-Détails'!O$1709:O$2514))/1000</f>
        <v>240</v>
      </c>
      <c r="P609" s="625">
        <f>(SUMIF('PA-Détails'!$R$1709:$R$2514,"=" &amp;'PA-Synthèse'!$B609,'PA-Détails'!P$1709:P$2514))/1000</f>
        <v>240</v>
      </c>
      <c r="Q609" s="625">
        <f>(SUMIF('PA-Détails'!$R$1709:$R$2514,"=" &amp;'PA-Synthèse'!$B609,'PA-Détails'!Q$1709:Q$2514))/1000</f>
        <v>970</v>
      </c>
      <c r="R609" s="612">
        <f>COUNTIF('PA-Détails'!$R$1709:$R$2514,"=" &amp;'PA-Synthèse'!$B609)</f>
        <v>1</v>
      </c>
      <c r="S609" s="572" t="str">
        <f t="shared" si="139"/>
        <v xml:space="preserve">7.6.2.1 Mise à niveau et fonctionnement de la CPE ;  ;  ;  ; </v>
      </c>
      <c r="T609" s="572">
        <f t="shared" si="140"/>
        <v>1</v>
      </c>
      <c r="U609" s="572" t="s">
        <v>537</v>
      </c>
    </row>
    <row r="610" spans="2:34" s="572" customFormat="1" hidden="1" x14ac:dyDescent="0.2">
      <c r="B610" s="623" t="s">
        <v>803</v>
      </c>
      <c r="C610" s="624"/>
      <c r="D610" s="624"/>
      <c r="E610" s="624"/>
      <c r="F610" s="624"/>
      <c r="G610" s="624"/>
      <c r="H610" s="624"/>
      <c r="I610" s="624"/>
      <c r="J610" s="624"/>
      <c r="K610" s="624"/>
      <c r="L610" s="625">
        <f>(SUMIF('PA-Détails'!$R$1709:$R$2514,"=" &amp;'PA-Synthèse'!$B610,'PA-Détails'!L$1709:L$2514))/1000</f>
        <v>62.5</v>
      </c>
      <c r="M610" s="625">
        <f>(SUMIF('PA-Détails'!$R$1709:$R$2514,"=" &amp;'PA-Synthèse'!$B610,'PA-Détails'!M$1709:M$2514))/1000</f>
        <v>0</v>
      </c>
      <c r="N610" s="625">
        <f>(SUMIF('PA-Détails'!$R$1709:$R$2514,"=" &amp;'PA-Synthèse'!$B610,'PA-Détails'!N$1709:N$2514))/1000</f>
        <v>500</v>
      </c>
      <c r="O610" s="625">
        <f>(SUMIF('PA-Détails'!$R$1709:$R$2514,"=" &amp;'PA-Synthèse'!$B610,'PA-Détails'!O$1709:O$2514))/1000</f>
        <v>500</v>
      </c>
      <c r="P610" s="625">
        <f>(SUMIF('PA-Détails'!$R$1709:$R$2514,"=" &amp;'PA-Synthèse'!$B610,'PA-Détails'!P$1709:P$2514))/1000</f>
        <v>500</v>
      </c>
      <c r="Q610" s="625">
        <f>(SUMIF('PA-Détails'!$R$1709:$R$2514,"=" &amp;'PA-Synthèse'!$B610,'PA-Détails'!Q$1709:Q$2514))/1000</f>
        <v>1562.5</v>
      </c>
      <c r="R610" s="612">
        <f>COUNTIF('PA-Détails'!$R$1709:$R$2514,"=" &amp;'PA-Synthèse'!$B610)</f>
        <v>2</v>
      </c>
      <c r="S610" s="572" t="str">
        <f t="shared" si="139"/>
        <v xml:space="preserve">7.8.2.1 Définition du concept et du mécanisme de fonctionnement ; 7.8.2.2 Développement de la formation à distance ;  ;  ; </v>
      </c>
      <c r="T610" s="572">
        <f t="shared" si="140"/>
        <v>2</v>
      </c>
      <c r="U610" s="572" t="s">
        <v>550</v>
      </c>
      <c r="V610" s="572" t="s">
        <v>551</v>
      </c>
    </row>
    <row r="611" spans="2:34" s="572" customFormat="1" hidden="1" x14ac:dyDescent="0.2">
      <c r="B611" s="623" t="s">
        <v>796</v>
      </c>
      <c r="C611" s="624"/>
      <c r="D611" s="624"/>
      <c r="E611" s="624"/>
      <c r="F611" s="624"/>
      <c r="G611" s="624"/>
      <c r="H611" s="624"/>
      <c r="I611" s="624"/>
      <c r="J611" s="624"/>
      <c r="K611" s="624"/>
      <c r="L611" s="625">
        <f>(SUMIF('PA-Détails'!$R$1709:$R$2514,"=" &amp;'PA-Synthèse'!$B611,'PA-Détails'!L$1709:L$2514))/1000</f>
        <v>7894.5</v>
      </c>
      <c r="M611" s="625">
        <f>(SUMIF('PA-Détails'!$R$1709:$R$2514,"=" &amp;'PA-Synthèse'!$B611,'PA-Détails'!M$1709:M$2514))/1000</f>
        <v>8893</v>
      </c>
      <c r="N611" s="625">
        <f>(SUMIF('PA-Détails'!$R$1709:$R$2514,"=" &amp;'PA-Synthèse'!$B611,'PA-Détails'!N$1709:N$2514))/1000</f>
        <v>10441</v>
      </c>
      <c r="O611" s="625">
        <f>(SUMIF('PA-Détails'!$R$1709:$R$2514,"=" &amp;'PA-Synthèse'!$B611,'PA-Détails'!O$1709:O$2514))/1000</f>
        <v>10525</v>
      </c>
      <c r="P611" s="625">
        <f>(SUMIF('PA-Détails'!$R$1709:$R$2514,"=" &amp;'PA-Synthèse'!$B611,'PA-Détails'!P$1709:P$2514))/1000</f>
        <v>2375</v>
      </c>
      <c r="Q611" s="625">
        <f>(SUMIF('PA-Détails'!$R$1709:$R$2514,"=" &amp;'PA-Synthèse'!$B611,'PA-Détails'!Q$1709:Q$2514))/1000</f>
        <v>40128.5</v>
      </c>
      <c r="R611" s="612">
        <f>COUNTIF('PA-Détails'!$R$1709:$R$2514,"=" &amp;'PA-Synthèse'!$B611)</f>
        <v>14</v>
      </c>
      <c r="S611" s="572" t="str">
        <f t="shared" ref="S611:S640" si="141">CONCATENATE(U611," ; ",V611," ; ",W611," ; ",X611," ; ",Y611," ; ",Z611," ; ",AA611," ; ",AB611," ; ",AC611," ; ",AD611," ; ",AE611," ; ",AF611," ; ",AG611," ; ",AH611," ; ",AI611," ; ",AJ611," ; ",AK611)</f>
        <v xml:space="preserve">7.13.4.1 Élaboration et validation des contrats des performances ; 7.4.1.1 Actualisation des textes régissant les cellules d'assurance qualité (CAQ) ; 7.4.1.2 Formation et renforcement des membres des CAQ ; 7.4.1.3 Réhabilitation et équipement des CAQ ; 7.4.2.1 Définition du statut et du modèle de fonctionnement de l'ANIAQ ; 7.4.2.2 Mise en place de l'ANIAQ ; 7.5.2.1 Élaboration du programme de développement des établissements existants ; 7.5.2.2 Mise en œuvre du programme de développement ; 7.6.1.1 Définition du programme de mise en place du système LMD ; 7.6.3.2 Subvention de la mobilité ; 7.8.2.3 Dotation des enseignants et étudiants en ordinateurs portables ; 7.8.2.4 Formation des enseignants aux TIC dans les enseignements ; 7.9.1.2 Octroi des prix aux œuvres porteuses ; 7.9.2.1 Définition du concept et du mode de fonctionnement ;  ;  ; </v>
      </c>
      <c r="T611" s="572">
        <f t="shared" si="140"/>
        <v>14</v>
      </c>
      <c r="U611" s="572" t="s">
        <v>1463</v>
      </c>
      <c r="V611" s="572" t="s">
        <v>523</v>
      </c>
      <c r="W611" s="572" t="s">
        <v>797</v>
      </c>
      <c r="X611" s="572" t="s">
        <v>524</v>
      </c>
      <c r="Y611" s="572" t="s">
        <v>1113</v>
      </c>
      <c r="Z611" s="572" t="s">
        <v>527</v>
      </c>
      <c r="AA611" s="572" t="s">
        <v>1464</v>
      </c>
      <c r="AB611" s="572" t="s">
        <v>530</v>
      </c>
      <c r="AC611" s="572" t="s">
        <v>532</v>
      </c>
      <c r="AD611" s="572" t="s">
        <v>538</v>
      </c>
      <c r="AE611" s="572" t="s">
        <v>1465</v>
      </c>
      <c r="AF611" s="572" t="s">
        <v>860</v>
      </c>
      <c r="AG611" s="572" t="s">
        <v>554</v>
      </c>
      <c r="AH611" s="572" t="s">
        <v>555</v>
      </c>
    </row>
    <row r="612" spans="2:34" s="572" customFormat="1" hidden="1" x14ac:dyDescent="0.2">
      <c r="B612" s="623" t="s">
        <v>807</v>
      </c>
      <c r="C612" s="624"/>
      <c r="D612" s="624"/>
      <c r="E612" s="624"/>
      <c r="F612" s="624"/>
      <c r="G612" s="624"/>
      <c r="H612" s="624"/>
      <c r="I612" s="624"/>
      <c r="J612" s="624"/>
      <c r="K612" s="624"/>
      <c r="L612" s="625">
        <f>(SUMIF('PA-Détails'!$R$1709:$R$2514,"=" &amp;'PA-Synthèse'!$B612,'PA-Détails'!L$1709:L$2514))/1000</f>
        <v>0</v>
      </c>
      <c r="M612" s="625">
        <f>(SUMIF('PA-Détails'!$R$1709:$R$2514,"=" &amp;'PA-Synthèse'!$B612,'PA-Détails'!M$1709:M$2514))/1000</f>
        <v>0</v>
      </c>
      <c r="N612" s="625">
        <f>(SUMIF('PA-Détails'!$R$1709:$R$2514,"=" &amp;'PA-Synthèse'!$B612,'PA-Détails'!N$1709:N$2514))/1000</f>
        <v>63</v>
      </c>
      <c r="O612" s="625">
        <f>(SUMIF('PA-Détails'!$R$1709:$R$2514,"=" &amp;'PA-Synthèse'!$B612,'PA-Détails'!O$1709:O$2514))/1000</f>
        <v>805.5</v>
      </c>
      <c r="P612" s="625">
        <f>(SUMIF('PA-Détails'!$R$1709:$R$2514,"=" &amp;'PA-Synthèse'!$B612,'PA-Détails'!P$1709:P$2514))/1000</f>
        <v>1605.5</v>
      </c>
      <c r="Q612" s="625">
        <f>(SUMIF('PA-Détails'!$R$1709:$R$2514,"=" &amp;'PA-Synthèse'!$B612,'PA-Détails'!Q$1709:Q$2514))/1000</f>
        <v>2474</v>
      </c>
      <c r="R612" s="612">
        <f>COUNTIF('PA-Détails'!$R$1709:$R$2514,"=" &amp;'PA-Synthèse'!$B612)</f>
        <v>3</v>
      </c>
      <c r="S612" s="572" t="str">
        <f t="shared" si="139"/>
        <v xml:space="preserve">7.13.3.1 Mise en place d'un cadre permanent de concertation ; 7.9.4.1 Étude de faisabilité de création des ED ; 7.9.4.2 Mise en place des ED ;  ; </v>
      </c>
      <c r="T612" s="572">
        <f t="shared" si="140"/>
        <v>3</v>
      </c>
      <c r="U612" s="572" t="s">
        <v>634</v>
      </c>
      <c r="V612" s="572" t="s">
        <v>559</v>
      </c>
      <c r="W612" s="572" t="s">
        <v>560</v>
      </c>
    </row>
    <row r="613" spans="2:34" s="572" customFormat="1" hidden="1" x14ac:dyDescent="0.2">
      <c r="B613" s="623" t="s">
        <v>799</v>
      </c>
      <c r="C613" s="624"/>
      <c r="D613" s="624"/>
      <c r="E613" s="624"/>
      <c r="F613" s="624"/>
      <c r="G613" s="624"/>
      <c r="H613" s="624"/>
      <c r="I613" s="624"/>
      <c r="J613" s="624"/>
      <c r="K613" s="624"/>
      <c r="L613" s="625">
        <f>(SUMIF('PA-Détails'!$R$1709:$R$2514,"=" &amp;'PA-Synthèse'!$B613,'PA-Détails'!L$1709:L$2514))/1000</f>
        <v>193.35</v>
      </c>
      <c r="M613" s="625">
        <f>(SUMIF('PA-Détails'!$R$1709:$R$2514,"=" &amp;'PA-Synthèse'!$B613,'PA-Détails'!M$1709:M$2514))/1000</f>
        <v>9809.25</v>
      </c>
      <c r="N613" s="625">
        <f>(SUMIF('PA-Détails'!$R$1709:$R$2514,"=" &amp;'PA-Synthèse'!$B613,'PA-Détails'!N$1709:N$2514))/1000</f>
        <v>9695.25</v>
      </c>
      <c r="O613" s="625">
        <f>(SUMIF('PA-Détails'!$R$1709:$R$2514,"=" &amp;'PA-Synthèse'!$B613,'PA-Détails'!O$1709:O$2514))/1000</f>
        <v>0</v>
      </c>
      <c r="P613" s="625">
        <f>(SUMIF('PA-Détails'!$R$1709:$R$2514,"=" &amp;'PA-Synthèse'!$B613,'PA-Détails'!P$1709:P$2514))/1000</f>
        <v>0</v>
      </c>
      <c r="Q613" s="625">
        <f>(SUMIF('PA-Détails'!$R$1709:$R$2514,"=" &amp;'PA-Synthèse'!$B613,'PA-Détails'!Q$1709:Q$2514))/1000</f>
        <v>19697.849999999999</v>
      </c>
      <c r="R613" s="612">
        <f>COUNTIF('PA-Détails'!$R$1709:$R$2514,"=" &amp;'PA-Synthèse'!$B613)</f>
        <v>6</v>
      </c>
      <c r="S613" s="572" t="str">
        <f t="shared" si="141"/>
        <v xml:space="preserve">7.11.1.1 Étude d'élaboration du cadre normatif avec une cellule d'experts ; 7.5.1.1 Définition / révision des programmes ; 7.5.1.2 Formation sur les nouveaux programmes ; 7.6.1.2 Révision des programmes selon le système LMD ; 7.6.1.3 Édition et distribution des nouveaux programmes ; 7.6.1.4 Formation aux nouveaux programmes ;  ;  ;  ;  ;  ;  ;  ;  ;  ;  ; </v>
      </c>
      <c r="T613" s="572">
        <f t="shared" si="140"/>
        <v>6</v>
      </c>
      <c r="U613" s="572" t="s">
        <v>615</v>
      </c>
      <c r="V613" s="572" t="s">
        <v>529</v>
      </c>
      <c r="W613" s="572" t="s">
        <v>853</v>
      </c>
      <c r="X613" s="572" t="s">
        <v>533</v>
      </c>
      <c r="Y613" s="572" t="s">
        <v>534</v>
      </c>
      <c r="Z613" s="572" t="s">
        <v>535</v>
      </c>
    </row>
    <row r="614" spans="2:34" s="572" customFormat="1" hidden="1" x14ac:dyDescent="0.2">
      <c r="B614" s="623" t="s">
        <v>802</v>
      </c>
      <c r="C614" s="624"/>
      <c r="D614" s="624"/>
      <c r="E614" s="624"/>
      <c r="F614" s="624"/>
      <c r="G614" s="624"/>
      <c r="H614" s="624"/>
      <c r="I614" s="624"/>
      <c r="J614" s="624"/>
      <c r="K614" s="624"/>
      <c r="L614" s="625">
        <f>(SUMIF('PA-Détails'!$R$1709:$R$2514,"=" &amp;'PA-Synthèse'!$B614,'PA-Détails'!L$1709:L$2514))/1000</f>
        <v>315.5</v>
      </c>
      <c r="M614" s="625">
        <f>(SUMIF('PA-Détails'!$R$1709:$R$2514,"=" &amp;'PA-Synthèse'!$B614,'PA-Détails'!M$1709:M$2514))/1000</f>
        <v>42595</v>
      </c>
      <c r="N614" s="625">
        <f>(SUMIF('PA-Détails'!$R$1709:$R$2514,"=" &amp;'PA-Synthèse'!$B614,'PA-Détails'!N$1709:N$2514))/1000</f>
        <v>43195</v>
      </c>
      <c r="O614" s="625">
        <f>(SUMIF('PA-Détails'!$R$1709:$R$2514,"=" &amp;'PA-Synthèse'!$B614,'PA-Détails'!O$1709:O$2514))/1000</f>
        <v>43195</v>
      </c>
      <c r="P614" s="625">
        <f>(SUMIF('PA-Détails'!$R$1709:$R$2514,"=" &amp;'PA-Synthèse'!$B614,'PA-Détails'!P$1709:P$2514))/1000</f>
        <v>45695</v>
      </c>
      <c r="Q614" s="625">
        <f>(SUMIF('PA-Détails'!$R$1709:$R$2514,"=" &amp;'PA-Synthèse'!$B614,'PA-Détails'!Q$1709:Q$2514))/1000</f>
        <v>174995.5</v>
      </c>
      <c r="R614" s="612">
        <f>COUNTIF('PA-Détails'!$R$1709:$R$2514,"=" &amp;'PA-Synthèse'!$B614)</f>
        <v>7</v>
      </c>
      <c r="S614" s="572" t="str">
        <f t="shared" si="141"/>
        <v xml:space="preserve">7.7.1.1 Définition du Plan numérique des universités ; 7.7.1.2 Mise en place du Plan numérique ; 7.7.1.3 Mise en place d'un centre universitaire informatique ; 7.7.2.1 Définir l'architecture de la BVN ; 7.7.2.2 Mise en place et fonctionnement de la BVN ; 7.8.1.1 Définition du réseau numérique ; 7.8.1.2 Mise en place et fonctionnement du réseau numérique des EES ;  ;  ;  ;  ;  ;  ;  ;  ;  ; </v>
      </c>
      <c r="T614" s="572">
        <f t="shared" si="140"/>
        <v>7</v>
      </c>
      <c r="U614" s="572" t="s">
        <v>541</v>
      </c>
      <c r="V614" s="572" t="s">
        <v>542</v>
      </c>
      <c r="W614" s="572" t="s">
        <v>543</v>
      </c>
      <c r="X614" s="572" t="s">
        <v>545</v>
      </c>
      <c r="Y614" s="572" t="s">
        <v>546</v>
      </c>
      <c r="Z614" s="572" t="s">
        <v>548</v>
      </c>
      <c r="AA614" s="572" t="s">
        <v>549</v>
      </c>
    </row>
    <row r="615" spans="2:34" s="572" customFormat="1" hidden="1" x14ac:dyDescent="0.2">
      <c r="B615" s="623" t="s">
        <v>794</v>
      </c>
      <c r="C615" s="624"/>
      <c r="D615" s="624"/>
      <c r="E615" s="624"/>
      <c r="F615" s="624"/>
      <c r="G615" s="624"/>
      <c r="H615" s="624"/>
      <c r="I615" s="624"/>
      <c r="J615" s="624"/>
      <c r="K615" s="624"/>
      <c r="L615" s="625">
        <f>(SUMIF('PA-Détails'!$R$1709:$R$2514,"=" &amp;'PA-Synthèse'!$B615,'PA-Détails'!L$1709:L$2514))/1000</f>
        <v>7200</v>
      </c>
      <c r="M615" s="625">
        <f>(SUMIF('PA-Détails'!$R$1709:$R$2514,"=" &amp;'PA-Synthèse'!$B615,'PA-Détails'!M$1709:M$2514))/1000</f>
        <v>6950</v>
      </c>
      <c r="N615" s="625">
        <f>(SUMIF('PA-Détails'!$R$1709:$R$2514,"=" &amp;'PA-Synthèse'!$B615,'PA-Détails'!N$1709:N$2514))/1000</f>
        <v>7963</v>
      </c>
      <c r="O615" s="625">
        <f>(SUMIF('PA-Détails'!$R$1709:$R$2514,"=" &amp;'PA-Synthèse'!$B615,'PA-Détails'!O$1709:O$2514))/1000</f>
        <v>5600</v>
      </c>
      <c r="P615" s="625">
        <f>(SUMIF('PA-Détails'!$R$1709:$R$2514,"=" &amp;'PA-Synthèse'!$B615,'PA-Détails'!P$1709:P$2514))/1000</f>
        <v>6800</v>
      </c>
      <c r="Q615" s="625">
        <f>(SUMIF('PA-Détails'!$R$1709:$R$2514,"=" &amp;'PA-Synthèse'!$B615,'PA-Détails'!Q$1709:Q$2514))/1000</f>
        <v>34513</v>
      </c>
      <c r="R615" s="612">
        <f>COUNTIF('PA-Détails'!$R$1709:$R$2514,"=" &amp;'PA-Synthèse'!$B615)</f>
        <v>5</v>
      </c>
      <c r="S615" s="572" t="str">
        <f t="shared" ref="S615:S625" si="142">CONCATENATE(U615," ; ",V615," ; ",W615," ; ",X615," ; ",Y615)</f>
        <v>7.2.1.1 Faisabilité de création des ESS dans les zones défavorisées ; 7.2.1.2 Création d'un EES dans une zone défavorisée ; 7.3.2.1 Construction de 70 amphithéâtres ; 7.3.2.2 Construction de 400 salles pour le supérieur ; 7.3.2.3 Réhabilitation des laboratoires et ateliers</v>
      </c>
      <c r="T615" s="572">
        <f t="shared" si="140"/>
        <v>5</v>
      </c>
      <c r="U615" s="572" t="s">
        <v>921</v>
      </c>
      <c r="V615" s="572" t="s">
        <v>920</v>
      </c>
      <c r="W615" s="572" t="s">
        <v>253</v>
      </c>
      <c r="X615" s="572" t="s">
        <v>254</v>
      </c>
      <c r="Y615" s="572" t="s">
        <v>256</v>
      </c>
    </row>
    <row r="616" spans="2:34" s="572" customFormat="1" hidden="1" x14ac:dyDescent="0.2">
      <c r="B616" s="623" t="s">
        <v>810</v>
      </c>
      <c r="C616" s="624"/>
      <c r="D616" s="624"/>
      <c r="E616" s="624"/>
      <c r="F616" s="624"/>
      <c r="G616" s="624"/>
      <c r="H616" s="624"/>
      <c r="I616" s="624"/>
      <c r="J616" s="624"/>
      <c r="K616" s="624"/>
      <c r="L616" s="625">
        <f>(SUMIF('PA-Détails'!$R$1709:$R$2514,"=" &amp;'PA-Synthèse'!$B616,'PA-Détails'!L$1709:L$2514))/1000</f>
        <v>8.5</v>
      </c>
      <c r="M616" s="625">
        <f>(SUMIF('PA-Détails'!$R$1709:$R$2514,"=" &amp;'PA-Synthèse'!$B616,'PA-Détails'!M$1709:M$2514))/1000</f>
        <v>0</v>
      </c>
      <c r="N616" s="625">
        <f>(SUMIF('PA-Détails'!$R$1709:$R$2514,"=" &amp;'PA-Synthèse'!$B616,'PA-Détails'!N$1709:N$2514))/1000</f>
        <v>0</v>
      </c>
      <c r="O616" s="625">
        <f>(SUMIF('PA-Détails'!$R$1709:$R$2514,"=" &amp;'PA-Synthèse'!$B616,'PA-Détails'!O$1709:O$2514))/1000</f>
        <v>0</v>
      </c>
      <c r="P616" s="625">
        <f>(SUMIF('PA-Détails'!$R$1709:$R$2514,"=" &amp;'PA-Synthèse'!$B616,'PA-Détails'!P$1709:P$2514))/1000</f>
        <v>0</v>
      </c>
      <c r="Q616" s="625">
        <f>(SUMIF('PA-Détails'!$R$1709:$R$2514,"=" &amp;'PA-Synthèse'!$B616,'PA-Détails'!Q$1709:Q$2514))/1000</f>
        <v>8.5</v>
      </c>
      <c r="R616" s="612">
        <f>COUNTIF('PA-Détails'!$R$1709:$R$2514,"=" &amp;'PA-Synthèse'!$B616)</f>
        <v>1</v>
      </c>
      <c r="S616" s="572" t="str">
        <f t="shared" si="142"/>
        <v xml:space="preserve">7.10.2.1 Étude de définition du dispositif ;  ;  ;  ; </v>
      </c>
      <c r="T616" s="572">
        <f t="shared" si="140"/>
        <v>1</v>
      </c>
      <c r="U616" s="572" t="s">
        <v>565</v>
      </c>
    </row>
    <row r="617" spans="2:34" s="572" customFormat="1" hidden="1" x14ac:dyDescent="0.2">
      <c r="B617" s="623" t="s">
        <v>809</v>
      </c>
      <c r="C617" s="624"/>
      <c r="D617" s="624"/>
      <c r="E617" s="624"/>
      <c r="F617" s="624"/>
      <c r="G617" s="624"/>
      <c r="H617" s="624"/>
      <c r="I617" s="624"/>
      <c r="J617" s="624"/>
      <c r="K617" s="624"/>
      <c r="L617" s="625">
        <f>(SUMIF('PA-Détails'!$R$1709:$R$2514,"=" &amp;'PA-Synthèse'!$B617,'PA-Détails'!L$1709:L$2514))/1000</f>
        <v>5360</v>
      </c>
      <c r="M617" s="625">
        <f>(SUMIF('PA-Détails'!$R$1709:$R$2514,"=" &amp;'PA-Synthèse'!$B617,'PA-Détails'!M$1709:M$2514))/1000</f>
        <v>5360</v>
      </c>
      <c r="N617" s="625">
        <f>(SUMIF('PA-Détails'!$R$1709:$R$2514,"=" &amp;'PA-Synthèse'!$B617,'PA-Détails'!N$1709:N$2514))/1000</f>
        <v>5360</v>
      </c>
      <c r="O617" s="625">
        <f>(SUMIF('PA-Détails'!$R$1709:$R$2514,"=" &amp;'PA-Synthèse'!$B617,'PA-Détails'!O$1709:O$2514))/1000</f>
        <v>5360</v>
      </c>
      <c r="P617" s="625">
        <f>(SUMIF('PA-Détails'!$R$1709:$R$2514,"=" &amp;'PA-Synthèse'!$B617,'PA-Détails'!P$1709:P$2514))/1000</f>
        <v>5360</v>
      </c>
      <c r="Q617" s="625">
        <f>(SUMIF('PA-Détails'!$R$1709:$R$2514,"=" &amp;'PA-Synthèse'!$B617,'PA-Détails'!Q$1709:Q$2514))/1000</f>
        <v>26800</v>
      </c>
      <c r="R617" s="612">
        <f>COUNTIF('PA-Détails'!$R$1709:$R$2514,"=" &amp;'PA-Synthèse'!$B617)</f>
        <v>1</v>
      </c>
      <c r="S617" s="572" t="str">
        <f t="shared" si="142"/>
        <v xml:space="preserve">7.10.1.2 Recrutement de nouveaux enseignants et vacations ;  ;  ;  ; </v>
      </c>
      <c r="T617" s="572">
        <f t="shared" si="140"/>
        <v>1</v>
      </c>
      <c r="U617" s="572" t="s">
        <v>563</v>
      </c>
    </row>
    <row r="618" spans="2:34" s="572" customFormat="1" hidden="1" x14ac:dyDescent="0.2">
      <c r="B618" s="623" t="s">
        <v>1421</v>
      </c>
      <c r="C618" s="624"/>
      <c r="D618" s="624"/>
      <c r="E618" s="624"/>
      <c r="F618" s="624"/>
      <c r="G618" s="624"/>
      <c r="H618" s="624"/>
      <c r="I618" s="624"/>
      <c r="J618" s="624"/>
      <c r="K618" s="624"/>
      <c r="L618" s="625">
        <f>(SUMIF('PA-Détails'!$R$1709:$R$2514,"=" &amp;'PA-Synthèse'!$B618,'PA-Détails'!L$1709:L$2514))/1000</f>
        <v>600</v>
      </c>
      <c r="M618" s="625">
        <f>(SUMIF('PA-Détails'!$R$1709:$R$2514,"=" &amp;'PA-Synthèse'!$B618,'PA-Détails'!M$1709:M$2514))/1000</f>
        <v>600</v>
      </c>
      <c r="N618" s="625">
        <f>(SUMIF('PA-Détails'!$R$1709:$R$2514,"=" &amp;'PA-Synthèse'!$B618,'PA-Détails'!N$1709:N$2514))/1000</f>
        <v>600</v>
      </c>
      <c r="O618" s="625">
        <f>(SUMIF('PA-Détails'!$R$1709:$R$2514,"=" &amp;'PA-Synthèse'!$B618,'PA-Détails'!O$1709:O$2514))/1000</f>
        <v>600</v>
      </c>
      <c r="P618" s="625">
        <f>(SUMIF('PA-Détails'!$R$1709:$R$2514,"=" &amp;'PA-Synthèse'!$B618,'PA-Détails'!P$1709:P$2514))/1000</f>
        <v>600</v>
      </c>
      <c r="Q618" s="625">
        <f>(SUMIF('PA-Détails'!$R$1709:$R$2514,"=" &amp;'PA-Synthèse'!$B618,'PA-Détails'!Q$1709:Q$2514))/1000</f>
        <v>3000</v>
      </c>
      <c r="R618" s="612">
        <f>COUNTIF('PA-Détails'!$R$1709:$R$2514,"=" &amp;'PA-Synthèse'!$B618)</f>
        <v>1</v>
      </c>
      <c r="S618" s="572" t="str">
        <f t="shared" si="142"/>
        <v xml:space="preserve">7.1.1.1 Octroi d’une bourse d’études aux filles scolarisées dans les filières d'ingénieur ;  ;  ;  ; </v>
      </c>
      <c r="T618" s="572">
        <f t="shared" si="140"/>
        <v>1</v>
      </c>
      <c r="U618" s="572" t="s">
        <v>582</v>
      </c>
    </row>
    <row r="619" spans="2:34" s="572" customFormat="1" hidden="1" x14ac:dyDescent="0.2">
      <c r="B619" s="623" t="s">
        <v>812</v>
      </c>
      <c r="C619" s="624"/>
      <c r="D619" s="624"/>
      <c r="E619" s="624"/>
      <c r="F619" s="624"/>
      <c r="G619" s="624"/>
      <c r="H619" s="624"/>
      <c r="I619" s="624"/>
      <c r="J619" s="624"/>
      <c r="K619" s="624"/>
      <c r="L619" s="625">
        <f>(SUMIF('PA-Détails'!$R$1709:$R$2514,"=" &amp;'PA-Synthèse'!$B619,'PA-Détails'!L$1709:L$2514))/1000</f>
        <v>0</v>
      </c>
      <c r="M619" s="625">
        <f>(SUMIF('PA-Détails'!$R$1709:$R$2514,"=" &amp;'PA-Synthèse'!$B619,'PA-Détails'!M$1709:M$2514))/1000</f>
        <v>954.5</v>
      </c>
      <c r="N619" s="625">
        <f>(SUMIF('PA-Détails'!$R$1709:$R$2514,"=" &amp;'PA-Synthèse'!$B619,'PA-Détails'!N$1709:N$2514))/1000</f>
        <v>936</v>
      </c>
      <c r="O619" s="625">
        <f>(SUMIF('PA-Détails'!$R$1709:$R$2514,"=" &amp;'PA-Synthèse'!$B619,'PA-Détails'!O$1709:O$2514))/1000</f>
        <v>936</v>
      </c>
      <c r="P619" s="625">
        <f>(SUMIF('PA-Détails'!$R$1709:$R$2514,"=" &amp;'PA-Synthèse'!$B619,'PA-Détails'!P$1709:P$2514))/1000</f>
        <v>936</v>
      </c>
      <c r="Q619" s="625">
        <f>(SUMIF('PA-Détails'!$R$1709:$R$2514,"=" &amp;'PA-Synthèse'!$B619,'PA-Détails'!Q$1709:Q$2514))/1000</f>
        <v>3762.5</v>
      </c>
      <c r="R619" s="612">
        <f>COUNTIF('PA-Détails'!$R$1709:$R$2514,"=" &amp;'PA-Synthèse'!$B619)</f>
        <v>1</v>
      </c>
      <c r="S619" s="572" t="str">
        <f t="shared" si="142"/>
        <v xml:space="preserve">7.11.5.2 Contrôles de scolarité dans tous les EES publics et privés agréés ;  ;  ;  ; </v>
      </c>
      <c r="T619" s="572">
        <f t="shared" si="140"/>
        <v>1</v>
      </c>
      <c r="U619" s="572" t="s">
        <v>1008</v>
      </c>
    </row>
    <row r="620" spans="2:34" s="572" customFormat="1" hidden="1" x14ac:dyDescent="0.2">
      <c r="B620" s="623" t="s">
        <v>1420</v>
      </c>
      <c r="C620" s="624"/>
      <c r="D620" s="624"/>
      <c r="E620" s="624"/>
      <c r="F620" s="624"/>
      <c r="G620" s="624"/>
      <c r="H620" s="624"/>
      <c r="I620" s="624"/>
      <c r="J620" s="624"/>
      <c r="K620" s="624"/>
      <c r="L620" s="625">
        <f>(SUMIF('PA-Détails'!$R$1709:$R$2514,"=" &amp;'PA-Synthèse'!$B620,'PA-Détails'!L$1709:L$2514))/1000</f>
        <v>197234.29368609143</v>
      </c>
      <c r="M620" s="625">
        <f>(SUMIF('PA-Détails'!$R$1709:$R$2514,"=" &amp;'PA-Synthèse'!$B620,'PA-Détails'!M$1709:M$2514))/1000</f>
        <v>218808.2146899963</v>
      </c>
      <c r="N620" s="625">
        <f>(SUMIF('PA-Détails'!$R$1709:$R$2514,"=" &amp;'PA-Synthèse'!$B620,'PA-Détails'!N$1709:N$2514))/1000</f>
        <v>241584.51076659356</v>
      </c>
      <c r="O620" s="625">
        <f>(SUMIF('PA-Détails'!$R$1709:$R$2514,"=" &amp;'PA-Synthèse'!$B620,'PA-Détails'!O$1709:O$2514))/1000</f>
        <v>264370.29454020696</v>
      </c>
      <c r="P620" s="625">
        <f>(SUMIF('PA-Détails'!$R$1709:$R$2514,"=" &amp;'PA-Synthèse'!$B620,'PA-Détails'!P$1709:P$2514))/1000</f>
        <v>286625.24899435451</v>
      </c>
      <c r="Q620" s="625">
        <f>(SUMIF('PA-Détails'!$R$1709:$R$2514,"=" &amp;'PA-Synthèse'!$B620,'PA-Détails'!Q$1709:Q$2514))/1000</f>
        <v>1208622.5626772428</v>
      </c>
      <c r="R620" s="612">
        <f>COUNTIF('PA-Détails'!$R$1709:$R$2514,"=" &amp;'PA-Synthèse'!$B620)</f>
        <v>1</v>
      </c>
      <c r="S620" s="572" t="str">
        <f t="shared" si="142"/>
        <v xml:space="preserve">7.3.1.1 Paiement des enseignants ;  ;  ;  ; </v>
      </c>
      <c r="T620" s="572">
        <f t="shared" si="140"/>
        <v>1</v>
      </c>
      <c r="U620" s="572" t="s">
        <v>250</v>
      </c>
    </row>
    <row r="621" spans="2:34" s="572" customFormat="1" hidden="1" x14ac:dyDescent="0.2">
      <c r="B621" s="623" t="s">
        <v>806</v>
      </c>
      <c r="C621" s="624"/>
      <c r="D621" s="624"/>
      <c r="E621" s="624"/>
      <c r="F621" s="624"/>
      <c r="G621" s="624"/>
      <c r="H621" s="624"/>
      <c r="I621" s="624"/>
      <c r="J621" s="624"/>
      <c r="K621" s="624"/>
      <c r="L621" s="625">
        <f>(SUMIF('PA-Détails'!$R$1709:$R$2514,"=" &amp;'PA-Synthèse'!$B621,'PA-Détails'!L$1709:L$2514))/1000</f>
        <v>51.5</v>
      </c>
      <c r="M621" s="625">
        <f>(SUMIF('PA-Détails'!$R$1709:$R$2514,"=" &amp;'PA-Synthèse'!$B621,'PA-Détails'!M$1709:M$2514))/1000</f>
        <v>400</v>
      </c>
      <c r="N621" s="625">
        <f>(SUMIF('PA-Détails'!$R$1709:$R$2514,"=" &amp;'PA-Synthèse'!$B621,'PA-Détails'!N$1709:N$2514))/1000</f>
        <v>300</v>
      </c>
      <c r="O621" s="625">
        <f>(SUMIF('PA-Détails'!$R$1709:$R$2514,"=" &amp;'PA-Synthèse'!$B621,'PA-Détails'!O$1709:O$2514))/1000</f>
        <v>300</v>
      </c>
      <c r="P621" s="625">
        <f>(SUMIF('PA-Détails'!$R$1709:$R$2514,"=" &amp;'PA-Synthèse'!$B621,'PA-Détails'!P$1709:P$2514))/1000</f>
        <v>300</v>
      </c>
      <c r="Q621" s="625">
        <f>(SUMIF('PA-Détails'!$R$1709:$R$2514,"=" &amp;'PA-Synthèse'!$B621,'PA-Détails'!Q$1709:Q$2514))/1000</f>
        <v>1351.5</v>
      </c>
      <c r="R621" s="612">
        <f>COUNTIF('PA-Détails'!$R$1709:$R$2514,"=" &amp;'PA-Synthèse'!$B621)</f>
        <v>2</v>
      </c>
      <c r="S621" s="572" t="str">
        <f t="shared" si="142"/>
        <v xml:space="preserve">7.9.3.1 Définition du programme de mise à niveau ; 7.9.3.2 Réhabilitation et équipement du PUC ;  ;  ; </v>
      </c>
      <c r="T621" s="572">
        <f t="shared" si="140"/>
        <v>2</v>
      </c>
      <c r="U621" s="572" t="s">
        <v>557</v>
      </c>
      <c r="V621" s="572" t="s">
        <v>558</v>
      </c>
    </row>
    <row r="622" spans="2:34" s="572" customFormat="1" hidden="1" x14ac:dyDescent="0.2">
      <c r="B622" s="623" t="s">
        <v>808</v>
      </c>
      <c r="C622" s="624"/>
      <c r="D622" s="624"/>
      <c r="E622" s="624"/>
      <c r="F622" s="624"/>
      <c r="G622" s="624"/>
      <c r="H622" s="624"/>
      <c r="I622" s="624"/>
      <c r="J622" s="624"/>
      <c r="K622" s="624"/>
      <c r="L622" s="625">
        <f>(SUMIF('PA-Détails'!$R$1709:$R$2514,"=" &amp;'PA-Synthèse'!$B622,'PA-Détails'!L$1709:L$2514))/1000</f>
        <v>0</v>
      </c>
      <c r="M622" s="625">
        <f>(SUMIF('PA-Détails'!$R$1709:$R$2514,"=" &amp;'PA-Synthèse'!$B622,'PA-Détails'!M$1709:M$2514))/1000</f>
        <v>0</v>
      </c>
      <c r="N622" s="625">
        <f>(SUMIF('PA-Détails'!$R$1709:$R$2514,"=" &amp;'PA-Synthèse'!$B622,'PA-Détails'!N$1709:N$2514))/1000</f>
        <v>0</v>
      </c>
      <c r="O622" s="625">
        <f>(SUMIF('PA-Détails'!$R$1709:$R$2514,"=" &amp;'PA-Synthèse'!$B622,'PA-Détails'!O$1709:O$2514))/1000</f>
        <v>60</v>
      </c>
      <c r="P622" s="625">
        <f>(SUMIF('PA-Détails'!$R$1709:$R$2514,"=" &amp;'PA-Synthèse'!$B622,'PA-Détails'!P$1709:P$2514))/1000</f>
        <v>120</v>
      </c>
      <c r="Q622" s="625">
        <f>(SUMIF('PA-Détails'!$R$1709:$R$2514,"=" &amp;'PA-Synthèse'!$B622,'PA-Détails'!Q$1709:Q$2514))/1000</f>
        <v>180</v>
      </c>
      <c r="R622" s="612">
        <f>COUNTIF('PA-Détails'!$R$1709:$R$2514,"=" &amp;'PA-Synthèse'!$B622)</f>
        <v>1</v>
      </c>
      <c r="S622" s="572" t="str">
        <f t="shared" si="142"/>
        <v xml:space="preserve">7.9.4.3 Assurer le fonctionnement des ED ;  ;  ;  ; </v>
      </c>
      <c r="T622" s="572">
        <f t="shared" si="140"/>
        <v>1</v>
      </c>
      <c r="U622" s="572" t="s">
        <v>561</v>
      </c>
    </row>
    <row r="623" spans="2:34" s="572" customFormat="1" hidden="1" x14ac:dyDescent="0.2">
      <c r="B623" s="623" t="s">
        <v>1429</v>
      </c>
      <c r="C623" s="624"/>
      <c r="D623" s="624"/>
      <c r="E623" s="624"/>
      <c r="F623" s="624"/>
      <c r="G623" s="624"/>
      <c r="H623" s="624"/>
      <c r="I623" s="624"/>
      <c r="J623" s="624"/>
      <c r="K623" s="624"/>
      <c r="L623" s="625">
        <f>(SUMIF('PA-Détails'!$R$1709:$R$2514,"=" &amp;'PA-Synthèse'!$B623,'PA-Détails'!L$1709:L$2514))/1000</f>
        <v>8.5</v>
      </c>
      <c r="M623" s="625">
        <f>(SUMIF('PA-Détails'!$R$1709:$R$2514,"=" &amp;'PA-Synthèse'!$B623,'PA-Détails'!M$1709:M$2514))/1000</f>
        <v>55</v>
      </c>
      <c r="N623" s="625">
        <f>(SUMIF('PA-Détails'!$R$1709:$R$2514,"=" &amp;'PA-Synthèse'!$B623,'PA-Détails'!N$1709:N$2514))/1000</f>
        <v>0</v>
      </c>
      <c r="O623" s="625">
        <f>(SUMIF('PA-Détails'!$R$1709:$R$2514,"=" &amp;'PA-Synthèse'!$B623,'PA-Détails'!O$1709:O$2514))/1000</f>
        <v>55</v>
      </c>
      <c r="P623" s="625">
        <f>(SUMIF('PA-Détails'!$R$1709:$R$2514,"=" &amp;'PA-Synthèse'!$B623,'PA-Détails'!P$1709:P$2514))/1000</f>
        <v>0</v>
      </c>
      <c r="Q623" s="625">
        <f>(SUMIF('PA-Détails'!$R$1709:$R$2514,"=" &amp;'PA-Synthèse'!$B623,'PA-Détails'!Q$1709:Q$2514))/1000</f>
        <v>118.5</v>
      </c>
      <c r="R623" s="612">
        <f>COUNTIF('PA-Détails'!$R$1709:$R$2514,"=" &amp;'PA-Synthèse'!$B623)</f>
        <v>2</v>
      </c>
      <c r="S623" s="572" t="str">
        <f t="shared" si="142"/>
        <v xml:space="preserve">8.11.1.1 Élaboration d'un module de formation ; 8.11.1.2 Formation des inspecteurs de l'ESU ;  ;  ; </v>
      </c>
      <c r="T623" s="572">
        <f t="shared" si="140"/>
        <v>2</v>
      </c>
      <c r="U623" s="572" t="s">
        <v>1255</v>
      </c>
      <c r="V623" s="572" t="s">
        <v>1256</v>
      </c>
    </row>
    <row r="624" spans="2:34" s="572" customFormat="1" hidden="1" x14ac:dyDescent="0.2">
      <c r="B624" s="623" t="s">
        <v>1430</v>
      </c>
      <c r="C624" s="624"/>
      <c r="D624" s="624"/>
      <c r="E624" s="624"/>
      <c r="F624" s="624"/>
      <c r="G624" s="624"/>
      <c r="H624" s="624"/>
      <c r="I624" s="624"/>
      <c r="J624" s="624"/>
      <c r="K624" s="624"/>
      <c r="L624" s="625">
        <f>(SUMIF('PA-Détails'!$R$1709:$R$2514,"=" &amp;'PA-Synthèse'!$B624,'PA-Détails'!L$1709:L$2514))/1000</f>
        <v>0</v>
      </c>
      <c r="M624" s="625">
        <f>(SUMIF('PA-Détails'!$R$1709:$R$2514,"=" &amp;'PA-Synthèse'!$B624,'PA-Détails'!M$1709:M$2514))/1000</f>
        <v>51</v>
      </c>
      <c r="N624" s="625">
        <f>(SUMIF('PA-Détails'!$R$1709:$R$2514,"=" &amp;'PA-Synthèse'!$B624,'PA-Détails'!N$1709:N$2514))/1000</f>
        <v>22</v>
      </c>
      <c r="O624" s="625">
        <f>(SUMIF('PA-Détails'!$R$1709:$R$2514,"=" &amp;'PA-Synthèse'!$B624,'PA-Détails'!O$1709:O$2514))/1000</f>
        <v>0</v>
      </c>
      <c r="P624" s="625">
        <f>(SUMIF('PA-Détails'!$R$1709:$R$2514,"=" &amp;'PA-Synthèse'!$B624,'PA-Détails'!P$1709:P$2514))/1000</f>
        <v>0</v>
      </c>
      <c r="Q624" s="625">
        <f>(SUMIF('PA-Détails'!$R$1709:$R$2514,"=" &amp;'PA-Synthèse'!$B624,'PA-Détails'!Q$1709:Q$2514))/1000</f>
        <v>73</v>
      </c>
      <c r="R624" s="612">
        <f>COUNTIF('PA-Détails'!$R$1709:$R$2514,"=" &amp;'PA-Synthèse'!$B624)</f>
        <v>3</v>
      </c>
      <c r="S624" s="572" t="str">
        <f t="shared" si="142"/>
        <v xml:space="preserve">8.12.2.2 Étude sur la réorganisation des services d'orientation des EES ; 8.12.2.3 Formation des formateurs des services d'orientation des EES ; 8.12.2.4 Formation des personnels des services d'orientation des EES ;  ; </v>
      </c>
      <c r="T624" s="572">
        <f t="shared" si="140"/>
        <v>3</v>
      </c>
      <c r="U624" s="572" t="s">
        <v>1275</v>
      </c>
      <c r="V624" s="572" t="s">
        <v>1276</v>
      </c>
      <c r="W624" s="572" t="s">
        <v>1277</v>
      </c>
    </row>
    <row r="625" spans="2:40" s="572" customFormat="1" hidden="1" x14ac:dyDescent="0.2">
      <c r="B625" s="623" t="s">
        <v>1422</v>
      </c>
      <c r="C625" s="624"/>
      <c r="D625" s="624"/>
      <c r="E625" s="624"/>
      <c r="F625" s="624"/>
      <c r="G625" s="624"/>
      <c r="H625" s="624"/>
      <c r="I625" s="624"/>
      <c r="J625" s="624"/>
      <c r="K625" s="624"/>
      <c r="L625" s="625">
        <f>(SUMIF('PA-Détails'!$R$1709:$R$2514,"=" &amp;'PA-Synthèse'!$B625,'PA-Détails'!L$1709:L$2514))/1000</f>
        <v>85.5</v>
      </c>
      <c r="M625" s="625">
        <f>(SUMIF('PA-Détails'!$R$1709:$R$2514,"=" &amp;'PA-Synthèse'!$B625,'PA-Détails'!M$1709:M$2514))/1000</f>
        <v>0</v>
      </c>
      <c r="N625" s="625">
        <f>(SUMIF('PA-Détails'!$R$1709:$R$2514,"=" &amp;'PA-Synthèse'!$B625,'PA-Détails'!N$1709:N$2514))/1000</f>
        <v>0</v>
      </c>
      <c r="O625" s="625">
        <f>(SUMIF('PA-Détails'!$R$1709:$R$2514,"=" &amp;'PA-Synthèse'!$B625,'PA-Détails'!O$1709:O$2514))/1000</f>
        <v>0</v>
      </c>
      <c r="P625" s="625">
        <f>(SUMIF('PA-Détails'!$R$1709:$R$2514,"=" &amp;'PA-Synthèse'!$B625,'PA-Détails'!P$1709:P$2514))/1000</f>
        <v>0</v>
      </c>
      <c r="Q625" s="625">
        <f>(SUMIF('PA-Détails'!$R$1709:$R$2514,"=" &amp;'PA-Synthèse'!$B625,'PA-Détails'!Q$1709:Q$2514))/1000</f>
        <v>85.5</v>
      </c>
      <c r="R625" s="612">
        <f>COUNTIF('PA-Détails'!$R$1709:$R$2514,"=" &amp;'PA-Synthèse'!$B625)</f>
        <v>2</v>
      </c>
      <c r="S625" s="572" t="str">
        <f t="shared" si="142"/>
        <v xml:space="preserve">5.8.3.1 Actualisation du référentiel de compétences des enseignants réalisé en 2013 ; 5.8.3.2 Révision du curriculum de formation des enseignants ;  ;  ; </v>
      </c>
      <c r="T625" s="572">
        <f t="shared" si="140"/>
        <v>2</v>
      </c>
      <c r="U625" s="572" t="s">
        <v>1176</v>
      </c>
      <c r="V625" s="572" t="s">
        <v>1177</v>
      </c>
    </row>
    <row r="626" spans="2:40" s="572" customFormat="1" hidden="1" x14ac:dyDescent="0.2">
      <c r="B626" s="623" t="s">
        <v>882</v>
      </c>
      <c r="C626" s="624"/>
      <c r="D626" s="624"/>
      <c r="E626" s="624"/>
      <c r="F626" s="624"/>
      <c r="G626" s="624"/>
      <c r="H626" s="624"/>
      <c r="I626" s="624"/>
      <c r="J626" s="624"/>
      <c r="K626" s="624"/>
      <c r="L626" s="625">
        <f>(SUMIF('PA-Détails'!$R$1709:$R$2514,"=" &amp;'PA-Synthèse'!$B626,'PA-Détails'!L$1709:L$2514))/1000</f>
        <v>4702.13</v>
      </c>
      <c r="M626" s="625">
        <f>(SUMIF('PA-Détails'!$R$1709:$R$2514,"=" &amp;'PA-Synthèse'!$B626,'PA-Détails'!M$1709:M$2514))/1000</f>
        <v>10427.77</v>
      </c>
      <c r="N626" s="625">
        <f>(SUMIF('PA-Détails'!$R$1709:$R$2514,"=" &amp;'PA-Synthèse'!$B626,'PA-Détails'!N$1709:N$2514))/1000</f>
        <v>8547.33</v>
      </c>
      <c r="O626" s="625">
        <f>(SUMIF('PA-Détails'!$R$1709:$R$2514,"=" &amp;'PA-Synthèse'!$B626,'PA-Détails'!O$1709:O$2514))/1000</f>
        <v>6239.5</v>
      </c>
      <c r="P626" s="625">
        <f>(SUMIF('PA-Détails'!$R$1709:$R$2514,"=" &amp;'PA-Synthèse'!$B626,'PA-Détails'!P$1709:P$2514))/1000</f>
        <v>6429.1</v>
      </c>
      <c r="Q626" s="625">
        <f>(SUMIF('PA-Détails'!$R$1709:$R$2514,"=" &amp;'PA-Synthèse'!$B626,'PA-Détails'!Q$1709:Q$2514))/1000</f>
        <v>36345.83</v>
      </c>
      <c r="R626" s="612">
        <f>COUNTIF('PA-Détails'!$R$1709:$R$2514,"=" &amp;'PA-Synthèse'!$B626)</f>
        <v>20</v>
      </c>
      <c r="S626" s="572" t="s">
        <v>1483</v>
      </c>
      <c r="T626" s="572">
        <f t="shared" si="140"/>
        <v>20</v>
      </c>
      <c r="U626" s="572" t="s">
        <v>1178</v>
      </c>
      <c r="V626" s="572" t="s">
        <v>562</v>
      </c>
      <c r="W626" s="572" t="s">
        <v>617</v>
      </c>
      <c r="X626" s="572" t="s">
        <v>620</v>
      </c>
      <c r="Y626" s="572" t="s">
        <v>1460</v>
      </c>
      <c r="Z626" s="572" t="s">
        <v>1121</v>
      </c>
      <c r="AA626" s="572" t="s">
        <v>1007</v>
      </c>
      <c r="AB626" s="572" t="s">
        <v>1009</v>
      </c>
      <c r="AC626" s="572" t="s">
        <v>1122</v>
      </c>
      <c r="AD626" s="572" t="s">
        <v>624</v>
      </c>
      <c r="AE626" s="572" t="s">
        <v>1461</v>
      </c>
      <c r="AF626" s="572" t="s">
        <v>626</v>
      </c>
      <c r="AG626" s="572" t="s">
        <v>627</v>
      </c>
      <c r="AH626" s="572" t="s">
        <v>628</v>
      </c>
      <c r="AI626" s="572" t="s">
        <v>1462</v>
      </c>
      <c r="AJ626" s="572" t="s">
        <v>630</v>
      </c>
      <c r="AK626" s="572" t="s">
        <v>631</v>
      </c>
      <c r="AL626" s="572" t="s">
        <v>632</v>
      </c>
      <c r="AM626" s="572" t="s">
        <v>955</v>
      </c>
      <c r="AN626" s="572" t="s">
        <v>944</v>
      </c>
    </row>
    <row r="627" spans="2:40" s="572" customFormat="1" hidden="1" x14ac:dyDescent="0.2">
      <c r="B627" s="623" t="s">
        <v>883</v>
      </c>
      <c r="C627" s="624"/>
      <c r="D627" s="624"/>
      <c r="E627" s="624"/>
      <c r="F627" s="624"/>
      <c r="G627" s="624"/>
      <c r="H627" s="624"/>
      <c r="I627" s="624"/>
      <c r="J627" s="624"/>
      <c r="K627" s="624"/>
      <c r="L627" s="626">
        <f>(SUMIF('PA-Détails'!$R$1709:$R$2514,"=" &amp;'PA-Synthèse'!$B627,'PA-Détails'!L$1709:L$2514))/1000</f>
        <v>200</v>
      </c>
      <c r="M627" s="626">
        <f>(SUMIF('PA-Détails'!$R$1709:$R$2514,"=" &amp;'PA-Synthèse'!$B627,'PA-Détails'!M$1709:M$2514))/1000</f>
        <v>250</v>
      </c>
      <c r="N627" s="626">
        <f>(SUMIF('PA-Détails'!$R$1709:$R$2514,"=" &amp;'PA-Synthèse'!$B627,'PA-Détails'!N$1709:N$2514))/1000</f>
        <v>300</v>
      </c>
      <c r="O627" s="626">
        <f>(SUMIF('PA-Détails'!$R$1709:$R$2514,"=" &amp;'PA-Synthèse'!$B627,'PA-Détails'!O$1709:O$2514))/1000</f>
        <v>350</v>
      </c>
      <c r="P627" s="626">
        <f>(SUMIF('PA-Détails'!$R$1709:$R$2514,"=" &amp;'PA-Synthèse'!$B627,'PA-Détails'!P$1709:P$2514))/1000</f>
        <v>400</v>
      </c>
      <c r="Q627" s="626">
        <f>(SUMIF('PA-Détails'!$R$1709:$R$2514,"=" &amp;'PA-Synthèse'!$B627,'PA-Détails'!Q$1709:Q$2514))/1000</f>
        <v>1500</v>
      </c>
      <c r="R627" s="612">
        <f>COUNTIF('PA-Détails'!$R$1709:$R$2514,"=" &amp;'PA-Synthèse'!$B627)</f>
        <v>1</v>
      </c>
      <c r="S627" s="572" t="str">
        <f t="shared" ref="S627:S629" si="143">CONCATENATE(U627," ; ",V627," ; ",W627," ; ",X627," ; ",Y627)</f>
        <v xml:space="preserve">7.10.2.2 Assurer l'octroi des bourses doctorales ;  ;  ;  ; </v>
      </c>
      <c r="T627" s="572">
        <f t="shared" si="140"/>
        <v>1</v>
      </c>
      <c r="U627" s="572" t="s">
        <v>566</v>
      </c>
    </row>
    <row r="628" spans="2:40" s="572" customFormat="1" hidden="1" x14ac:dyDescent="0.2">
      <c r="B628" s="623" t="s">
        <v>1433</v>
      </c>
      <c r="C628" s="624"/>
      <c r="D628" s="624"/>
      <c r="E628" s="624"/>
      <c r="F628" s="624"/>
      <c r="G628" s="624"/>
      <c r="H628" s="624"/>
      <c r="I628" s="624"/>
      <c r="J628" s="624"/>
      <c r="K628" s="624"/>
      <c r="L628" s="626">
        <f>(SUMIF('PA-Détails'!$R$1709:$R$2514,"=" &amp;'PA-Synthèse'!$B628,'PA-Détails'!L$1709:L$2514))/1000</f>
        <v>1330.69</v>
      </c>
      <c r="M628" s="626">
        <f>(SUMIF('PA-Détails'!$R$1709:$R$2514,"=" &amp;'PA-Synthèse'!$B628,'PA-Détails'!M$1709:M$2514))/1000</f>
        <v>1214.58</v>
      </c>
      <c r="N628" s="626">
        <f>(SUMIF('PA-Détails'!$R$1709:$R$2514,"=" &amp;'PA-Synthèse'!$B628,'PA-Détails'!N$1709:N$2514))/1000</f>
        <v>1227.73</v>
      </c>
      <c r="O628" s="626">
        <f>(SUMIF('PA-Détails'!$R$1709:$R$2514,"=" &amp;'PA-Synthèse'!$B628,'PA-Détails'!O$1709:O$2514))/1000</f>
        <v>1241.1400000000001</v>
      </c>
      <c r="P628" s="626">
        <f>(SUMIF('PA-Détails'!$R$1709:$R$2514,"=" &amp;'PA-Synthèse'!$B628,'PA-Détails'!P$1709:P$2514))/1000</f>
        <v>1254.83</v>
      </c>
      <c r="Q628" s="626">
        <f>(SUMIF('PA-Détails'!$R$1709:$R$2514,"=" &amp;'PA-Synthèse'!$B628,'PA-Détails'!Q$1709:Q$2514))/1000</f>
        <v>6268.97</v>
      </c>
      <c r="R628" s="612">
        <f>COUNTIF('PA-Détails'!$R$1709:$R$2514,"=" &amp;'PA-Synthèse'!$B628)</f>
        <v>2</v>
      </c>
      <c r="S628" s="572" t="str">
        <f t="shared" si="143"/>
        <v xml:space="preserve">8.1.1.2 Rémunération des personnels des services centraux du MESU ; 8.1.2.2 Fonctionnement des services centraux MESU ;  ;  ; </v>
      </c>
      <c r="T628" s="572">
        <f t="shared" si="140"/>
        <v>2</v>
      </c>
      <c r="U628" s="572" t="s">
        <v>933</v>
      </c>
      <c r="V628" s="572" t="s">
        <v>932</v>
      </c>
    </row>
    <row r="629" spans="2:40" s="572" customFormat="1" hidden="1" x14ac:dyDescent="0.2">
      <c r="B629" s="623" t="s">
        <v>214</v>
      </c>
      <c r="C629" s="624"/>
      <c r="D629" s="624"/>
      <c r="E629" s="624"/>
      <c r="F629" s="624"/>
      <c r="G629" s="624"/>
      <c r="H629" s="624"/>
      <c r="I629" s="624"/>
      <c r="J629" s="624"/>
      <c r="K629" s="624"/>
      <c r="L629" s="626">
        <f>(SUMIF('PA-Détails'!$R$1709:$R$2514,"=" &amp;'PA-Synthèse'!$B629,'PA-Détails'!L$1709:L$2514))/1000</f>
        <v>175803.46292373515</v>
      </c>
      <c r="M629" s="626">
        <f>(SUMIF('PA-Détails'!$R$1709:$R$2514,"=" &amp;'PA-Synthèse'!$B629,'PA-Détails'!M$1709:M$2514))/1000</f>
        <v>193104.41119179624</v>
      </c>
      <c r="N629" s="626">
        <f>(SUMIF('PA-Détails'!$R$1709:$R$2514,"=" &amp;'PA-Synthèse'!$B629,'PA-Détails'!N$1709:N$2514))/1000</f>
        <v>215487.69621910065</v>
      </c>
      <c r="O629" s="626">
        <f>(SUMIF('PA-Détails'!$R$1709:$R$2514,"=" &amp;'PA-Synthèse'!$B629,'PA-Détails'!O$1709:O$2514))/1000</f>
        <v>274024.09850530134</v>
      </c>
      <c r="P629" s="626">
        <f>(SUMIF('PA-Détails'!$R$1709:$R$2514,"=" &amp;'PA-Synthèse'!$B629,'PA-Détails'!P$1709:P$2514))/1000</f>
        <v>309934.31062436179</v>
      </c>
      <c r="Q629" s="626">
        <f>(SUMIF('PA-Détails'!$R$1709:$R$2514,"=" &amp;'PA-Synthèse'!$B629,'PA-Détails'!Q$1709:Q$2514))/1000</f>
        <v>1168353.9794642951</v>
      </c>
      <c r="R629" s="612">
        <f>COUNTIF('PA-Détails'!$R$1709:$R$2514,"=" &amp;'PA-Synthèse'!$B629)</f>
        <v>5</v>
      </c>
      <c r="S629" s="572" t="str">
        <f t="shared" si="143"/>
        <v>4.3.1.1 Recenser les enseignants du secondaire à prendre en charge ; 4.3.1.2 Paiement des enseignants du secondaire 1 ; 4.3.1.2 Paiement des enseignants du secondaire 2 ; 4.3.2.1 Subvention de fonctionnement au secondaire ; 6.6.3.1 Paiement des enseignants de l'ETFP</v>
      </c>
      <c r="T629" s="572">
        <f t="shared" si="140"/>
        <v>5</v>
      </c>
      <c r="U629" s="572" t="s">
        <v>237</v>
      </c>
      <c r="V629" s="572" t="s">
        <v>916</v>
      </c>
      <c r="W629" s="572" t="s">
        <v>979</v>
      </c>
      <c r="X629" s="572" t="s">
        <v>240</v>
      </c>
      <c r="Y629" s="572" t="s">
        <v>984</v>
      </c>
    </row>
    <row r="630" spans="2:40" s="572" customFormat="1" hidden="1" x14ac:dyDescent="0.2">
      <c r="B630" s="623" t="s">
        <v>1137</v>
      </c>
      <c r="C630" s="624"/>
      <c r="D630" s="624"/>
      <c r="E630" s="624"/>
      <c r="F630" s="624"/>
      <c r="G630" s="624"/>
      <c r="H630" s="624"/>
      <c r="I630" s="624"/>
      <c r="J630" s="624"/>
      <c r="K630" s="624"/>
      <c r="L630" s="626">
        <f>(SUMIF('PA-Détails'!$R$1709:$R$2514,"=" &amp;'PA-Synthèse'!$B630,'PA-Détails'!L$1709:L$2514))/1000</f>
        <v>4829.3500000000004</v>
      </c>
      <c r="M630" s="626">
        <f>(SUMIF('PA-Détails'!$R$1709:$R$2514,"=" &amp;'PA-Synthèse'!$B630,'PA-Détails'!M$1709:M$2514))/1000</f>
        <v>4626.6000000000004</v>
      </c>
      <c r="N630" s="626">
        <f>(SUMIF('PA-Détails'!$R$1709:$R$2514,"=" &amp;'PA-Synthèse'!$B630,'PA-Détails'!N$1709:N$2514))/1000</f>
        <v>4068.85</v>
      </c>
      <c r="O630" s="626">
        <f>(SUMIF('PA-Détails'!$R$1709:$R$2514,"=" &amp;'PA-Synthèse'!$B630,'PA-Détails'!O$1709:O$2514))/1000</f>
        <v>4280.1000000000004</v>
      </c>
      <c r="P630" s="626">
        <f>(SUMIF('PA-Détails'!$R$1709:$R$2514,"=" &amp;'PA-Synthèse'!$B630,'PA-Détails'!P$1709:P$2514))/1000</f>
        <v>4562.1000000000004</v>
      </c>
      <c r="Q630" s="626">
        <f>(SUMIF('PA-Détails'!$R$1709:$R$2514,"=" &amp;'PA-Synthèse'!$B630,'PA-Détails'!Q$1709:Q$2514))/1000</f>
        <v>22367</v>
      </c>
      <c r="R630" s="612">
        <f>COUNTIF('PA-Détails'!$R$1709:$R$2514,"=" &amp;'PA-Synthèse'!$B630)</f>
        <v>20</v>
      </c>
      <c r="S630" s="572" t="s">
        <v>1482</v>
      </c>
      <c r="T630" s="572">
        <f t="shared" si="140"/>
        <v>20</v>
      </c>
      <c r="U630" s="572" t="s">
        <v>1458</v>
      </c>
      <c r="V630" s="572" t="s">
        <v>1184</v>
      </c>
      <c r="W630" s="572" t="s">
        <v>1279</v>
      </c>
      <c r="X630" s="572" t="s">
        <v>1297</v>
      </c>
      <c r="Y630" s="572" t="s">
        <v>1298</v>
      </c>
      <c r="Z630" s="572" t="s">
        <v>1469</v>
      </c>
      <c r="AA630" s="572" t="s">
        <v>1301</v>
      </c>
      <c r="AB630" s="572" t="s">
        <v>1337</v>
      </c>
      <c r="AC630" s="572" t="s">
        <v>1364</v>
      </c>
      <c r="AD630" s="572" t="s">
        <v>1366</v>
      </c>
      <c r="AE630" s="572" t="s">
        <v>1355</v>
      </c>
      <c r="AF630" s="572" t="s">
        <v>1356</v>
      </c>
      <c r="AG630" s="572" t="s">
        <v>1399</v>
      </c>
      <c r="AH630" s="572" t="s">
        <v>1401</v>
      </c>
      <c r="AI630" s="572" t="s">
        <v>1402</v>
      </c>
      <c r="AJ630" s="572" t="s">
        <v>1127</v>
      </c>
      <c r="AK630" s="572" t="s">
        <v>1476</v>
      </c>
      <c r="AL630" s="572" t="s">
        <v>1220</v>
      </c>
      <c r="AM630" s="572" t="s">
        <v>1479</v>
      </c>
      <c r="AN630" s="572" t="s">
        <v>1223</v>
      </c>
    </row>
    <row r="631" spans="2:40" s="572" customFormat="1" hidden="1" x14ac:dyDescent="0.2">
      <c r="B631" s="623" t="s">
        <v>1138</v>
      </c>
      <c r="C631" s="624"/>
      <c r="D631" s="624"/>
      <c r="E631" s="624"/>
      <c r="F631" s="624"/>
      <c r="G631" s="624"/>
      <c r="H631" s="624"/>
      <c r="I631" s="624"/>
      <c r="J631" s="624"/>
      <c r="K631" s="624"/>
      <c r="L631" s="626">
        <f>(SUMIF('PA-Détails'!$R$1709:$R$2514,"=" &amp;'PA-Synthèse'!$B631,'PA-Détails'!L$1709:L$2514))/1000</f>
        <v>191.95</v>
      </c>
      <c r="M631" s="626">
        <f>(SUMIF('PA-Détails'!$R$1709:$R$2514,"=" &amp;'PA-Synthèse'!$B631,'PA-Détails'!M$1709:M$2514))/1000</f>
        <v>173.45</v>
      </c>
      <c r="N631" s="626">
        <f>(SUMIF('PA-Détails'!$R$1709:$R$2514,"=" &amp;'PA-Synthèse'!$B631,'PA-Détails'!N$1709:N$2514))/1000</f>
        <v>192.45</v>
      </c>
      <c r="O631" s="626">
        <f>(SUMIF('PA-Détails'!$R$1709:$R$2514,"=" &amp;'PA-Synthèse'!$B631,'PA-Détails'!O$1709:O$2514))/1000</f>
        <v>192.45</v>
      </c>
      <c r="P631" s="626">
        <f>(SUMIF('PA-Détails'!$R$1709:$R$2514,"=" &amp;'PA-Synthèse'!$B631,'PA-Détails'!P$1709:P$2514))/1000</f>
        <v>192.45</v>
      </c>
      <c r="Q631" s="626">
        <f>(SUMIF('PA-Détails'!$R$1709:$R$2514,"=" &amp;'PA-Synthèse'!$B631,'PA-Détails'!Q$1709:Q$2514))/1000</f>
        <v>942.75</v>
      </c>
      <c r="R631" s="612">
        <f>COUNTIF('PA-Détails'!$R$1709:$R$2514,"=" &amp;'PA-Synthèse'!$B631)</f>
        <v>3</v>
      </c>
      <c r="S631" s="572" t="str">
        <f t="shared" ref="S631:S632" si="144">CONCATENATE(U631," ; ",V631," ; ",W631," ; ",X631," ; ",Y631)</f>
        <v xml:space="preserve">8.14.3.2 Organisation de journées d'information et d'échange ; 8.14.4.1 Sensibiliser les communautés à la prévention des mariages précoces et les filles et adolescentes aux grossesses non désirées ; 8.14.4.2 Créer des clubs des pairs  (es) éducateurs  (trices) ;  ; </v>
      </c>
      <c r="T631" s="572">
        <f t="shared" si="140"/>
        <v>3</v>
      </c>
      <c r="U631" s="572" t="s">
        <v>1302</v>
      </c>
      <c r="V631" s="572" t="s">
        <v>1304</v>
      </c>
      <c r="W631" s="572" t="s">
        <v>1305</v>
      </c>
    </row>
    <row r="632" spans="2:40" s="572" customFormat="1" hidden="1" x14ac:dyDescent="0.2">
      <c r="B632" s="623" t="s">
        <v>1142</v>
      </c>
      <c r="C632" s="624"/>
      <c r="D632" s="624"/>
      <c r="E632" s="624"/>
      <c r="F632" s="624"/>
      <c r="G632" s="624"/>
      <c r="H632" s="624"/>
      <c r="I632" s="624"/>
      <c r="J632" s="624"/>
      <c r="K632" s="624"/>
      <c r="L632" s="626">
        <f>(SUMIF('PA-Détails'!$R$1709:$R$2514,"=" &amp;'PA-Synthèse'!$B632,'PA-Détails'!L$1709:L$2514))/1000</f>
        <v>0</v>
      </c>
      <c r="M632" s="626">
        <f>(SUMIF('PA-Détails'!$R$1709:$R$2514,"=" &amp;'PA-Synthèse'!$B632,'PA-Détails'!M$1709:M$2514))/1000</f>
        <v>187.8</v>
      </c>
      <c r="N632" s="626">
        <f>(SUMIF('PA-Détails'!$R$1709:$R$2514,"=" &amp;'PA-Synthèse'!$B632,'PA-Détails'!N$1709:N$2514))/1000</f>
        <v>124.3</v>
      </c>
      <c r="O632" s="626">
        <f>(SUMIF('PA-Détails'!$R$1709:$R$2514,"=" &amp;'PA-Synthèse'!$B632,'PA-Détails'!O$1709:O$2514))/1000</f>
        <v>124.3</v>
      </c>
      <c r="P632" s="626">
        <f>(SUMIF('PA-Détails'!$R$1709:$R$2514,"=" &amp;'PA-Synthèse'!$B632,'PA-Détails'!P$1709:P$2514))/1000</f>
        <v>52.5</v>
      </c>
      <c r="Q632" s="626">
        <f>(SUMIF('PA-Détails'!$R$1709:$R$2514,"=" &amp;'PA-Synthèse'!$B632,'PA-Détails'!Q$1709:Q$2514))/1000</f>
        <v>488.9</v>
      </c>
      <c r="R632" s="612">
        <f>COUNTIF('PA-Détails'!$R$1709:$R$2514,"=" &amp;'PA-Synthèse'!$B632)</f>
        <v>3</v>
      </c>
      <c r="S632" s="572" t="str">
        <f t="shared" si="144"/>
        <v xml:space="preserve">8.18.3.1 Élaboration d'un plan de communication ; 8.18.3.2 Développer des outils et des supports ; 8.18.3.3 Assurer des campagnes IEC ;  ; </v>
      </c>
      <c r="T632" s="572">
        <f t="shared" si="140"/>
        <v>3</v>
      </c>
      <c r="U632" s="572" t="s">
        <v>1349</v>
      </c>
      <c r="V632" s="572" t="s">
        <v>1350</v>
      </c>
      <c r="W632" s="572" t="s">
        <v>1351</v>
      </c>
    </row>
    <row r="633" spans="2:40" s="572" customFormat="1" hidden="1" x14ac:dyDescent="0.2">
      <c r="B633" s="623" t="s">
        <v>1141</v>
      </c>
      <c r="C633" s="624"/>
      <c r="D633" s="624"/>
      <c r="E633" s="624"/>
      <c r="F633" s="624"/>
      <c r="G633" s="624"/>
      <c r="H633" s="624"/>
      <c r="I633" s="624"/>
      <c r="J633" s="624"/>
      <c r="K633" s="624"/>
      <c r="L633" s="626">
        <f>(SUMIF('PA-Détails'!$R$1709:$R$2514,"=" &amp;'PA-Synthèse'!$B633,'PA-Détails'!L$1709:L$2514))/1000</f>
        <v>68</v>
      </c>
      <c r="M633" s="626">
        <f>(SUMIF('PA-Détails'!$R$1709:$R$2514,"=" &amp;'PA-Synthèse'!$B633,'PA-Détails'!M$1709:M$2514))/1000</f>
        <v>278</v>
      </c>
      <c r="N633" s="626">
        <f>(SUMIF('PA-Détails'!$R$1709:$R$2514,"=" &amp;'PA-Synthèse'!$B633,'PA-Détails'!N$1709:N$2514))/1000</f>
        <v>208.5</v>
      </c>
      <c r="O633" s="626">
        <f>(SUMIF('PA-Détails'!$R$1709:$R$2514,"=" &amp;'PA-Synthèse'!$B633,'PA-Détails'!O$1709:O$2514))/1000</f>
        <v>110</v>
      </c>
      <c r="P633" s="626">
        <f>(SUMIF('PA-Détails'!$R$1709:$R$2514,"=" &amp;'PA-Synthèse'!$B633,'PA-Détails'!P$1709:P$2514))/1000</f>
        <v>110</v>
      </c>
      <c r="Q633" s="626">
        <f>(SUMIF('PA-Détails'!$R$1709:$R$2514,"=" &amp;'PA-Synthèse'!$B633,'PA-Détails'!Q$1709:Q$2514))/1000</f>
        <v>774.5</v>
      </c>
      <c r="R633" s="612">
        <f>COUNTIF('PA-Détails'!$R$1709:$R$2514,"=" &amp;'PA-Synthèse'!$B633)</f>
        <v>8</v>
      </c>
      <c r="S633" s="572" t="str">
        <f t="shared" si="141"/>
        <v xml:space="preserve">8.18.1.1 Établir un diagnostic de la situation ; 8.18.1.2 Élaboration du/des document(s) de stratégie pour l'éducation à la paix à la citoyenneté ; 8.18.1.3 Élaboration et validation des plans d'action pour l'éducation à la paix, en situation d'urgence et à la citoyenneté ; 8.18.1.4 Publication et vulgarisation des plans d'action pour l'éducation à la paix et à la nouvelle citoyenneté ; 8.18.2.1 Élaboration de modules de formation et de guides pratiques ; 8.18.2.2 Élaboration d'un référentiel de cours d'éducation civique et morale et d'éducation à la nouvelle citoyenneté ; 8.18.4.1 Organisation du montage institutionnel et installation des structures provinciales ; 8.18.4.2 Renforcement des capacités ;  ;  ;  ;  ;  ;  ;  ;  ; </v>
      </c>
      <c r="T633" s="572">
        <f t="shared" si="140"/>
        <v>8</v>
      </c>
      <c r="U633" s="572" t="s">
        <v>1341</v>
      </c>
      <c r="V633" s="572" t="s">
        <v>1342</v>
      </c>
      <c r="W633" s="572" t="s">
        <v>1343</v>
      </c>
      <c r="X633" s="572" t="s">
        <v>1344</v>
      </c>
      <c r="Y633" s="572" t="s">
        <v>1346</v>
      </c>
      <c r="Z633" s="572" t="s">
        <v>1347</v>
      </c>
      <c r="AA633" s="572" t="s">
        <v>1353</v>
      </c>
      <c r="AB633" s="572" t="s">
        <v>1354</v>
      </c>
    </row>
    <row r="634" spans="2:40" s="572" customFormat="1" hidden="1" x14ac:dyDescent="0.2">
      <c r="B634" s="623" t="s">
        <v>1411</v>
      </c>
      <c r="C634" s="624"/>
      <c r="D634" s="624"/>
      <c r="E634" s="624"/>
      <c r="F634" s="624"/>
      <c r="G634" s="624"/>
      <c r="H634" s="624"/>
      <c r="I634" s="624"/>
      <c r="J634" s="624"/>
      <c r="K634" s="624"/>
      <c r="L634" s="626">
        <f>(SUMIF('PA-Détails'!$R$1709:$R$2514,"=" &amp;'PA-Synthèse'!$B634,'PA-Détails'!L$1709:L$2514))/1000</f>
        <v>0</v>
      </c>
      <c r="M634" s="626">
        <f>(SUMIF('PA-Détails'!$R$1709:$R$2514,"=" &amp;'PA-Synthèse'!$B634,'PA-Détails'!M$1709:M$2514))/1000</f>
        <v>0</v>
      </c>
      <c r="N634" s="626">
        <f>(SUMIF('PA-Détails'!$R$1709:$R$2514,"=" &amp;'PA-Synthèse'!$B634,'PA-Détails'!N$1709:N$2514))/1000</f>
        <v>14</v>
      </c>
      <c r="O634" s="626">
        <f>(SUMIF('PA-Détails'!$R$1709:$R$2514,"=" &amp;'PA-Synthèse'!$B634,'PA-Détails'!O$1709:O$2514))/1000</f>
        <v>0</v>
      </c>
      <c r="P634" s="626">
        <f>(SUMIF('PA-Détails'!$R$1709:$R$2514,"=" &amp;'PA-Synthèse'!$B634,'PA-Détails'!P$1709:P$2514))/1000</f>
        <v>0</v>
      </c>
      <c r="Q634" s="626">
        <f>(SUMIF('PA-Détails'!$R$1709:$R$2514,"=" &amp;'PA-Synthèse'!$B634,'PA-Détails'!Q$1709:Q$2514))/1000</f>
        <v>14</v>
      </c>
      <c r="R634" s="612">
        <f>COUNTIF('PA-Détails'!$R$1709:$R$2514,"=" &amp;'PA-Synthèse'!$B634)</f>
        <v>1</v>
      </c>
      <c r="S634" s="572" t="str">
        <f t="shared" ref="S634:S639" si="145">CONCATENATE(U634," ; ",V634," ; ",W634," ; ",X634," ; ",Y634)</f>
        <v xml:space="preserve">8.17.3.2 Définir les indicateurs de vulnérabilité et les modalité de leur production ;  ;  ;  ; </v>
      </c>
      <c r="T634" s="572">
        <f t="shared" si="140"/>
        <v>1</v>
      </c>
      <c r="U634" s="572" t="s">
        <v>1367</v>
      </c>
    </row>
    <row r="635" spans="2:40" s="572" customFormat="1" hidden="1" x14ac:dyDescent="0.2">
      <c r="B635" s="623" t="s">
        <v>1419</v>
      </c>
      <c r="C635" s="624"/>
      <c r="D635" s="624"/>
      <c r="E635" s="624"/>
      <c r="F635" s="624"/>
      <c r="G635" s="624"/>
      <c r="H635" s="624"/>
      <c r="I635" s="624"/>
      <c r="J635" s="624"/>
      <c r="K635" s="624"/>
      <c r="L635" s="626">
        <f>(SUMIF('PA-Détails'!$R$1709:$R$2514,"=" &amp;'PA-Synthèse'!$B635,'PA-Détails'!L$1709:L$2514))/1000</f>
        <v>0</v>
      </c>
      <c r="M635" s="626">
        <f>(SUMIF('PA-Détails'!$R$1709:$R$2514,"=" &amp;'PA-Synthèse'!$B635,'PA-Détails'!M$1709:M$2514))/1000</f>
        <v>16.25</v>
      </c>
      <c r="N635" s="626">
        <f>(SUMIF('PA-Détails'!$R$1709:$R$2514,"=" &amp;'PA-Synthèse'!$B635,'PA-Détails'!N$1709:N$2514))/1000</f>
        <v>67.5</v>
      </c>
      <c r="O635" s="626">
        <f>(SUMIF('PA-Détails'!$R$1709:$R$2514,"=" &amp;'PA-Synthèse'!$B635,'PA-Détails'!O$1709:O$2514))/1000</f>
        <v>67.5</v>
      </c>
      <c r="P635" s="626">
        <f>(SUMIF('PA-Détails'!$R$1709:$R$2514,"=" &amp;'PA-Synthèse'!$B635,'PA-Détails'!P$1709:P$2514))/1000</f>
        <v>67.5</v>
      </c>
      <c r="Q635" s="626">
        <f>(SUMIF('PA-Détails'!$R$1709:$R$2514,"=" &amp;'PA-Synthèse'!$B635,'PA-Détails'!Q$1709:Q$2514))/1000</f>
        <v>218.75</v>
      </c>
      <c r="R635" s="612">
        <f>COUNTIF('PA-Détails'!$R$1709:$R$2514,"=" &amp;'PA-Synthèse'!$B635)</f>
        <v>2</v>
      </c>
      <c r="S635" s="572" t="str">
        <f t="shared" si="145"/>
        <v xml:space="preserve">8.6.1.1 Production d'outils d'audits internes et externes ; 8.6.1.2 Opérations d'audits internes et externes ;  ;  ; </v>
      </c>
      <c r="T635" s="572">
        <f t="shared" si="140"/>
        <v>2</v>
      </c>
      <c r="U635" s="572" t="s">
        <v>1477</v>
      </c>
      <c r="V635" s="572" t="s">
        <v>1478</v>
      </c>
    </row>
    <row r="636" spans="2:40" s="572" customFormat="1" hidden="1" x14ac:dyDescent="0.2">
      <c r="B636" s="623" t="s">
        <v>1418</v>
      </c>
      <c r="C636" s="624"/>
      <c r="D636" s="624"/>
      <c r="E636" s="624"/>
      <c r="F636" s="624"/>
      <c r="G636" s="624"/>
      <c r="H636" s="624"/>
      <c r="I636" s="624"/>
      <c r="J636" s="624"/>
      <c r="K636" s="624"/>
      <c r="L636" s="626">
        <f>(SUMIF('PA-Détails'!$R$1709:$R$2514,"=" &amp;'PA-Synthèse'!$B636,'PA-Détails'!L$1709:L$2514))/1000</f>
        <v>26</v>
      </c>
      <c r="M636" s="626">
        <f>(SUMIF('PA-Détails'!$R$1709:$R$2514,"=" &amp;'PA-Synthèse'!$B636,'PA-Détails'!M$1709:M$2514))/1000</f>
        <v>26</v>
      </c>
      <c r="N636" s="626">
        <f>(SUMIF('PA-Détails'!$R$1709:$R$2514,"=" &amp;'PA-Synthèse'!$B636,'PA-Détails'!N$1709:N$2514))/1000</f>
        <v>0</v>
      </c>
      <c r="O636" s="626">
        <f>(SUMIF('PA-Détails'!$R$1709:$R$2514,"=" &amp;'PA-Synthèse'!$B636,'PA-Détails'!O$1709:O$2514))/1000</f>
        <v>0</v>
      </c>
      <c r="P636" s="626">
        <f>(SUMIF('PA-Détails'!$R$1709:$R$2514,"=" &amp;'PA-Synthèse'!$B636,'PA-Détails'!P$1709:P$2514))/1000</f>
        <v>0</v>
      </c>
      <c r="Q636" s="626">
        <f>(SUMIF('PA-Détails'!$R$1709:$R$2514,"=" &amp;'PA-Synthèse'!$B636,'PA-Détails'!Q$1709:Q$2514))/1000</f>
        <v>52</v>
      </c>
      <c r="R636" s="612">
        <f>COUNTIF('PA-Détails'!$R$1709:$R$2514,"=" &amp;'PA-Synthèse'!$B636)</f>
        <v>1</v>
      </c>
      <c r="S636" s="572" t="str">
        <f t="shared" si="145"/>
        <v xml:space="preserve">8.7.2.1 Élaboration et diffusion des projets d'établissement ;  ;  ;  ; </v>
      </c>
      <c r="T636" s="572">
        <f t="shared" si="140"/>
        <v>1</v>
      </c>
      <c r="U636" s="572" t="s">
        <v>1232</v>
      </c>
    </row>
    <row r="637" spans="2:40" s="572" customFormat="1" hidden="1" x14ac:dyDescent="0.2">
      <c r="B637" s="623" t="s">
        <v>1412</v>
      </c>
      <c r="C637" s="624"/>
      <c r="D637" s="624"/>
      <c r="E637" s="624"/>
      <c r="F637" s="624"/>
      <c r="G637" s="624"/>
      <c r="H637" s="624"/>
      <c r="I637" s="624"/>
      <c r="J637" s="624"/>
      <c r="K637" s="624"/>
      <c r="L637" s="626">
        <f>(SUMIF('PA-Détails'!$R$1709:$R$2514,"=" &amp;'PA-Synthèse'!$B637,'PA-Détails'!L$1709:L$2514))/1000</f>
        <v>34.25</v>
      </c>
      <c r="M637" s="626">
        <f>(SUMIF('PA-Détails'!$R$1709:$R$2514,"=" &amp;'PA-Synthèse'!$B637,'PA-Détails'!M$1709:M$2514))/1000</f>
        <v>48</v>
      </c>
      <c r="N637" s="626">
        <f>(SUMIF('PA-Détails'!$R$1709:$R$2514,"=" &amp;'PA-Synthèse'!$B637,'PA-Détails'!N$1709:N$2514))/1000</f>
        <v>0</v>
      </c>
      <c r="O637" s="626">
        <f>(SUMIF('PA-Détails'!$R$1709:$R$2514,"=" &amp;'PA-Synthèse'!$B637,'PA-Détails'!O$1709:O$2514))/1000</f>
        <v>0</v>
      </c>
      <c r="P637" s="626">
        <f>(SUMIF('PA-Détails'!$R$1709:$R$2514,"=" &amp;'PA-Synthèse'!$B637,'PA-Détails'!P$1709:P$2514))/1000</f>
        <v>0</v>
      </c>
      <c r="Q637" s="626">
        <f>(SUMIF('PA-Détails'!$R$1709:$R$2514,"=" &amp;'PA-Synthèse'!$B637,'PA-Détails'!Q$1709:Q$2514))/1000</f>
        <v>82.25</v>
      </c>
      <c r="R637" s="612">
        <f>COUNTIF('PA-Détails'!$R$1709:$R$2514,"=" &amp;'PA-Synthèse'!$B637)</f>
        <v>3</v>
      </c>
      <c r="S637" s="572" t="str">
        <f t="shared" si="145"/>
        <v xml:space="preserve">8.14.5.1 Révision des programmes à tous les niveaux pour éliminer les stéréotypes et intégrer la dimension genre ; 8.14.5.2 Élaboration d'un guide méthodologique de révision des manuels scolaires ; 8.14.5.3 Réviser les manuels pour éliminer les stéréotypes et intégrer la dimension genre ;  ; </v>
      </c>
      <c r="T637" s="572">
        <f t="shared" si="140"/>
        <v>3</v>
      </c>
      <c r="U637" s="572" t="s">
        <v>1307</v>
      </c>
      <c r="V637" s="572" t="s">
        <v>1308</v>
      </c>
      <c r="W637" s="572" t="s">
        <v>1309</v>
      </c>
    </row>
    <row r="638" spans="2:40" s="572" customFormat="1" hidden="1" x14ac:dyDescent="0.2">
      <c r="B638" s="623" t="s">
        <v>1139</v>
      </c>
      <c r="C638" s="624"/>
      <c r="D638" s="624"/>
      <c r="E638" s="624"/>
      <c r="F638" s="624"/>
      <c r="G638" s="624"/>
      <c r="H638" s="624"/>
      <c r="I638" s="624"/>
      <c r="J638" s="624"/>
      <c r="K638" s="624"/>
      <c r="L638" s="626">
        <f>(SUMIF('PA-Détails'!$R$1709:$R$2514,"=" &amp;'PA-Synthèse'!$B638,'PA-Détails'!L$1709:L$2514))/1000</f>
        <v>0</v>
      </c>
      <c r="M638" s="626">
        <f>(SUMIF('PA-Détails'!$R$1709:$R$2514,"=" &amp;'PA-Synthèse'!$B638,'PA-Détails'!M$1709:M$2514))/1000</f>
        <v>19.600000000000001</v>
      </c>
      <c r="N638" s="626">
        <f>(SUMIF('PA-Détails'!$R$1709:$R$2514,"=" &amp;'PA-Synthèse'!$B638,'PA-Détails'!N$1709:N$2514))/1000</f>
        <v>0</v>
      </c>
      <c r="O638" s="626">
        <f>(SUMIF('PA-Détails'!$R$1709:$R$2514,"=" &amp;'PA-Synthèse'!$B638,'PA-Détails'!O$1709:O$2514))/1000</f>
        <v>0</v>
      </c>
      <c r="P638" s="626">
        <f>(SUMIF('PA-Détails'!$R$1709:$R$2514,"=" &amp;'PA-Synthèse'!$B638,'PA-Détails'!P$1709:P$2514))/1000</f>
        <v>0</v>
      </c>
      <c r="Q638" s="626">
        <f>(SUMIF('PA-Détails'!$R$1709:$R$2514,"=" &amp;'PA-Synthèse'!$B638,'PA-Détails'!Q$1709:Q$2514))/1000</f>
        <v>19.600000000000001</v>
      </c>
      <c r="R638" s="612">
        <f>COUNTIF('PA-Détails'!$R$1709:$R$2514,"=" &amp;'PA-Synthèse'!$B638)</f>
        <v>1</v>
      </c>
      <c r="S638" s="572" t="str">
        <f t="shared" si="145"/>
        <v xml:space="preserve">8.17.6.1 Révision des programmes en intégrant les principes de réduction des risques ;  ;  ;  ; </v>
      </c>
      <c r="T638" s="572">
        <f t="shared" si="140"/>
        <v>1</v>
      </c>
      <c r="U638" s="572" t="s">
        <v>1373</v>
      </c>
    </row>
    <row r="639" spans="2:40" s="572" customFormat="1" hidden="1" x14ac:dyDescent="0.2">
      <c r="B639" s="623" t="s">
        <v>1140</v>
      </c>
      <c r="C639" s="624"/>
      <c r="D639" s="624"/>
      <c r="E639" s="624"/>
      <c r="F639" s="624"/>
      <c r="G639" s="624"/>
      <c r="H639" s="624"/>
      <c r="I639" s="624"/>
      <c r="J639" s="624"/>
      <c r="K639" s="624"/>
      <c r="L639" s="626">
        <f>(SUMIF('PA-Détails'!$R$1709:$R$2514,"=" &amp;'PA-Synthèse'!$B639,'PA-Détails'!L$1709:L$2514))/1000</f>
        <v>46</v>
      </c>
      <c r="M639" s="626">
        <f>(SUMIF('PA-Détails'!$R$1709:$R$2514,"=" &amp;'PA-Synthèse'!$B639,'PA-Détails'!M$1709:M$2514))/1000</f>
        <v>0</v>
      </c>
      <c r="N639" s="626">
        <f>(SUMIF('PA-Détails'!$R$1709:$R$2514,"=" &amp;'PA-Synthèse'!$B639,'PA-Détails'!N$1709:N$2514))/1000</f>
        <v>0</v>
      </c>
      <c r="O639" s="626">
        <f>(SUMIF('PA-Détails'!$R$1709:$R$2514,"=" &amp;'PA-Synthèse'!$B639,'PA-Détails'!O$1709:O$2514))/1000</f>
        <v>0</v>
      </c>
      <c r="P639" s="626">
        <f>(SUMIF('PA-Détails'!$R$1709:$R$2514,"=" &amp;'PA-Synthèse'!$B639,'PA-Détails'!P$1709:P$2514))/1000</f>
        <v>0</v>
      </c>
      <c r="Q639" s="626">
        <f>(SUMIF('PA-Détails'!$R$1709:$R$2514,"=" &amp;'PA-Synthèse'!$B639,'PA-Détails'!Q$1709:Q$2514))/1000</f>
        <v>46</v>
      </c>
      <c r="R639" s="612">
        <f>COUNTIF('PA-Détails'!$R$1709:$R$2514,"=" &amp;'PA-Synthèse'!$B639)</f>
        <v>2</v>
      </c>
      <c r="S639" s="572" t="str">
        <f t="shared" si="145"/>
        <v xml:space="preserve">8.17.4.1 Organisation du montage institutionnel et installation des structures provinciales ; 8.17.5.1 Élaboration et validation du plan d'action pour les zones à risque ;  ;  ; </v>
      </c>
      <c r="T639" s="572">
        <f t="shared" si="140"/>
        <v>2</v>
      </c>
      <c r="U639" s="572" t="s">
        <v>1369</v>
      </c>
      <c r="V639" s="572" t="s">
        <v>1371</v>
      </c>
    </row>
    <row r="640" spans="2:40" s="572" customFormat="1" hidden="1" x14ac:dyDescent="0.2">
      <c r="B640" s="623" t="s">
        <v>1415</v>
      </c>
      <c r="C640" s="624"/>
      <c r="D640" s="624"/>
      <c r="E640" s="624"/>
      <c r="F640" s="624"/>
      <c r="G640" s="624"/>
      <c r="H640" s="624"/>
      <c r="I640" s="624"/>
      <c r="J640" s="624"/>
      <c r="K640" s="624"/>
      <c r="L640" s="626">
        <f>(SUMIF('PA-Détails'!$R$1709:$R$2514,"=" &amp;'PA-Synthèse'!$B640,'PA-Détails'!L$1709:L$2514))/1000</f>
        <v>581.15</v>
      </c>
      <c r="M640" s="626">
        <f>(SUMIF('PA-Détails'!$R$1709:$R$2514,"=" &amp;'PA-Synthèse'!$B640,'PA-Détails'!M$1709:M$2514))/1000</f>
        <v>815.3</v>
      </c>
      <c r="N640" s="626">
        <f>(SUMIF('PA-Détails'!$R$1709:$R$2514,"=" &amp;'PA-Synthèse'!$B640,'PA-Détails'!N$1709:N$2514))/1000</f>
        <v>593</v>
      </c>
      <c r="O640" s="626">
        <f>(SUMIF('PA-Détails'!$R$1709:$R$2514,"=" &amp;'PA-Synthèse'!$B640,'PA-Détails'!O$1709:O$2514))/1000</f>
        <v>593</v>
      </c>
      <c r="P640" s="626">
        <f>(SUMIF('PA-Détails'!$R$1709:$R$2514,"=" &amp;'PA-Synthèse'!$B640,'PA-Détails'!P$1709:P$2514))/1000</f>
        <v>558</v>
      </c>
      <c r="Q640" s="626">
        <f>(SUMIF('PA-Détails'!$R$1709:$R$2514,"=" &amp;'PA-Synthèse'!$B640,'PA-Détails'!Q$1709:Q$2514))/1000</f>
        <v>3140.45</v>
      </c>
      <c r="R640" s="612">
        <f>COUNTIF('PA-Détails'!$R$1709:$R$2514,"=" &amp;'PA-Synthèse'!$B640)</f>
        <v>11</v>
      </c>
      <c r="S640" s="572" t="str">
        <f t="shared" si="141"/>
        <v xml:space="preserve">8.10.1.1 Définition des prérogatives et de la composition du Comité scientifique ; 8.10.1.2 Mise en place du Comité scientifique ; 8.10.2.1 Mise en place de la réforme des curricula aux différents et entre les niveaux ; 8.10.2.2 Étude sur l'harmonisation des profils de sortie ; 8.10.3.1 Élaboration de modules de formation ; 8.11.2.1 Mise en place d'une Cellule indépendante de l'évaluation des acquis scolaires ; 8.11.2.2 Développement des outils d'évaluation ; 8.11.2.3 Administration des évaluations nationales et fonctionnement de la Cellule ; 8.11.4.1 Élaboration des guides de diagnostic par type d'établissement ; 8.11.4.2 Acquisition et diffusion des guides de diagnostic ; 8.11.5.1 Élaboration d'un module de formation aux guides de diagnostic ;  ;  ;  ;  ;  ; </v>
      </c>
      <c r="T640" s="572">
        <f t="shared" si="140"/>
        <v>11</v>
      </c>
      <c r="U640" s="572" t="s">
        <v>1247</v>
      </c>
      <c r="V640" s="572" t="s">
        <v>1248</v>
      </c>
      <c r="W640" s="572" t="s">
        <v>1250</v>
      </c>
      <c r="X640" s="572" t="s">
        <v>1251</v>
      </c>
      <c r="Y640" s="572" t="s">
        <v>1466</v>
      </c>
      <c r="Z640" s="572" t="s">
        <v>1258</v>
      </c>
      <c r="AA640" s="572" t="s">
        <v>1259</v>
      </c>
      <c r="AB640" s="572" t="s">
        <v>1260</v>
      </c>
      <c r="AC640" s="572" t="s">
        <v>1266</v>
      </c>
      <c r="AD640" s="572" t="s">
        <v>1267</v>
      </c>
      <c r="AE640" s="572" t="s">
        <v>1362</v>
      </c>
    </row>
    <row r="641" spans="2:23" s="572" customFormat="1" hidden="1" x14ac:dyDescent="0.2">
      <c r="B641" s="623" t="s">
        <v>1414</v>
      </c>
      <c r="C641" s="624"/>
      <c r="D641" s="624"/>
      <c r="E641" s="624"/>
      <c r="F641" s="624"/>
      <c r="G641" s="624"/>
      <c r="H641" s="624"/>
      <c r="I641" s="624"/>
      <c r="J641" s="624"/>
      <c r="K641" s="624"/>
      <c r="L641" s="626">
        <f>(SUMIF('PA-Détails'!$R$1709:$R$2514,"=" &amp;'PA-Synthèse'!$B641,'PA-Détails'!L$1709:L$2514))/1000</f>
        <v>0</v>
      </c>
      <c r="M641" s="626">
        <f>(SUMIF('PA-Détails'!$R$1709:$R$2514,"=" &amp;'PA-Synthèse'!$B641,'PA-Détails'!M$1709:M$2514))/1000</f>
        <v>47.5</v>
      </c>
      <c r="N641" s="626">
        <f>(SUMIF('PA-Détails'!$R$1709:$R$2514,"=" &amp;'PA-Synthèse'!$B641,'PA-Détails'!N$1709:N$2514))/1000</f>
        <v>0</v>
      </c>
      <c r="O641" s="626">
        <f>(SUMIF('PA-Détails'!$R$1709:$R$2514,"=" &amp;'PA-Synthèse'!$B641,'PA-Détails'!O$1709:O$2514))/1000</f>
        <v>0</v>
      </c>
      <c r="P641" s="626">
        <f>(SUMIF('PA-Détails'!$R$1709:$R$2514,"=" &amp;'PA-Synthèse'!$B641,'PA-Détails'!P$1709:P$2514))/1000</f>
        <v>0</v>
      </c>
      <c r="Q641" s="626">
        <f>(SUMIF('PA-Détails'!$R$1709:$R$2514,"=" &amp;'PA-Synthèse'!$B641,'PA-Détails'!Q$1709:Q$2514))/1000</f>
        <v>47.5</v>
      </c>
      <c r="R641" s="612">
        <f>COUNTIF('PA-Détails'!$R$1709:$R$2514,"=" &amp;'PA-Synthèse'!$B641)</f>
        <v>1</v>
      </c>
      <c r="S641" s="572" t="str">
        <f t="shared" ref="S641:S650" si="146">CONCATENATE(U641," ; ",V641," ; ",W641," ; ",X641," ; ",Y641)</f>
        <v xml:space="preserve">8.12.1.1 Étude sur la mise en place de passerelles entre les filières ;  ;  ;  ; </v>
      </c>
      <c r="T641" s="572">
        <f t="shared" si="140"/>
        <v>1</v>
      </c>
      <c r="U641" s="572" t="s">
        <v>1468</v>
      </c>
    </row>
    <row r="642" spans="2:23" s="572" customFormat="1" hidden="1" x14ac:dyDescent="0.2">
      <c r="B642" s="623" t="s">
        <v>1417</v>
      </c>
      <c r="C642" s="624"/>
      <c r="D642" s="624"/>
      <c r="E642" s="624"/>
      <c r="F642" s="624"/>
      <c r="G642" s="624"/>
      <c r="H642" s="624"/>
      <c r="I642" s="624"/>
      <c r="J642" s="624"/>
      <c r="K642" s="624"/>
      <c r="L642" s="626">
        <f>(SUMIF('PA-Détails'!$R$1709:$R$2514,"=" &amp;'PA-Synthèse'!$B642,'PA-Détails'!L$1709:L$2514))/1000</f>
        <v>54</v>
      </c>
      <c r="M642" s="626">
        <f>(SUMIF('PA-Détails'!$R$1709:$R$2514,"=" &amp;'PA-Synthèse'!$B642,'PA-Détails'!M$1709:M$2514))/1000</f>
        <v>54</v>
      </c>
      <c r="N642" s="626">
        <f>(SUMIF('PA-Détails'!$R$1709:$R$2514,"=" &amp;'PA-Synthèse'!$B642,'PA-Détails'!N$1709:N$2514))/1000</f>
        <v>54</v>
      </c>
      <c r="O642" s="626">
        <f>(SUMIF('PA-Détails'!$R$1709:$R$2514,"=" &amp;'PA-Synthèse'!$B642,'PA-Détails'!O$1709:O$2514))/1000</f>
        <v>0</v>
      </c>
      <c r="P642" s="626">
        <f>(SUMIF('PA-Détails'!$R$1709:$R$2514,"=" &amp;'PA-Synthèse'!$B642,'PA-Détails'!P$1709:P$2514))/1000</f>
        <v>0</v>
      </c>
      <c r="Q642" s="626">
        <f>(SUMIF('PA-Détails'!$R$1709:$R$2514,"=" &amp;'PA-Synthèse'!$B642,'PA-Détails'!Q$1709:Q$2514))/1000</f>
        <v>162</v>
      </c>
      <c r="R642" s="612">
        <f>COUNTIF('PA-Détails'!$R$1709:$R$2514,"=" &amp;'PA-Synthèse'!$B642)</f>
        <v>1</v>
      </c>
      <c r="S642" s="572" t="str">
        <f t="shared" si="146"/>
        <v xml:space="preserve">8.9.3.1 Formation et échange d'expérience entre différents COGES et COPA ;  ;  ;  ; </v>
      </c>
      <c r="T642" s="572">
        <f t="shared" si="140"/>
        <v>1</v>
      </c>
      <c r="U642" s="572" t="s">
        <v>1481</v>
      </c>
    </row>
    <row r="643" spans="2:23" s="572" customFormat="1" hidden="1" x14ac:dyDescent="0.2">
      <c r="B643" s="623" t="s">
        <v>1416</v>
      </c>
      <c r="C643" s="624"/>
      <c r="D643" s="624"/>
      <c r="E643" s="624"/>
      <c r="F643" s="624"/>
      <c r="G643" s="624"/>
      <c r="H643" s="624"/>
      <c r="I643" s="624"/>
      <c r="J643" s="624"/>
      <c r="K643" s="624"/>
      <c r="L643" s="626">
        <f>(SUMIF('PA-Détails'!$R$1709:$R$2514,"=" &amp;'PA-Synthèse'!$B643,'PA-Détails'!L$1709:L$2514))/1000</f>
        <v>9.5</v>
      </c>
      <c r="M643" s="626">
        <f>(SUMIF('PA-Détails'!$R$1709:$R$2514,"=" &amp;'PA-Synthèse'!$B643,'PA-Détails'!M$1709:M$2514))/1000</f>
        <v>161.80000000000001</v>
      </c>
      <c r="N643" s="626">
        <f>(SUMIF('PA-Détails'!$R$1709:$R$2514,"=" &amp;'PA-Synthèse'!$B643,'PA-Détails'!N$1709:N$2514))/1000</f>
        <v>0</v>
      </c>
      <c r="O643" s="626">
        <f>(SUMIF('PA-Détails'!$R$1709:$R$2514,"=" &amp;'PA-Synthèse'!$B643,'PA-Détails'!O$1709:O$2514))/1000</f>
        <v>0</v>
      </c>
      <c r="P643" s="626">
        <f>(SUMIF('PA-Détails'!$R$1709:$R$2514,"=" &amp;'PA-Synthèse'!$B643,'PA-Détails'!P$1709:P$2514))/1000</f>
        <v>0</v>
      </c>
      <c r="Q643" s="626">
        <f>(SUMIF('PA-Détails'!$R$1709:$R$2514,"=" &amp;'PA-Synthèse'!$B643,'PA-Détails'!Q$1709:Q$2514))/1000</f>
        <v>171.3</v>
      </c>
      <c r="R643" s="612">
        <f>COUNTIF('PA-Détails'!$R$1709:$R$2514,"=" &amp;'PA-Synthèse'!$B643)</f>
        <v>3</v>
      </c>
      <c r="S643" s="572" t="str">
        <f t="shared" si="146"/>
        <v xml:space="preserve">8.12.2.1 Étude sur la création de services d'orientation dans le secondaire ; 8.9.1.1 Élaboration et mise en place d'une nouvelle convention ; 8.9.2.1 Révision et mise à jour des textes réglementaires ;  ; </v>
      </c>
      <c r="T643" s="572">
        <f t="shared" si="140"/>
        <v>3</v>
      </c>
      <c r="U643" s="572" t="s">
        <v>1274</v>
      </c>
      <c r="V643" s="572" t="s">
        <v>1241</v>
      </c>
      <c r="W643" s="572" t="s">
        <v>1243</v>
      </c>
    </row>
    <row r="644" spans="2:23" s="572" customFormat="1" hidden="1" x14ac:dyDescent="0.2">
      <c r="B644" s="623" t="s">
        <v>1431</v>
      </c>
      <c r="C644" s="624"/>
      <c r="D644" s="624"/>
      <c r="E644" s="624"/>
      <c r="F644" s="624"/>
      <c r="G644" s="624"/>
      <c r="H644" s="624"/>
      <c r="I644" s="624"/>
      <c r="J644" s="624"/>
      <c r="K644" s="624"/>
      <c r="L644" s="626">
        <f>(SUMIF('PA-Détails'!$R$1709:$R$2514,"=" &amp;'PA-Synthèse'!$B644,'PA-Détails'!L$1709:L$2514))/1000</f>
        <v>0</v>
      </c>
      <c r="M644" s="626">
        <f>(SUMIF('PA-Détails'!$R$1709:$R$2514,"=" &amp;'PA-Synthèse'!$B644,'PA-Détails'!M$1709:M$2514))/1000</f>
        <v>10.9</v>
      </c>
      <c r="N644" s="626">
        <f>(SUMIF('PA-Détails'!$R$1709:$R$2514,"=" &amp;'PA-Synthèse'!$B644,'PA-Détails'!N$1709:N$2514))/1000</f>
        <v>0</v>
      </c>
      <c r="O644" s="626">
        <f>(SUMIF('PA-Détails'!$R$1709:$R$2514,"=" &amp;'PA-Synthèse'!$B644,'PA-Détails'!O$1709:O$2514))/1000</f>
        <v>0</v>
      </c>
      <c r="P644" s="626">
        <f>(SUMIF('PA-Détails'!$R$1709:$R$2514,"=" &amp;'PA-Synthèse'!$B644,'PA-Détails'!P$1709:P$2514))/1000</f>
        <v>0</v>
      </c>
      <c r="Q644" s="626">
        <f>(SUMIF('PA-Détails'!$R$1709:$R$2514,"=" &amp;'PA-Synthèse'!$B644,'PA-Détails'!Q$1709:Q$2514))/1000</f>
        <v>10.9</v>
      </c>
      <c r="R644" s="612">
        <f>COUNTIF('PA-Détails'!$R$1709:$R$2514,"=" &amp;'PA-Synthèse'!$B644)</f>
        <v>3</v>
      </c>
      <c r="S644" s="572" t="str">
        <f t="shared" si="146"/>
        <v xml:space="preserve">8.15.1.1 Préparation d'une circulaire/instruction académique par le Ministre portant interdiction de toute mobilité pendant l'année scolaire/académique ; 8.15.1.2 Vulgarisation et suivi de l'application de la circulaire/instruction académique ; 8.15.3.1 Définition des dispositions d'imposition de rattrapage des heures perdues ;  ; </v>
      </c>
      <c r="T644" s="572">
        <f t="shared" si="140"/>
        <v>3</v>
      </c>
      <c r="U644" s="572" t="s">
        <v>1470</v>
      </c>
      <c r="V644" s="572" t="s">
        <v>1314</v>
      </c>
      <c r="W644" s="572" t="s">
        <v>1318</v>
      </c>
    </row>
    <row r="645" spans="2:23" s="572" customFormat="1" hidden="1" x14ac:dyDescent="0.2">
      <c r="B645" s="623" t="s">
        <v>1426</v>
      </c>
      <c r="C645" s="624"/>
      <c r="D645" s="624"/>
      <c r="E645" s="624"/>
      <c r="F645" s="624"/>
      <c r="G645" s="624"/>
      <c r="H645" s="624"/>
      <c r="I645" s="624"/>
      <c r="J645" s="624"/>
      <c r="K645" s="624"/>
      <c r="L645" s="626">
        <f>(SUMIF('PA-Détails'!$R$1709:$R$2514,"=" &amp;'PA-Synthèse'!$B645,'PA-Détails'!L$1709:L$2514))/1000</f>
        <v>84</v>
      </c>
      <c r="M645" s="626">
        <f>(SUMIF('PA-Détails'!$R$1709:$R$2514,"=" &amp;'PA-Synthèse'!$B645,'PA-Détails'!M$1709:M$2514))/1000</f>
        <v>84</v>
      </c>
      <c r="N645" s="626">
        <f>(SUMIF('PA-Détails'!$R$1709:$R$2514,"=" &amp;'PA-Synthèse'!$B645,'PA-Détails'!N$1709:N$2514))/1000</f>
        <v>0</v>
      </c>
      <c r="O645" s="626">
        <f>(SUMIF('PA-Détails'!$R$1709:$R$2514,"=" &amp;'PA-Synthèse'!$B645,'PA-Détails'!O$1709:O$2514))/1000</f>
        <v>0</v>
      </c>
      <c r="P645" s="626">
        <f>(SUMIF('PA-Détails'!$R$1709:$R$2514,"=" &amp;'PA-Synthèse'!$B645,'PA-Détails'!P$1709:P$2514))/1000</f>
        <v>0</v>
      </c>
      <c r="Q645" s="626">
        <f>(SUMIF('PA-Détails'!$R$1709:$R$2514,"=" &amp;'PA-Synthèse'!$B645,'PA-Détails'!Q$1709:Q$2514))/1000</f>
        <v>168</v>
      </c>
      <c r="R645" s="612">
        <f>COUNTIF('PA-Détails'!$R$1709:$R$2514,"=" &amp;'PA-Synthèse'!$B645)</f>
        <v>1</v>
      </c>
      <c r="S645" s="572" t="str">
        <f t="shared" si="146"/>
        <v xml:space="preserve">8.7.1.1 Accompagnement des structures dans l'élaboration d'un projet a l'EPSINC ;  ;  ;  ; </v>
      </c>
      <c r="T645" s="572">
        <f t="shared" si="140"/>
        <v>1</v>
      </c>
      <c r="U645" s="572" t="s">
        <v>1228</v>
      </c>
    </row>
    <row r="646" spans="2:23" s="572" customFormat="1" hidden="1" x14ac:dyDescent="0.2">
      <c r="B646" s="623" t="s">
        <v>1432</v>
      </c>
      <c r="C646" s="624"/>
      <c r="D646" s="624"/>
      <c r="E646" s="624"/>
      <c r="F646" s="624"/>
      <c r="G646" s="624"/>
      <c r="H646" s="624"/>
      <c r="I646" s="624"/>
      <c r="J646" s="624"/>
      <c r="K646" s="624"/>
      <c r="L646" s="625">
        <f>(SUMIF('PA-Détails'!$R$1709:$R$2514,"=" &amp;'PA-Synthèse'!$B646,'PA-Détails'!L$1709:L$2514))/1000</f>
        <v>0</v>
      </c>
      <c r="M646" s="625">
        <f>(SUMIF('PA-Détails'!$R$1709:$R$2514,"=" &amp;'PA-Synthèse'!$B646,'PA-Détails'!M$1709:M$2514))/1000</f>
        <v>0</v>
      </c>
      <c r="N646" s="625">
        <f>(SUMIF('PA-Détails'!$R$1709:$R$2514,"=" &amp;'PA-Synthèse'!$B646,'PA-Détails'!N$1709:N$2514))/1000</f>
        <v>13</v>
      </c>
      <c r="O646" s="625">
        <f>(SUMIF('PA-Détails'!$R$1709:$R$2514,"=" &amp;'PA-Synthèse'!$B646,'PA-Détails'!O$1709:O$2514))/1000</f>
        <v>0</v>
      </c>
      <c r="P646" s="625">
        <f>(SUMIF('PA-Détails'!$R$1709:$R$2514,"=" &amp;'PA-Synthèse'!$B646,'PA-Détails'!P$1709:P$2514))/1000</f>
        <v>0</v>
      </c>
      <c r="Q646" s="625">
        <f>(SUMIF('PA-Détails'!$R$1709:$R$2514,"=" &amp;'PA-Synthèse'!$B646,'PA-Détails'!Q$1709:Q$2514))/1000</f>
        <v>13</v>
      </c>
      <c r="R646" s="612">
        <f>COUNTIF('PA-Détails'!$R$1709:$R$2514,"=" &amp;'PA-Synthèse'!$B646)</f>
        <v>1</v>
      </c>
      <c r="S646" s="572" t="str">
        <f t="shared" si="146"/>
        <v xml:space="preserve">8.15.2.1 Identifier des solutions pour le paiement des enseignants ;  ;  ;  ; </v>
      </c>
      <c r="T646" s="572">
        <f t="shared" si="140"/>
        <v>1</v>
      </c>
      <c r="U646" s="572" t="s">
        <v>1471</v>
      </c>
    </row>
    <row r="647" spans="2:23" s="572" customFormat="1" hidden="1" x14ac:dyDescent="0.2">
      <c r="B647" s="623" t="s">
        <v>1428</v>
      </c>
      <c r="C647" s="624"/>
      <c r="D647" s="624"/>
      <c r="E647" s="624"/>
      <c r="F647" s="624"/>
      <c r="G647" s="624"/>
      <c r="H647" s="624"/>
      <c r="I647" s="624"/>
      <c r="J647" s="624"/>
      <c r="K647" s="624"/>
      <c r="L647" s="625">
        <f>(SUMIF('PA-Détails'!$R$1709:$R$2514,"=" &amp;'PA-Synthèse'!$B647,'PA-Détails'!L$1709:L$2514))/1000</f>
        <v>27</v>
      </c>
      <c r="M647" s="625">
        <f>(SUMIF('PA-Détails'!$R$1709:$R$2514,"=" &amp;'PA-Synthèse'!$B647,'PA-Détails'!M$1709:M$2514))/1000</f>
        <v>27</v>
      </c>
      <c r="N647" s="625">
        <f>(SUMIF('PA-Détails'!$R$1709:$R$2514,"=" &amp;'PA-Synthèse'!$B647,'PA-Détails'!N$1709:N$2514))/1000</f>
        <v>0</v>
      </c>
      <c r="O647" s="625">
        <f>(SUMIF('PA-Détails'!$R$1709:$R$2514,"=" &amp;'PA-Synthèse'!$B647,'PA-Détails'!O$1709:O$2514))/1000</f>
        <v>0</v>
      </c>
      <c r="P647" s="625">
        <f>(SUMIF('PA-Détails'!$R$1709:$R$2514,"=" &amp;'PA-Synthèse'!$B647,'PA-Détails'!P$1709:P$2514))/1000</f>
        <v>0</v>
      </c>
      <c r="Q647" s="625">
        <f>(SUMIF('PA-Détails'!$R$1709:$R$2514,"=" &amp;'PA-Synthèse'!$B647,'PA-Détails'!Q$1709:Q$2514))/1000</f>
        <v>54</v>
      </c>
      <c r="R647" s="612">
        <f>COUNTIF('PA-Détails'!$R$1709:$R$2514,"=" &amp;'PA-Synthèse'!$B647)</f>
        <v>1</v>
      </c>
      <c r="S647" s="572" t="str">
        <f t="shared" si="146"/>
        <v xml:space="preserve">8.7.1.3 Accompagnement des structures dans l'élaboration d'un projet de l'ETP ;  ;  ;  ; </v>
      </c>
      <c r="T647" s="572">
        <f t="shared" si="140"/>
        <v>1</v>
      </c>
      <c r="U647" s="572" t="s">
        <v>1480</v>
      </c>
    </row>
    <row r="648" spans="2:23" s="572" customFormat="1" hidden="1" x14ac:dyDescent="0.2">
      <c r="B648" s="623" t="s">
        <v>1427</v>
      </c>
      <c r="C648" s="624"/>
      <c r="D648" s="624"/>
      <c r="E648" s="624"/>
      <c r="F648" s="624"/>
      <c r="G648" s="624"/>
      <c r="H648" s="624"/>
      <c r="I648" s="624"/>
      <c r="J648" s="624"/>
      <c r="K648" s="624"/>
      <c r="L648" s="625">
        <f>(SUMIF('PA-Détails'!$R$1709:$R$2514,"=" &amp;'PA-Synthèse'!$B648,'PA-Détails'!L$1709:L$2514))/1000</f>
        <v>27</v>
      </c>
      <c r="M648" s="625">
        <f>(SUMIF('PA-Détails'!$R$1709:$R$2514,"=" &amp;'PA-Synthèse'!$B648,'PA-Détails'!M$1709:M$2514))/1000</f>
        <v>27</v>
      </c>
      <c r="N648" s="625">
        <f>(SUMIF('PA-Détails'!$R$1709:$R$2514,"=" &amp;'PA-Synthèse'!$B648,'PA-Détails'!N$1709:N$2514))/1000</f>
        <v>0</v>
      </c>
      <c r="O648" s="625">
        <f>(SUMIF('PA-Détails'!$R$1709:$R$2514,"=" &amp;'PA-Synthèse'!$B648,'PA-Détails'!O$1709:O$2514))/1000</f>
        <v>0</v>
      </c>
      <c r="P648" s="625">
        <f>(SUMIF('PA-Détails'!$R$1709:$R$2514,"=" &amp;'PA-Synthèse'!$B648,'PA-Détails'!P$1709:P$2514))/1000</f>
        <v>0</v>
      </c>
      <c r="Q648" s="625">
        <f>(SUMIF('PA-Détails'!$R$1709:$R$2514,"=" &amp;'PA-Synthèse'!$B648,'PA-Détails'!Q$1709:Q$2514))/1000</f>
        <v>54</v>
      </c>
      <c r="R648" s="612">
        <f>COUNTIF('PA-Détails'!$R$1709:$R$2514,"=" &amp;'PA-Synthèse'!$B648)</f>
        <v>1</v>
      </c>
      <c r="S648" s="572" t="str">
        <f t="shared" si="146"/>
        <v xml:space="preserve">8.7.1.2 Accompagnement des structures dans l'élaboration d'un projet au MAS ;  ;  ;  ; </v>
      </c>
      <c r="T648" s="572">
        <f t="shared" si="140"/>
        <v>1</v>
      </c>
      <c r="U648" s="572" t="s">
        <v>1229</v>
      </c>
    </row>
    <row r="649" spans="2:23" s="572" customFormat="1" hidden="1" x14ac:dyDescent="0.2">
      <c r="B649" s="623" t="s">
        <v>1413</v>
      </c>
      <c r="C649" s="624"/>
      <c r="D649" s="624"/>
      <c r="E649" s="624"/>
      <c r="F649" s="624"/>
      <c r="G649" s="624"/>
      <c r="H649" s="624"/>
      <c r="I649" s="624"/>
      <c r="J649" s="624"/>
      <c r="K649" s="624"/>
      <c r="L649" s="625">
        <f>(SUMIF('PA-Détails'!$R$1709:$R$2514,"=" &amp;'PA-Synthèse'!$B649,'PA-Détails'!L$1709:L$2514))/1000</f>
        <v>0</v>
      </c>
      <c r="M649" s="625">
        <f>(SUMIF('PA-Détails'!$R$1709:$R$2514,"=" &amp;'PA-Synthèse'!$B649,'PA-Détails'!M$1709:M$2514))/1000</f>
        <v>134.06299999999999</v>
      </c>
      <c r="N649" s="625">
        <f>(SUMIF('PA-Détails'!$R$1709:$R$2514,"=" &amp;'PA-Synthèse'!$B649,'PA-Détails'!N$1709:N$2514))/1000</f>
        <v>134.06299999999999</v>
      </c>
      <c r="O649" s="625">
        <f>(SUMIF('PA-Détails'!$R$1709:$R$2514,"=" &amp;'PA-Synthèse'!$B649,'PA-Détails'!O$1709:O$2514))/1000</f>
        <v>0</v>
      </c>
      <c r="P649" s="625">
        <f>(SUMIF('PA-Détails'!$R$1709:$R$2514,"=" &amp;'PA-Synthèse'!$B649,'PA-Détails'!P$1709:P$2514))/1000</f>
        <v>0</v>
      </c>
      <c r="Q649" s="625">
        <f>(SUMIF('PA-Détails'!$R$1709:$R$2514,"=" &amp;'PA-Synthèse'!$B649,'PA-Détails'!Q$1709:Q$2514))/1000</f>
        <v>268.12599999999998</v>
      </c>
      <c r="R649" s="612">
        <f>COUNTIF('PA-Détails'!$R$1709:$R$2514,"=" &amp;'PA-Synthèse'!$B649)</f>
        <v>1</v>
      </c>
      <c r="S649" s="572" t="str">
        <f t="shared" si="146"/>
        <v xml:space="preserve">8.14.5.4 Formation des enseignants à l'utilisation des programmes et manuels révisés ;  ;  ;  ; </v>
      </c>
      <c r="T649" s="572">
        <f t="shared" si="140"/>
        <v>1</v>
      </c>
      <c r="U649" s="572" t="s">
        <v>1310</v>
      </c>
    </row>
    <row r="650" spans="2:23" s="572" customFormat="1" hidden="1" x14ac:dyDescent="0.2">
      <c r="B650" s="623" t="s">
        <v>1425</v>
      </c>
      <c r="C650" s="624"/>
      <c r="D650" s="624"/>
      <c r="E650" s="624"/>
      <c r="F650" s="624"/>
      <c r="G650" s="624"/>
      <c r="H650" s="624"/>
      <c r="I650" s="624"/>
      <c r="J650" s="624"/>
      <c r="K650" s="624"/>
      <c r="L650" s="625">
        <f>(SUMIF('PA-Détails'!$R$1709:$R$2514,"=" &amp;'PA-Synthèse'!$B650,'PA-Détails'!L$1709:L$2514))/1000</f>
        <v>84</v>
      </c>
      <c r="M650" s="625">
        <f>(SUMIF('PA-Détails'!$R$1709:$R$2514,"=" &amp;'PA-Synthèse'!$B650,'PA-Détails'!M$1709:M$2514))/1000</f>
        <v>0</v>
      </c>
      <c r="N650" s="625">
        <f>(SUMIF('PA-Détails'!$R$1709:$R$2514,"=" &amp;'PA-Synthèse'!$B650,'PA-Détails'!N$1709:N$2514))/1000</f>
        <v>0</v>
      </c>
      <c r="O650" s="625">
        <f>(SUMIF('PA-Détails'!$R$1709:$R$2514,"=" &amp;'PA-Synthèse'!$B650,'PA-Détails'!O$1709:O$2514))/1000</f>
        <v>0</v>
      </c>
      <c r="P650" s="625">
        <f>(SUMIF('PA-Détails'!$R$1709:$R$2514,"=" &amp;'PA-Synthèse'!$B650,'PA-Détails'!P$1709:P$2514))/1000</f>
        <v>0</v>
      </c>
      <c r="Q650" s="625">
        <f>(SUMIF('PA-Détails'!$R$1709:$R$2514,"=" &amp;'PA-Synthèse'!$B650,'PA-Détails'!Q$1709:Q$2514))/1000</f>
        <v>84</v>
      </c>
      <c r="R650" s="612">
        <f>COUNTIF('PA-Détails'!$R$1709:$R$2514,"=" &amp;'PA-Synthèse'!$B650)</f>
        <v>2</v>
      </c>
      <c r="S650" s="572" t="str">
        <f t="shared" si="146"/>
        <v xml:space="preserve">5.8.1.1 Étude sur la spécialisation des institutions ; 5.8.2.1 Étude sur la réforme structurelle des ISP/ISPT/UPN ;  ;  ; </v>
      </c>
      <c r="T650" s="572">
        <f t="shared" si="140"/>
        <v>2</v>
      </c>
      <c r="U650" s="572" t="s">
        <v>1172</v>
      </c>
      <c r="V650" s="572" t="s">
        <v>1174</v>
      </c>
    </row>
    <row r="651" spans="2:23" s="572" customFormat="1" ht="12" hidden="1" thickBot="1" x14ac:dyDescent="0.25">
      <c r="B651" s="627"/>
      <c r="C651" s="628"/>
      <c r="D651" s="628"/>
      <c r="E651" s="628"/>
      <c r="F651" s="628"/>
      <c r="G651" s="628"/>
      <c r="H651" s="628"/>
      <c r="I651" s="628"/>
      <c r="J651" s="628"/>
      <c r="K651" s="628"/>
      <c r="L651" s="629">
        <f>SUM(L527:L650)</f>
        <v>1239553.0626433904</v>
      </c>
      <c r="M651" s="629">
        <f t="shared" ref="M651:R651" si="147">SUM(M527:M650)</f>
        <v>1461511.6749240302</v>
      </c>
      <c r="N651" s="629">
        <f t="shared" si="147"/>
        <v>1635857.4238635355</v>
      </c>
      <c r="O651" s="629">
        <f t="shared" si="147"/>
        <v>1742951.3773052252</v>
      </c>
      <c r="P651" s="629">
        <f t="shared" si="147"/>
        <v>1883244.3822925673</v>
      </c>
      <c r="Q651" s="629">
        <f t="shared" si="147"/>
        <v>7963117.92102875</v>
      </c>
      <c r="R651" s="614">
        <f t="shared" si="147"/>
        <v>457</v>
      </c>
    </row>
    <row r="652" spans="2:23" ht="12" thickBot="1" x14ac:dyDescent="0.25">
      <c r="Q652" s="148"/>
    </row>
    <row r="653" spans="2:23" ht="23.25" thickTop="1" x14ac:dyDescent="0.2">
      <c r="B653" s="534" t="s">
        <v>1503</v>
      </c>
      <c r="C653" s="529"/>
      <c r="D653" s="529"/>
      <c r="E653" s="529"/>
      <c r="F653" s="529"/>
      <c r="G653" s="529"/>
      <c r="H653" s="529"/>
      <c r="I653" s="529"/>
      <c r="J653" s="529"/>
      <c r="K653" s="529"/>
      <c r="L653" s="530">
        <v>2016</v>
      </c>
      <c r="M653" s="530">
        <f>L653+1</f>
        <v>2017</v>
      </c>
      <c r="N653" s="530">
        <f>M653+1</f>
        <v>2018</v>
      </c>
      <c r="O653" s="530">
        <f>N653+1</f>
        <v>2019</v>
      </c>
      <c r="P653" s="530">
        <f>O653+1</f>
        <v>2020</v>
      </c>
      <c r="Q653" s="530" t="s">
        <v>8</v>
      </c>
      <c r="R653" s="616" t="s">
        <v>1434</v>
      </c>
    </row>
    <row r="654" spans="2:23" x14ac:dyDescent="0.2">
      <c r="B654" s="535" t="s">
        <v>1504</v>
      </c>
      <c r="C654" s="536"/>
      <c r="D654" s="536"/>
      <c r="E654" s="536"/>
      <c r="F654" s="536"/>
      <c r="G654" s="536"/>
      <c r="H654" s="536"/>
      <c r="I654" s="536"/>
      <c r="J654" s="536"/>
      <c r="K654" s="536"/>
      <c r="L654" s="469">
        <f>SUM(L655:L665)</f>
        <v>946421.95094131562</v>
      </c>
      <c r="M654" s="469">
        <f t="shared" ref="M654:R654" si="148">SUM(M655:M665)</f>
        <v>1092882.2843617138</v>
      </c>
      <c r="N654" s="469">
        <f t="shared" si="148"/>
        <v>1227374.2520496731</v>
      </c>
      <c r="O654" s="469">
        <f t="shared" si="148"/>
        <v>1345170.6954621729</v>
      </c>
      <c r="P654" s="469">
        <f t="shared" si="148"/>
        <v>1455598.4885865659</v>
      </c>
      <c r="Q654" s="469">
        <f t="shared" si="148"/>
        <v>6067447.671401442</v>
      </c>
      <c r="R654" s="617">
        <f t="shared" si="148"/>
        <v>184</v>
      </c>
    </row>
    <row r="655" spans="2:23" x14ac:dyDescent="0.2">
      <c r="B655" s="533" t="s">
        <v>1437</v>
      </c>
      <c r="C655" s="532"/>
      <c r="D655" s="532"/>
      <c r="E655" s="532"/>
      <c r="F655" s="532"/>
      <c r="G655" s="532"/>
      <c r="H655" s="532"/>
      <c r="I655" s="532"/>
      <c r="J655" s="532"/>
      <c r="K655" s="532"/>
      <c r="L655" s="325">
        <f t="shared" ref="L655:R655" si="149">SUM(L527,L540,L541,)</f>
        <v>634.9</v>
      </c>
      <c r="M655" s="325">
        <f t="shared" si="149"/>
        <v>401.6</v>
      </c>
      <c r="N655" s="325">
        <f t="shared" si="149"/>
        <v>540.85</v>
      </c>
      <c r="O655" s="325">
        <f t="shared" si="149"/>
        <v>274.8</v>
      </c>
      <c r="P655" s="325">
        <f t="shared" si="149"/>
        <v>169.8</v>
      </c>
      <c r="Q655" s="325">
        <f t="shared" si="149"/>
        <v>2021.9499999999998</v>
      </c>
      <c r="R655" s="618">
        <f t="shared" si="149"/>
        <v>9</v>
      </c>
      <c r="S655" s="608" t="str">
        <f>CONCATENATE(S527," ; ",S540," ; ",S541," ; ",)</f>
        <v xml:space="preserve">8.14.1.1 Définir un plan de communication spécifique à la scolarisation des filles ; 8.14.1.2 Développer des outils et des supports ; 8.14.1.3 Assurer des campagnes de sensibilisation et de communication ;  ;  ; 8.6.4.1 Fonctionnement régulier de la Commission des flux ascendants ;  ;  ;  ;  ; 1.1.1.1 Évaluation de l'expérience des ECE et définition des possibilités de son extension ; 1.1.1.2 Définir un plan de communication ; 1.1.1.3 Développer des outils et des supports ; 1.1.1.4 Assurer des campagnes IEC ; 4.1.5.2 Sensibilisation à la réforme de l'éducation de base ; </v>
      </c>
    </row>
    <row r="656" spans="2:23" x14ac:dyDescent="0.2">
      <c r="B656" s="533" t="s">
        <v>1485</v>
      </c>
      <c r="C656" s="532"/>
      <c r="D656" s="532"/>
      <c r="E656" s="532"/>
      <c r="F656" s="532"/>
      <c r="G656" s="532"/>
      <c r="H656" s="532"/>
      <c r="I656" s="532"/>
      <c r="J656" s="532"/>
      <c r="K656" s="532"/>
      <c r="L656" s="325">
        <f>SUM(L530)</f>
        <v>16</v>
      </c>
      <c r="M656" s="325">
        <f t="shared" ref="M656:R656" si="150">SUM(M530)</f>
        <v>0</v>
      </c>
      <c r="N656" s="325">
        <f t="shared" si="150"/>
        <v>2645</v>
      </c>
      <c r="O656" s="325">
        <f t="shared" si="150"/>
        <v>2645</v>
      </c>
      <c r="P656" s="325">
        <f t="shared" si="150"/>
        <v>2645</v>
      </c>
      <c r="Q656" s="325">
        <f t="shared" si="150"/>
        <v>7951</v>
      </c>
      <c r="R656" s="618">
        <f t="shared" si="150"/>
        <v>4</v>
      </c>
      <c r="S656" s="608" t="str">
        <f>CONCATENATE(S530)</f>
        <v xml:space="preserve">2.10.2.1 Allocation de la bourse d'études pour les enseignants en formation ; 2.9.3.1 Établissement d'une cartographie des REP existants ; 2.9.3.2 Extension des REP sur tout le territoire ;  ; </v>
      </c>
    </row>
    <row r="657" spans="2:19" x14ac:dyDescent="0.2">
      <c r="B657" s="533" t="s">
        <v>1486</v>
      </c>
      <c r="C657" s="532"/>
      <c r="D657" s="532"/>
      <c r="E657" s="532"/>
      <c r="F657" s="532"/>
      <c r="G657" s="532"/>
      <c r="H657" s="532"/>
      <c r="I657" s="532"/>
      <c r="J657" s="532"/>
      <c r="K657" s="532"/>
      <c r="L657" s="325">
        <f t="shared" ref="L657:R657" si="151">SUM(L556,L558,L557)</f>
        <v>319.89999999999998</v>
      </c>
      <c r="M657" s="325">
        <f t="shared" si="151"/>
        <v>14078.4</v>
      </c>
      <c r="N657" s="325">
        <f t="shared" si="151"/>
        <v>20258.400000000001</v>
      </c>
      <c r="O657" s="325">
        <f t="shared" si="151"/>
        <v>14075.4</v>
      </c>
      <c r="P657" s="325">
        <f t="shared" si="151"/>
        <v>14075.4</v>
      </c>
      <c r="Q657" s="325">
        <f t="shared" si="151"/>
        <v>62807.5</v>
      </c>
      <c r="R657" s="618">
        <f t="shared" si="151"/>
        <v>17</v>
      </c>
      <c r="S657" s="572" t="str">
        <f>CONCATENATE(S556," ; ",S558," ; ",S557)</f>
        <v xml:space="preserve">1.2.2.1 Assurer le fonctionnement de la phase pilote de la classe préparatoire ; 1.2.2.2 Évaluer l'expérience pilote ; 2.11.1.1 Équipement des inspecteurs en Moto ; 2.11.2.1 Assurer l'encadrement pédagogique et administratifs des écoles ; 2.7.4.1 Élaboration d'outils d'évaluation ; 2.7.4.2  Réalisation par les inspecteurs d'évaluations régulières des actions des écoles pour la lecture ; 2.9.4.1 Élaboration d'outils de suivi et d'évaluation ; 4.1.2.1 Déterminer les profils des enseignants ; 4.7.1.1 Renforcement des moyen des déplacements ; 4.7.2.1 Assurer l'encadrement pédagogique et administratifs des écoles ; 5.2.1.3 Assurer la réalisation de l'examen national ; 5.9.1.1 Renforcement des moyen des déplacements ; 5.9.2.1 Assurer l'encadrement pédagogique et administratifs des écoles ; 5.9.3.1 Équipement des inspecteurs en ordinateurs portables ; 8.13.2.1 Sensibilisation des directeurs d'écoles et des inspecteurs ;  ;  ; 8.17.11.1 Élaboration d'un guide pratique pour adapter le calendrier et les horaires ;  ;  ;  ;  ; 8.17.12.2 Former les inspecteurs formateurs des enseignants sur les risques de catastrophe naturelle, leurs conséquences et le comportement à tenir à destination des élèves ;  ;  ;  ; </v>
      </c>
    </row>
    <row r="658" spans="2:19" x14ac:dyDescent="0.2">
      <c r="B658" s="533" t="s">
        <v>749</v>
      </c>
      <c r="C658" s="532"/>
      <c r="D658" s="532"/>
      <c r="E658" s="532"/>
      <c r="F658" s="532"/>
      <c r="G658" s="532"/>
      <c r="H658" s="532"/>
      <c r="I658" s="532"/>
      <c r="J658" s="532"/>
      <c r="K658" s="532"/>
      <c r="L658" s="325">
        <f>SUM(L545)</f>
        <v>1855.42</v>
      </c>
      <c r="M658" s="325">
        <f t="shared" ref="M658:R658" si="152">SUM(M545)</f>
        <v>21855.42</v>
      </c>
      <c r="N658" s="325">
        <f t="shared" si="152"/>
        <v>21855.42</v>
      </c>
      <c r="O658" s="325">
        <f t="shared" si="152"/>
        <v>21855.42</v>
      </c>
      <c r="P658" s="325">
        <f t="shared" si="152"/>
        <v>21855.42</v>
      </c>
      <c r="Q658" s="325">
        <f t="shared" si="152"/>
        <v>89277.1</v>
      </c>
      <c r="R658" s="618">
        <f t="shared" si="152"/>
        <v>2</v>
      </c>
      <c r="S658" s="572" t="str">
        <f>CONCATENATE(S545)</f>
        <v xml:space="preserve">8.1.2.1 Fonctionnement des services centraux EPSINC ; 5.1.1.2 Équipement en matériel pour les établissements spécialisés ;  ;  ; </v>
      </c>
    </row>
    <row r="659" spans="2:19" x14ac:dyDescent="0.2">
      <c r="B659" s="533" t="s">
        <v>1487</v>
      </c>
      <c r="C659" s="532"/>
      <c r="D659" s="532"/>
      <c r="E659" s="532"/>
      <c r="F659" s="532"/>
      <c r="G659" s="532"/>
      <c r="H659" s="532"/>
      <c r="I659" s="532"/>
      <c r="J659" s="532"/>
      <c r="K659" s="532"/>
      <c r="L659" s="325">
        <f t="shared" ref="L659:R659" si="153">SUM(L542,L543,L544)</f>
        <v>5340.98</v>
      </c>
      <c r="M659" s="325">
        <f t="shared" si="153"/>
        <v>27554.05</v>
      </c>
      <c r="N659" s="325">
        <f t="shared" si="153"/>
        <v>42491.58</v>
      </c>
      <c r="O659" s="325">
        <f t="shared" si="153"/>
        <v>43076.09</v>
      </c>
      <c r="P659" s="325">
        <f t="shared" si="153"/>
        <v>45849.11</v>
      </c>
      <c r="Q659" s="325">
        <f t="shared" si="153"/>
        <v>164311.81</v>
      </c>
      <c r="R659" s="618">
        <f t="shared" si="153"/>
        <v>28</v>
      </c>
      <c r="S659" s="572" t="str">
        <f>CONCATENATE(S542," ; ",S543," ; ",S544)</f>
        <v xml:space="preserve">1.6.1.1 Équipement des Inspecteurs en Moto ; 1.6.2.1 Dotation en prime d'itinérance ; 2.12.1.1 Équipement informatique et de communication ; 2.12.2.1 Formation en informatique et aux TIC ; 2.3.2.1 Élaboration d'une carte scolaire (nationale et provinciale) à travers l'exploitation des données du SIGE ; 2.4.4.1  Définition d'une politique nationale pour l'éducation inclusive ; 2.4.5.1  Recensement des familles, des élèves et des écoles autochtones ; 2.5.1.1 Élaboration du programme d'allocation pour les provinces cibles ; 2.5.3.1 Recensement de l'offre ; 2.5.3.2 Programme de mise à niveau de la carte scolaire ; 4.1.4.1 Mise à disposition d'un mécanisme de gestion des flux accompagné d'outils opérationnels ; 4.1.5.1 Étude sur les coût, les financements et les impacts probables de la réforme ; 4.7.3.1 Équipement informatique et de communication ; 5.10.2.1 Assurer la connexion à internet ; 8.1.3.1 Investissements EPSINC ; 8.13.1.1 Élaboration d'un guide pour les écoles en vue de diminuer les redoublements ; 8.13.1.2 Acquisition et diffusion du guide ; 2.5.2.1 Recensement de la situation ; 2.8.1.1 Identification des besoins et préparation du programme de mise à niveau ; 2.8.1.1 Réalisation du programme de construction de latrines ; 2.8.2.1 Identification des besoins et préparation du programme de mise à niveau ; 2.8.2.2 Réalisation du programme d'équipement en point d'eau ; 2.8.3.1 Identification des besoins et préparation du programme de mise à niveau ; 2.8.3.2 Réalisation du programme d'équipement en électricité ; 2.8.4.1 Identification des besoins et préparation du programme de mise à niveau ; 2.8.4.2 Réalisation du programme de construction des clôtures ;  ;  ;  ;  ;  ;  ;  ;  ; 1.2.3.1 Préparation du programme de développement : Recensement et formation ; 1.2.3.2 Mise en place de la classe préparatoire (objectif 7000 en 2020) ;  ;  ; </v>
      </c>
    </row>
    <row r="660" spans="2:19" x14ac:dyDescent="0.2">
      <c r="B660" s="533" t="s">
        <v>1488</v>
      </c>
      <c r="C660" s="532"/>
      <c r="D660" s="532"/>
      <c r="E660" s="532"/>
      <c r="F660" s="532"/>
      <c r="G660" s="532"/>
      <c r="H660" s="532"/>
      <c r="I660" s="532"/>
      <c r="J660" s="532"/>
      <c r="K660" s="532"/>
      <c r="L660" s="325">
        <f t="shared" ref="L660:R660" si="154">SUM(L551,L552,L553)</f>
        <v>184520.4</v>
      </c>
      <c r="M660" s="325">
        <f t="shared" si="154"/>
        <v>193774.8</v>
      </c>
      <c r="N660" s="325">
        <f t="shared" si="154"/>
        <v>195370.1</v>
      </c>
      <c r="O660" s="325">
        <f t="shared" si="154"/>
        <v>195382.39999999999</v>
      </c>
      <c r="P660" s="325">
        <f t="shared" si="154"/>
        <v>195394.69999999998</v>
      </c>
      <c r="Q660" s="325">
        <f t="shared" si="154"/>
        <v>964442.4</v>
      </c>
      <c r="R660" s="618">
        <f t="shared" si="154"/>
        <v>20</v>
      </c>
      <c r="S660" s="572" t="str">
        <f>CONCATENATE(S551," ; ",S552," ; ",S553)</f>
        <v xml:space="preserve">1.3.2.1 Construction de salles de classe pour le préprimaire ; 2.1.1.1 Construction de salle de classe primaire ; 2.1.2.1 Réhabilitation de salle de classe ; 2.5.2.2 Mise en place du programme de construction de sanitaires séparés ; 4.1.3.1 Diagnostic et propositions pour la gestion des infrastructures dans le cadre de l'enseignement de base ; 4.2.1.1 Construction de salles de classes ; 4.5.1.1 Acquisition de table-bancs ; 5.3.2.1 Construction et équipement des salles au secondaire ; 5.6.1.1 Acquisition et distribution de table banc ; 8.5.1.1 Plan de renforcement des capacités ; 8.5.2.1 Recrutement d'ingénieurs ; 8.5.2.2 Actions de formation ;  ;  ;  ;  ;  ; 2.6.5.1 Acquisition et distribution d'armoires de stockage ; 8.17.8.1 Respect des normes de constructions ;  ;  ;  ; 8.17.10.1 Mise en place des infrastructures temporaires d’apprentissage pour les déplacés ; 8.17.10.2 Équipement des infrastructures temporaires d’apprentissage pour les déplacés ; 8.17.4.4 Équipement des infrastructures temporaires d’apprentissage ; 8.17.7.1 Identification des structures scolaires affectées par les conflits et catastrophes naturelles ; 8.17.7.2 Réhabilitation des infrastructures et des équipements éducatifs ; 8.17.7.3 Mise en place des infrastructures temporaires d’apprentissage ;  ;  ;  ;  ;  ;  ;  ;  ;  ;  ; </v>
      </c>
    </row>
    <row r="661" spans="2:19" x14ac:dyDescent="0.2">
      <c r="B661" s="533" t="s">
        <v>1491</v>
      </c>
      <c r="C661" s="532"/>
      <c r="D661" s="532"/>
      <c r="E661" s="532"/>
      <c r="F661" s="532"/>
      <c r="G661" s="532"/>
      <c r="H661" s="532"/>
      <c r="I661" s="532"/>
      <c r="J661" s="532"/>
      <c r="K661" s="532"/>
      <c r="L661" s="325">
        <f t="shared" ref="L661:R661" si="155">SUM(L564,L562,L561,L560,L563,L629)</f>
        <v>686647.89594131568</v>
      </c>
      <c r="M661" s="325">
        <f t="shared" si="155"/>
        <v>756009.90236171382</v>
      </c>
      <c r="N661" s="325">
        <f t="shared" si="155"/>
        <v>838653.30604967289</v>
      </c>
      <c r="O661" s="325">
        <f t="shared" si="155"/>
        <v>957584.84646217269</v>
      </c>
      <c r="P661" s="325">
        <f t="shared" si="155"/>
        <v>1053659.690586566</v>
      </c>
      <c r="Q661" s="325">
        <f t="shared" si="155"/>
        <v>4292555.6414014418</v>
      </c>
      <c r="R661" s="618">
        <f t="shared" si="155"/>
        <v>18</v>
      </c>
      <c r="S661" s="572" t="str">
        <f>CONCATENATE(S564," ; ",S562," ; ",S561," ; ",S560," ; ",S563," ; ",S629)</f>
        <v>2.3.1.1 Prime et logement pour enseignants en zones isolées ;  ;  ;  ;  ; 2.2.1.1 Recenser les enseignants du primaire à prendre en charge ;  ;  ;  ;  ; 2.2.2.1 Identification des écoles bénéficiaires de la subvention ;  ;  ;  ;  ; 1.3.1.1 Recenser les enseignants de la classe préparatoire ; 1.3.1.2 Paiement des enseignants (préscolaire yc préparatoire) ; 2.5.1.2 Assurer la distribution des allocations ; 8.1.1.1 Rémunération des personnels des services centraux  EPSINC ; 8.2.1.1 Rémunération du personnel des bureaux gestionnaires  EPSINC ; 8.2.2.1 Subvention de fonctionnement des BG du MEPSINC ;  ;  ;  ;  ;  ;  ;  ;  ;  ;  ;  ; 2.2.1.2 Paiement des enseignants du primaire recensés par SECOPE ; 2.2.1.3 Paiement des enseignants du primaire non recensés ; 2.2.2.2 Subvention aux écoles primaires de la première à la 5ème année ; 2.2.2.3 Prise en charge des frais directs pour la 6ème année ;  ; 4.3.1.1 Recenser les enseignants du secondaire à prendre en charge ; 4.3.1.2 Paiement des enseignants du secondaire 1 ; 4.3.1.2 Paiement des enseignants du secondaire 2 ; 4.3.2.1 Subvention de fonctionnement au secondaire ; 6.6.3.1 Paiement des enseignants de l'ETFP</v>
      </c>
    </row>
    <row r="662" spans="2:19" x14ac:dyDescent="0.2">
      <c r="B662" s="533" t="s">
        <v>1490</v>
      </c>
      <c r="C662" s="532"/>
      <c r="D662" s="532"/>
      <c r="E662" s="532"/>
      <c r="F662" s="532"/>
      <c r="G662" s="532"/>
      <c r="H662" s="532"/>
      <c r="I662" s="532"/>
      <c r="J662" s="532"/>
      <c r="K662" s="532"/>
      <c r="L662" s="325">
        <f t="shared" ref="L662:R662" si="156">SUM(L539,L565,L566,L567,L568,L569)</f>
        <v>5739.652</v>
      </c>
      <c r="M662" s="325">
        <f t="shared" si="156"/>
        <v>3460.48</v>
      </c>
      <c r="N662" s="325">
        <f t="shared" si="156"/>
        <v>6722.2349999999997</v>
      </c>
      <c r="O662" s="325">
        <f t="shared" si="156"/>
        <v>3565.877</v>
      </c>
      <c r="P662" s="325">
        <f t="shared" si="156"/>
        <v>7166.6080000000002</v>
      </c>
      <c r="Q662" s="325">
        <f t="shared" si="156"/>
        <v>26654.851999999999</v>
      </c>
      <c r="R662" s="618">
        <f t="shared" si="156"/>
        <v>20</v>
      </c>
      <c r="S662" s="572" t="str">
        <f>CONCATENATE(S539," ; ",S565," ; ",S566," ; ",S567," ; ",S568," ; ",S569)</f>
        <v xml:space="preserve">2.9.1.3 Évaluation et capitalisation du pilote de la composante "Formation continue" du PROSEB ;  ;  ;  ;  ; 1.5.1.1 Élaboration et validation d'un module de formation ; 1.5.1.2 Assurer la formation pour les nouveaux recrutements ; 1.5.2.1 Révision et validation des modules existants ; 1.5.2.2 Assurer la formation continue pour les encadreurs et enseignants ; 2.4.4.2 Formation des chefs d'établissement et enseignants à l'éducation inclusive ; 2.6.4.2 Production et distribution des guides pédagogiques ; 2.7.1.1 Formation des formateurs ; 2.9.1.1 Développement et actualisation des modules de formation ; 2.9.1.2 Numérisation et opérationnalisation des modules de formation ; 4.6.1.1 Développer et actualiser les modules de formation ; 4.6.1.2 Mettre en place le plan de formation ;  ;  ;  ;  ;  ;  ; 2.9.1.4 Mise en place des CRESD dans les différentes provinces ; 2.9.2.1 Formation aux modules et au leadership ;  ;  ;  ; 2.4.4.3 Intégration des modules de formation à l'éducation inclusive dans la formation initiale des enseignants ;  ;  ;  ;  ; 2.6.3.3 Formation à l'utilisation des plaquettes ;  ;  ;  ;  ; 2.9.1.5 Formation des inspecteurs et des conseillers d'enseignement ; 2.9.1.6 Formation des enseignants ;  ;  ; </v>
      </c>
    </row>
    <row r="663" spans="2:19" x14ac:dyDescent="0.2">
      <c r="B663" s="533" t="s">
        <v>1489</v>
      </c>
      <c r="C663" s="532"/>
      <c r="D663" s="532"/>
      <c r="E663" s="532"/>
      <c r="F663" s="532"/>
      <c r="G663" s="532"/>
      <c r="H663" s="532"/>
      <c r="I663" s="532"/>
      <c r="J663" s="532"/>
      <c r="K663" s="532"/>
      <c r="L663" s="325">
        <f t="shared" ref="L663:R663" si="157">SUM(L546,L547,L548,L549)</f>
        <v>56960.864000000001</v>
      </c>
      <c r="M663" s="325">
        <f t="shared" si="157"/>
        <v>70002.504000000001</v>
      </c>
      <c r="N663" s="325">
        <f t="shared" si="157"/>
        <v>91940.339000000007</v>
      </c>
      <c r="O663" s="325">
        <f t="shared" si="157"/>
        <v>96265.15</v>
      </c>
      <c r="P663" s="325">
        <f t="shared" si="157"/>
        <v>100766.25900000001</v>
      </c>
      <c r="Q663" s="325">
        <f t="shared" si="157"/>
        <v>415935.11599999998</v>
      </c>
      <c r="R663" s="618">
        <f t="shared" si="157"/>
        <v>50</v>
      </c>
      <c r="S663" s="572" t="str">
        <f>CONCATENATE(S546," ; ",S547," ; ",S548," ; ",S549)</f>
        <v xml:space="preserve">1.4.1.1 Dotation en matériel d'éveil ; 1.4.2.1 Élaboration de guide pédagogiques pour le préscolaire ; 1.4.2.2 Impression et diffusion du guide ; 2.10.1.1 Actualisation du référentiel de compétences des enseignants réalisé en 2013 ; 2.10.1.2 Révision du curriculum de formation des enseignants ; 2.10.2.1 Étude sur les profils d'entrée, de sortie et de durée de formation des futurs enseignants ; 2.10.2.2 Définition du profil des formateurs des formateurs ; 2.10.3.1 Étude sur la carte scolaire des écoles normales et de l'enseignement des humanités pédagogiques ; 2.10.3.2 Mise en place du programme de restructuration/spécialisation des établissements ; 2.6.1.1 Définition d'un kit minimal en matériel pédagogique pour une classe et une école ; 2.6.1.2 Production, acquisition et distribution du matériel pédagogique ; 2.6.2.2 Acquisition et distribution de manuels scolaires ; 2.6.3.2 Acquisition et distribution des plaquettes ; 2.6.4.1 Élaboration des guides pédagogiques ; 2.7.2.1 Élaboration d'un guide sur des activités de lecture harmonisées ; 2.7.2.2 Acquisition et distribution du guide sur des activités de lecture harmonisées ; 2.7.3.1 Élaboration d'un guide d'aide à la réalisation de projets pédagogiques centrés sur la lecture ; 2.7.3.2. Acquisition  et distribution du guide d'aide à la réalisation de projets pédagogiques centrés sur la lecture ; 2.8.6.1 Diagnostic de la situation et définition d'une bibliothèque standard (équipements, ouvrages, etc.) ; 2.8.6.3 Élaboration d'un guide de gestion d'une bibliothèque (archivage, etc.) et formation à la gestion de bibliothèque ; 2.8.6.4 Acquisition et distribution de livres ; 4.4.1.1 Définition du kit d'équipement en matériel pédagogique pour le premier cycle du secondaire ; 4.4.1.2 Acquisition et distribution de kits pédagogiques ; 4.4.2.1 Élaboration de manuels scolaires en français, mathématiques et sciences et de leurs guides pédagogiques ; 4.4.2.4 Acquisition et distribution des guides pédagogiques pour les enseignants ; 4.4.2.4 Acquisition et distribution des manuels scolaires en français, mathématiques et sciences ; 4.5.3.1 Analyse des besoins en bibliothèques (audit de l'existant) ; 4.5.3.2 Définition d'une bibliothèque standard et élaboration d'un guide de gestion ; 4.5.3.5 Acquisition et distribution de livres et de matériel ; 5.1.1.1 Évaluation de la réforme en cours et rédaction des dispositions réglementaires ; 5.4.1.1 Définition du kit d'équipement en matériel pédagogique pour le premier cycle du secondaire ; 5.4.1.2 Acquisition et distribution de kits pédagogiques ; 5.4.2.1 Élaboration de manuels scolaires en français, mathématiques et sciences et de leurs guides pédagogiques ; 5.4.2.3 Élaboration du module de formation à l'utilisation des manuels scolaires en français, mathématiques et sciences ; 5.4.2.4 Acquisition et distribution des manuels scolaires en français, mathématiques et sciences ; 5.4.3.1 Acquisition et distribution des guides pédagogiques pour les enseignants ; 5.5.1.1 Définition d'un programme d'équipement ; 5.5.1.2 Équipement de laboratoire de physique chimie ; 5.5.1.3 Équipement de laboratoire de biologie ; 5.5.3.1 Analyse des besoins en bibliothèques (audit de l'existant) ; 5.5.3.2 Définition d'une bibliothèque standard et élaboration d'un guide de gestion ; 5.5.3.5 Acquisition et distribution de livres et de matériel ; 5.7.1.1 Développer et actualiser les modules de formation ; 5.7.1.2 Mettre en place le plan de formation ; 8.8.1.1 Production et distribution du document de la politique nationale du livre scolaire ; 8.8.2.1 Élaboration d'un guide à destination des concepteurs des manuels tenant compte des questions transversales (genre, éducation à la vie, paix et citoyenneté, environnement et santé) ; 8.8.2.2 Renforcement des capacités à l'élaboration et à la gestion des manuels scolaires ; 4.4.2.3 Élaboration du module de formation à l'utilisation des manuels scolaires en français, mathématiques et sciences ;  ;  ;  ;  ; 4.1.1.1 Déterminer les contenus et les finalités de la réforme vers l'éducation de base étendue à 8 ans ;  ;  ;  ;  ; 2.6.2.3 Suivi de distribution des manuels scolaires ;  ;  ;  ; </v>
      </c>
    </row>
    <row r="664" spans="2:19" x14ac:dyDescent="0.2">
      <c r="B664" s="533" t="s">
        <v>1492</v>
      </c>
      <c r="C664" s="532"/>
      <c r="D664" s="532"/>
      <c r="E664" s="532"/>
      <c r="F664" s="532"/>
      <c r="G664" s="532"/>
      <c r="H664" s="532"/>
      <c r="I664" s="532"/>
      <c r="J664" s="532"/>
      <c r="K664" s="532"/>
      <c r="L664" s="325">
        <f t="shared" ref="L664:R664" si="158">SUM(L538,L554,L555)</f>
        <v>1707</v>
      </c>
      <c r="M664" s="325">
        <f t="shared" si="158"/>
        <v>2953.8389999999999</v>
      </c>
      <c r="N664" s="325">
        <f t="shared" si="158"/>
        <v>3994.5830000000001</v>
      </c>
      <c r="O664" s="325">
        <f t="shared" si="158"/>
        <v>7451.5230000000001</v>
      </c>
      <c r="P664" s="325">
        <f t="shared" si="158"/>
        <v>10954.862000000001</v>
      </c>
      <c r="Q664" s="325">
        <f t="shared" si="158"/>
        <v>27061.807000000001</v>
      </c>
      <c r="R664" s="618">
        <f t="shared" si="158"/>
        <v>11</v>
      </c>
      <c r="S664" s="572" t="str">
        <f>CONCATENATE(S538," ; ",S554," ; ",S555)</f>
        <v xml:space="preserve">8.17.9.1 Fourniture des repas pendant les crises ;  ;  ;  ;  ; 2.4.2.1 Étude de faisabilité sur la mise en place des cantines scolaires ; 2.4.3.1 Identification des familles bénéficiaires ; 2.4.3.2 Distribution de l'allocation aux familles ; 2.4.5.2 Distribution de l'allocation aux élèves ; 8.17.12.1 Sensibiliser les élèves et les enseignants sur les risques des crises ainsi que le comportement à adopter y compris le soutien psycho-social ; 8.18.5.1 Formation du personnel enseignant et des administrateurs sur la prévention des conflits et des violences en milieu scolaire et universitaire ; 8.18.6.1 Campagnes de sensibilisation à travers les radios communautaires ;  ;  ;  ;  ;  ;  ;  ;  ;  ;  ; 2.4.1.1 Étude de faisabilité de création des coopératives scolaires ; 2.4.1.2 Mise en place de mesures d'incitation à la création de coopératives scolaires ; 2.4.2.2 Mise en place de mesures d'incitations à la création de cantines scolaires ;  ; </v>
      </c>
    </row>
    <row r="665" spans="2:19" x14ac:dyDescent="0.2">
      <c r="B665" s="533" t="s">
        <v>1493</v>
      </c>
      <c r="C665" s="532"/>
      <c r="D665" s="532"/>
      <c r="E665" s="532"/>
      <c r="F665" s="532"/>
      <c r="G665" s="532"/>
      <c r="H665" s="532"/>
      <c r="I665" s="532"/>
      <c r="J665" s="532"/>
      <c r="K665" s="532"/>
      <c r="L665" s="325">
        <f t="shared" ref="L665:R665" si="159">SUM(L550,L531)</f>
        <v>2678.9390000000003</v>
      </c>
      <c r="M665" s="325">
        <f t="shared" si="159"/>
        <v>2791.2890000000002</v>
      </c>
      <c r="N665" s="325">
        <f t="shared" si="159"/>
        <v>2902.4390000000003</v>
      </c>
      <c r="O665" s="325">
        <f t="shared" si="159"/>
        <v>2994.1890000000003</v>
      </c>
      <c r="P665" s="325">
        <f t="shared" si="159"/>
        <v>3061.6390000000001</v>
      </c>
      <c r="Q665" s="325">
        <f t="shared" si="159"/>
        <v>14428.494999999999</v>
      </c>
      <c r="R665" s="618">
        <f t="shared" si="159"/>
        <v>5</v>
      </c>
      <c r="S665" s="572" t="str">
        <f>CONCATENATE(S550," ; ",S531)</f>
        <v xml:space="preserve">2.8.5.1 Définition d'un kit minimum pour une école d'équipements pour activités physiques et sportives ; 2.8.5.2 Acquisition et distribution d'équipement pour activités physiques et sportives ;  ;  ;  ; 4.5.2.1 Définition d'un kit minimum pour une école d'équipements pour activités physiques et sportives ; 4.5.2.2 Acquisition et distribution d'équipement pour activités physiques et sportives ; 5.6.2.1 Acquisition et distribution d'équipement pour activités physiques et sportives ;  ; </v>
      </c>
    </row>
    <row r="666" spans="2:19" x14ac:dyDescent="0.2">
      <c r="B666" s="535" t="s">
        <v>1494</v>
      </c>
      <c r="C666" s="537"/>
      <c r="D666" s="537"/>
      <c r="E666" s="537"/>
      <c r="F666" s="537"/>
      <c r="G666" s="537"/>
      <c r="H666" s="537"/>
      <c r="I666" s="537"/>
      <c r="J666" s="537"/>
      <c r="K666" s="537"/>
      <c r="L666" s="469">
        <f t="shared" ref="L666:R666" si="160">SUM(L667:L671)</f>
        <v>49518.69</v>
      </c>
      <c r="M666" s="469">
        <f t="shared" si="160"/>
        <v>39151.31</v>
      </c>
      <c r="N666" s="469">
        <f t="shared" si="160"/>
        <v>52105.95</v>
      </c>
      <c r="O666" s="469">
        <f t="shared" si="160"/>
        <v>31014.25</v>
      </c>
      <c r="P666" s="469">
        <f t="shared" si="160"/>
        <v>42162.46</v>
      </c>
      <c r="Q666" s="469">
        <f t="shared" si="160"/>
        <v>213952.65999999997</v>
      </c>
      <c r="R666" s="617">
        <f t="shared" si="160"/>
        <v>43</v>
      </c>
    </row>
    <row r="667" spans="2:19" x14ac:dyDescent="0.2">
      <c r="B667" s="533" t="s">
        <v>1495</v>
      </c>
      <c r="C667" s="532"/>
      <c r="D667" s="532"/>
      <c r="E667" s="532"/>
      <c r="F667" s="532"/>
      <c r="G667" s="532"/>
      <c r="H667" s="532"/>
      <c r="I667" s="532"/>
      <c r="J667" s="532"/>
      <c r="K667" s="532"/>
      <c r="L667" s="325">
        <f t="shared" ref="L667:R667" si="161">SUM(L571,L573,L572)</f>
        <v>1949.1499999999999</v>
      </c>
      <c r="M667" s="325">
        <f t="shared" si="161"/>
        <v>1795</v>
      </c>
      <c r="N667" s="325">
        <f t="shared" si="161"/>
        <v>1795</v>
      </c>
      <c r="O667" s="325">
        <f t="shared" si="161"/>
        <v>1453</v>
      </c>
      <c r="P667" s="325">
        <f t="shared" si="161"/>
        <v>1453</v>
      </c>
      <c r="Q667" s="325">
        <f t="shared" si="161"/>
        <v>8445.15</v>
      </c>
      <c r="R667" s="618">
        <f t="shared" si="161"/>
        <v>14</v>
      </c>
      <c r="S667" s="572" t="str">
        <f>CONCATENATE(S571," ; ",S573," ; ",S572)</f>
        <v xml:space="preserve">6.1.4.1 Étude sur l'actualisation des programmes ; 6.4.1.1 Définition du cadre national de concertation ; 6.4.1.2 Mise en place et fonctionnement du mécanisme de concertation ; 6.4.2.1 Définition des modalités de concertation régionale ; 6.4.2.2 Assurer les concertations régionales ; 6.4.4.1 Étude de faisabilité sur la création de Chambres des métiers et d'artisanat ; 8.11.3.1 Définition d'un commission de Qualification et de Certification ; 8.11.3.2 Textes réglementaires de création de la CNQC ; 8.11.3.3 Mise en place et fonctionnement de la CNQC ; 8.17.8.2 Élaboration d'un guide des normes de construction des établissements ETFP ;  ;  ;  ;  ;  ;  ;  ; 6.4.3.1 Définition de modèles de partenariat ; 6.4.3.2 Mise en place des accords de partenariat ;  ;  ;  ; 6.3.2.1 Définition des besoins en manuels scolaires ; 6.3.2.2 Acquisition et distribution de manuels scolaires ;  ;  ; </v>
      </c>
    </row>
    <row r="668" spans="2:19" x14ac:dyDescent="0.2">
      <c r="B668" s="533" t="s">
        <v>749</v>
      </c>
      <c r="C668" s="532"/>
      <c r="D668" s="532"/>
      <c r="E668" s="532"/>
      <c r="F668" s="532"/>
      <c r="G668" s="532"/>
      <c r="H668" s="532"/>
      <c r="I668" s="532"/>
      <c r="J668" s="532"/>
      <c r="K668" s="532"/>
      <c r="L668" s="325">
        <f t="shared" ref="L668:R668" si="162">SUM(L577,L570)</f>
        <v>1890.7900000000002</v>
      </c>
      <c r="M668" s="325">
        <f t="shared" si="162"/>
        <v>1948.5099999999998</v>
      </c>
      <c r="N668" s="325">
        <f t="shared" si="162"/>
        <v>2511.1999999999998</v>
      </c>
      <c r="O668" s="325">
        <f t="shared" si="162"/>
        <v>2342.25</v>
      </c>
      <c r="P668" s="325">
        <f t="shared" si="162"/>
        <v>2403.5100000000002</v>
      </c>
      <c r="Q668" s="325">
        <f t="shared" si="162"/>
        <v>11096.26</v>
      </c>
      <c r="R668" s="618">
        <f t="shared" si="162"/>
        <v>6</v>
      </c>
      <c r="S668" s="572" t="str">
        <f>CONCATENATE(S577," ; ",S570)</f>
        <v xml:space="preserve">6.2.2.1 Octroi des bourses pour les filles dans les filières prometteuses ; 6.5.4.1 Équipement des élèves en ordinateurs portables ; 6.7.2.1 Assurer l'encadrement pédagogique et administratif des centres d'ingénierie, d'application et de ressources ; 6.7.3.1 Équipement des inspecteurs en ordinateurs portables ; 8.1.1.4 Rémunération des personnels des services centraux  ETP ; 8.1.2.4 Fonctionnement des services centraux ETP ;  ;  ;  ; </v>
      </c>
    </row>
    <row r="669" spans="2:19" x14ac:dyDescent="0.2">
      <c r="B669" s="533" t="s">
        <v>1486</v>
      </c>
      <c r="C669" s="532"/>
      <c r="D669" s="532"/>
      <c r="E669" s="532"/>
      <c r="F669" s="532"/>
      <c r="G669" s="532"/>
      <c r="H669" s="532"/>
      <c r="I669" s="532"/>
      <c r="J669" s="532"/>
      <c r="K669" s="532"/>
      <c r="L669" s="325">
        <f t="shared" ref="L669" si="163">SUM(L578)</f>
        <v>11134.45</v>
      </c>
      <c r="M669" s="325">
        <f t="shared" ref="M669:R669" si="164">SUM(M578)</f>
        <v>0</v>
      </c>
      <c r="N669" s="325">
        <f t="shared" si="164"/>
        <v>11872.95</v>
      </c>
      <c r="O669" s="325">
        <f t="shared" si="164"/>
        <v>0</v>
      </c>
      <c r="P669" s="325">
        <f t="shared" si="164"/>
        <v>11125.95</v>
      </c>
      <c r="Q669" s="325">
        <f t="shared" si="164"/>
        <v>34133.35</v>
      </c>
      <c r="R669" s="618">
        <f t="shared" si="164"/>
        <v>3</v>
      </c>
      <c r="S669" s="572" t="str">
        <f>CONCATENATE(S578)</f>
        <v xml:space="preserve">6.6.2.1 Développer et actualiser les modules de formation ; 6.6.2.2 Mettre en place le plan de formation ; 6.7.1.1 Renforcement des moyen des déplacements ;  ; </v>
      </c>
    </row>
    <row r="670" spans="2:19" x14ac:dyDescent="0.2">
      <c r="B670" s="533" t="s">
        <v>1487</v>
      </c>
      <c r="C670" s="532"/>
      <c r="D670" s="532"/>
      <c r="E670" s="532"/>
      <c r="F670" s="532"/>
      <c r="G670" s="532"/>
      <c r="H670" s="532"/>
      <c r="I670" s="532"/>
      <c r="J670" s="532"/>
      <c r="K670" s="532"/>
      <c r="L670" s="325">
        <f>SUM(L574:L575)</f>
        <v>22130.3</v>
      </c>
      <c r="M670" s="325">
        <f>SUM(M574:M575)</f>
        <v>21891.8</v>
      </c>
      <c r="N670" s="325">
        <f>SUM(N574:N575)</f>
        <v>21852.799999999999</v>
      </c>
      <c r="O670" s="325">
        <f>SUM(O574:O575)</f>
        <v>21819</v>
      </c>
      <c r="P670" s="325">
        <f>SUM(P574:P575)</f>
        <v>21780</v>
      </c>
      <c r="Q670" s="325">
        <f>SUM(Q574,Q575)</f>
        <v>109473.9</v>
      </c>
      <c r="R670" s="618">
        <f>SUM(R574:R575)</f>
        <v>15</v>
      </c>
      <c r="S670" s="572" t="str">
        <f>CONCATENATE(S574," ; ",S575)</f>
        <v xml:space="preserve">6.1.2.1 Étude préalable à la mise en place des nouvelles filières ; 6.2.1.1 Définir un plan de sensibilisation ; 6.2.1.2 Développer des outils et des supports ; 6.2.1.3 Assurer des campagnes ; 6.3.1.1 Équipement pédagogiques pour les filières prioritaires ; 6.5.1.1 Équipement des écoles techniques en mobilier scolaire ; 6.5.2.1 Acquisition et distribution d'équipement pour activités physiques et sportives ; 6.5.3.1 Analyse des besoins en bibliothèques (audit de l'existant) ; 6.5.3.2 Définition d'une bibliothèque standard et élaboration d'un guide de gestion ; 6.5.3.3 Acquisition et distribution de livres et de matériel ; 6.6.1.1 Étude de faisabilité du national d'ingénierie de la formation ; 6.7.4.1 Élaboration des accords de partenariat entre les trois entités concernés ; 6.7.4.2 Étude d'employabilité des sortants ;  ;  ;  ;  ; 6.1.1.1 Étude sur les filières obsolètes et porteuses d'emploi ; 6.1.3.1 Étude pour la définition des nouvelles critères d'ouverture des filières sur le territoire national ;  ;  ; </v>
      </c>
    </row>
    <row r="671" spans="2:19" x14ac:dyDescent="0.2">
      <c r="B671" s="533" t="s">
        <v>1488</v>
      </c>
      <c r="C671" s="532"/>
      <c r="D671" s="532"/>
      <c r="E671" s="532"/>
      <c r="F671" s="532"/>
      <c r="G671" s="532"/>
      <c r="H671" s="532"/>
      <c r="I671" s="532"/>
      <c r="J671" s="532"/>
      <c r="K671" s="532"/>
      <c r="L671" s="325">
        <f t="shared" ref="L671" si="165">L576</f>
        <v>12414</v>
      </c>
      <c r="M671" s="325">
        <f t="shared" ref="M671:R671" si="166">M576</f>
        <v>13516</v>
      </c>
      <c r="N671" s="325">
        <f t="shared" si="166"/>
        <v>14074</v>
      </c>
      <c r="O671" s="325">
        <f t="shared" si="166"/>
        <v>5400</v>
      </c>
      <c r="P671" s="325">
        <f t="shared" si="166"/>
        <v>5400</v>
      </c>
      <c r="Q671" s="325">
        <f t="shared" si="166"/>
        <v>50804</v>
      </c>
      <c r="R671" s="618">
        <f t="shared" si="166"/>
        <v>5</v>
      </c>
      <c r="S671" s="572" t="str">
        <f t="shared" ref="S671" si="167">S576</f>
        <v>6.1.5.1 Construction et équipement d'un centre de ressource ETFP ; 6.1.6.1 Construction et équipement des centres d'application ; 6.1.7.1 Évaluation des établissements transformés et état des lieux des établissements à transformer ; 6.1.7.2 Acquisition et installation des équipements pour les établissements transformés ; 6.6.1.2 Construction et équipement du CNIF</v>
      </c>
    </row>
    <row r="672" spans="2:19" x14ac:dyDescent="0.2">
      <c r="B672" s="535" t="s">
        <v>885</v>
      </c>
      <c r="C672" s="537"/>
      <c r="D672" s="537"/>
      <c r="E672" s="537"/>
      <c r="F672" s="537"/>
      <c r="G672" s="537"/>
      <c r="H672" s="537"/>
      <c r="I672" s="537"/>
      <c r="J672" s="537"/>
      <c r="K672" s="537"/>
      <c r="L672" s="469">
        <f t="shared" ref="L672:R672" si="168">SUM(L673:L676)</f>
        <v>10928.178015983425</v>
      </c>
      <c r="M672" s="469">
        <f t="shared" si="168"/>
        <v>14035.722872319973</v>
      </c>
      <c r="N672" s="469">
        <f t="shared" si="168"/>
        <v>17492.258047269217</v>
      </c>
      <c r="O672" s="469">
        <f t="shared" si="168"/>
        <v>18680.167302845683</v>
      </c>
      <c r="P672" s="469">
        <f t="shared" si="168"/>
        <v>18285.324711646976</v>
      </c>
      <c r="Q672" s="469">
        <f t="shared" si="168"/>
        <v>79421.650950065276</v>
      </c>
      <c r="R672" s="617">
        <f t="shared" si="168"/>
        <v>57</v>
      </c>
    </row>
    <row r="673" spans="2:19" x14ac:dyDescent="0.2">
      <c r="B673" s="533" t="s">
        <v>1495</v>
      </c>
      <c r="C673" s="532"/>
      <c r="D673" s="532"/>
      <c r="E673" s="532"/>
      <c r="F673" s="532"/>
      <c r="G673" s="532"/>
      <c r="H673" s="532"/>
      <c r="I673" s="532"/>
      <c r="J673" s="532"/>
      <c r="K673" s="532"/>
      <c r="L673" s="325">
        <f t="shared" ref="L673:R673" si="169">SUM(L579,L580,L591,L584,L581)</f>
        <v>40.799999999999997</v>
      </c>
      <c r="M673" s="325">
        <f t="shared" si="169"/>
        <v>352.04</v>
      </c>
      <c r="N673" s="325">
        <f t="shared" si="169"/>
        <v>278.11</v>
      </c>
      <c r="O673" s="325">
        <f t="shared" si="169"/>
        <v>150.47999999999999</v>
      </c>
      <c r="P673" s="325">
        <f t="shared" si="169"/>
        <v>150.85</v>
      </c>
      <c r="Q673" s="325">
        <f t="shared" si="169"/>
        <v>972.28</v>
      </c>
      <c r="R673" s="618">
        <f t="shared" si="169"/>
        <v>8</v>
      </c>
      <c r="S673" s="572" t="str">
        <f>CONCATENATE(S579," ; ",S580," ; ",S591," ; ",S584," ; ",S581)</f>
        <v xml:space="preserve">3.2.4.1 Formation des animateurs ;  ;  ;  ;  ; 3.10.1.1 Formation spécifique destinée aux inspecteurs ;  ;  ;  ;  ; 3.8.1.1 Dynamiser les instances de conseil et de coordination ;  ;  ;  ;  ; 3.9.3.1 Étude de faisabilité de la transformation service en centre de ressource ; 3.9.3.2 Réhabilitation, équipement et fonctionnement du centre ;  ;  ;  ; 3.11.2.1 Développement et fonctionnement du site web ; 3.9.2.1 Renforcement des capacités du personnel ; 3.9.2.2 Renforcement des moyen matériels ;  ; </v>
      </c>
    </row>
    <row r="674" spans="2:19" x14ac:dyDescent="0.2">
      <c r="B674" s="533" t="s">
        <v>574</v>
      </c>
      <c r="C674" s="532"/>
      <c r="D674" s="532"/>
      <c r="E674" s="532"/>
      <c r="F674" s="532"/>
      <c r="G674" s="532"/>
      <c r="H674" s="532"/>
      <c r="I674" s="532"/>
      <c r="J674" s="532"/>
      <c r="K674" s="532"/>
      <c r="L674" s="325">
        <f t="shared" ref="L674:R674" si="170">SUM(L586,L587,L588,L590,L589,L593,L594,L595,L596,L597,L598,L599,L600,L601,L603,L604,L605,L606)</f>
        <v>10016.508015983425</v>
      </c>
      <c r="M674" s="325">
        <f t="shared" si="170"/>
        <v>10215.312872319973</v>
      </c>
      <c r="N674" s="325">
        <f t="shared" si="170"/>
        <v>11419.624047269219</v>
      </c>
      <c r="O674" s="325">
        <f t="shared" si="170"/>
        <v>11507.462302845683</v>
      </c>
      <c r="P674" s="325">
        <f t="shared" si="170"/>
        <v>12269.179711646975</v>
      </c>
      <c r="Q674" s="325">
        <f t="shared" si="170"/>
        <v>55428.086950065277</v>
      </c>
      <c r="R674" s="618">
        <f t="shared" si="170"/>
        <v>35</v>
      </c>
      <c r="S674" s="572" t="str">
        <f>CONCATENATE(S586," ; ",S587," ; ",S588," ; ",S590," ; ",S589," ; ",S593," ; ",S594," ; ",S595," ; ",S596," ; ",S597," ; ",S598," ; ",S599," ; ",S600," ; ",S601," ; ",S603," ; ",S604," ; ",S605," ; ",S606)</f>
        <v xml:space="preserve">3.1.1.2 Développer des outils et des supports ; 3.1.4.2 Renforcement de l'offre alternative d’éducation pour les enfants en âge scolaire non scolarisés (9-14 ans) ; 3.1.4.3 Évaluation de l'efficacité de la subvention ; 3.9.1.1 Étude sur la réorganisation de la DGENF ;  ; 3.1.1.1 Définir un plan de communication ; 3.1.1.2 Développer des outils et des supports ; 3.1.1.3 Assurer des campagnes IEC ;  ;  ; 3.1.2.1 Identification des écoles primaires pouvant servir d'appui ;  ;  ;  ;  ; 3.7.2.1 Formation des formateurs des éducateurs sociaux ; 3.7.3.1 Rémunération des enseignants ;  ;  ;  ; 3.5.3.1 Formation des enseignants à l'utilisation des manuels et guides ;  ;  ;  ;  ; 3.1.4.1 Élaboration d’une stratégie de réinsertion scolaire des enfants déscolarisés et des outils d’identification de ces enfants ;  ;  ;  ;  ; 3.4.1.1 Ateliers techniques de révision du programme de rattrapage scolaire ; 3.6.1.1 Standardisation des outils de suivi et d'évaluation des apprenants ;  ;  ;  ; 3.7.1.1 Actualisation des modules de formation de rattrapage scolaire ; 3.7.1.2 Actualisation des modules de formation d'alphabétisation ;  ;  ;  ; 3.6.2.1 Standardisation des documents de certification ; 3.6.3.1 Formation des inspecteurs des Affaires sociales (alphabétisation, rattrapage scolaire et apprentissage professionnel) ; 3.6.3.2 Formation des inspecteurs de l'EPSINC (rattrapage scolaire) ;  ;  ; 3.7.1.3 Actualisation des modules de formation d'apprentissage professionnel ;  ;  ;  ;  ; 3.2.3.2 Définition des outils et matériels pédagogiques ;  ;  ;  ;  ; 3.5.1.1 État des lieux de la codification des langues ; 3.5.2.2 Atelier de validation des manuels et guides en langue locale ;  ;  ;  ; 3.3.1.1 Révision des programmes ; 3.4.2.1 Élaboration de manuels et de guides pédagogiques de rattrapage scolaire ; 3.4.3.1 Uniformisation des manuels et des guides andragogiques et pédagogiques ;  ;  ; 3.3.2.1 Formation du personnel, de la société civile à l'utilisation des programmes ; 3.4.2.2 Formation des utilisateurs aux manuels et guides pédagogiques de rattrapage scolaire ; 3.4.3.2 Formation des utilisateurs aux manuels et guides andragogiques et pédagogiques ;  ;  ; 3.4.1.2 Harmoniser les programmes d'alphabétisation existants ; 3.4.1.5 Actualisation du guide d'alphabétisation ;  ;  ;  ; 3.4.1.4 Actualisation des guides des trois niveaux de rattrapage scolaire ;  ;  ;  ;  ; 3.4.1.3 Harmoniser les programmes d'apprentissage professionnel ; 3.4.1.6 Actualisation du guide d'apprentissage professionnel ;  ;  ;  ; 3.10.1.2 Assurer l'encadrement pédagogique et administratif des centres ;  ;  ;  ; </v>
      </c>
    </row>
    <row r="675" spans="2:19" x14ac:dyDescent="0.2">
      <c r="B675" s="533" t="s">
        <v>1487</v>
      </c>
      <c r="C675" s="532"/>
      <c r="D675" s="532"/>
      <c r="E675" s="532"/>
      <c r="F675" s="532"/>
      <c r="G675" s="532"/>
      <c r="H675" s="532"/>
      <c r="I675" s="532"/>
      <c r="J675" s="532"/>
      <c r="K675" s="532"/>
      <c r="L675" s="325">
        <f t="shared" ref="L675:R675" si="171">SUM(L602,L592,L582,L585,L583)</f>
        <v>146.6</v>
      </c>
      <c r="M675" s="325">
        <f t="shared" si="171"/>
        <v>294.65999999999997</v>
      </c>
      <c r="N675" s="325">
        <f t="shared" si="171"/>
        <v>2581.3339999999998</v>
      </c>
      <c r="O675" s="325">
        <f t="shared" si="171"/>
        <v>3768.7750000000001</v>
      </c>
      <c r="P675" s="325">
        <f t="shared" si="171"/>
        <v>3770.7750000000001</v>
      </c>
      <c r="Q675" s="325">
        <f t="shared" si="171"/>
        <v>10562.144</v>
      </c>
      <c r="R675" s="618">
        <f t="shared" si="171"/>
        <v>10</v>
      </c>
      <c r="S675" s="572" t="str">
        <f>CONCATENATE(S602," ; ",S592," ; ",S582," ; ",S585," ; ",S583)</f>
        <v xml:space="preserve">3.2.1.1 Recensement des communautés de base et structures de référencement ; 3.2.2.1 Élaboration d'une carte sociale des familles les plus vulnérables ; 3.2.3.3 Acquisition et distribution des outils et matériels pédagogiques ;  ;  ; 3.4.4.1 Acquisition et distribution des programmes ; 3.4.4.2 Acquisition et distribution des manuels ; 3.4.4.3 Acquisition et distribution des guides ; 3.5.2.3 Production et distribution des manuels et guides en langue locale ;  ; 8.1.3.3 Investissements MAS (ENF) ;  ;  ;  ;  ; 3.1.1.1 Définir un plan de communication ;  ;  ;  ;  ; 3.2.3.1 Identification des structures d'accueil ;  ;  ;  ; </v>
      </c>
    </row>
    <row r="676" spans="2:19" x14ac:dyDescent="0.2">
      <c r="B676" s="533" t="s">
        <v>749</v>
      </c>
      <c r="C676" s="532"/>
      <c r="D676" s="532"/>
      <c r="E676" s="532"/>
      <c r="F676" s="532"/>
      <c r="G676" s="532"/>
      <c r="H676" s="532"/>
      <c r="I676" s="532"/>
      <c r="J676" s="532"/>
      <c r="K676" s="532"/>
      <c r="L676" s="325">
        <f>SUM(L607)</f>
        <v>724.27</v>
      </c>
      <c r="M676" s="325">
        <f t="shared" ref="M676:O676" si="172">SUM(M607)</f>
        <v>3173.71</v>
      </c>
      <c r="N676" s="325">
        <f t="shared" si="172"/>
        <v>3213.19</v>
      </c>
      <c r="O676" s="325">
        <f t="shared" si="172"/>
        <v>3253.45</v>
      </c>
      <c r="P676" s="325">
        <f t="shared" ref="P676:R676" si="173">SUM(P607)</f>
        <v>2094.52</v>
      </c>
      <c r="Q676" s="325">
        <f t="shared" si="173"/>
        <v>12459.14</v>
      </c>
      <c r="R676" s="618">
        <f t="shared" si="173"/>
        <v>4</v>
      </c>
      <c r="S676" s="572" t="str">
        <f>CONCATENATE(S607)</f>
        <v xml:space="preserve">3.1.2.2 Construction et équipement de centres de promotion sociale (alphabétisation, rattrapage) ; 3.1.2.3 Réhabilitation et équipement de centres de promotion sociale ; 8.1.1.3 Rémunération des personnels des services centraux MAS ; 8.1.2.3 Fonctionnement des services centraux MAS ; </v>
      </c>
    </row>
    <row r="677" spans="2:19" x14ac:dyDescent="0.2">
      <c r="B677" s="535" t="s">
        <v>804</v>
      </c>
      <c r="C677" s="537"/>
      <c r="D677" s="537"/>
      <c r="E677" s="537"/>
      <c r="F677" s="537"/>
      <c r="G677" s="537"/>
      <c r="H677" s="537"/>
      <c r="I677" s="537"/>
      <c r="J677" s="537"/>
      <c r="K677" s="537"/>
      <c r="L677" s="469">
        <f>SUM(L678:L685)</f>
        <v>225686.96368609145</v>
      </c>
      <c r="M677" s="469">
        <f t="shared" ref="M677:R677" si="174">SUM(M678:M685)</f>
        <v>307814.3146899963</v>
      </c>
      <c r="N677" s="469">
        <f t="shared" si="174"/>
        <v>332382.32076659356</v>
      </c>
      <c r="O677" s="469">
        <f t="shared" si="174"/>
        <v>341784.93454020697</v>
      </c>
      <c r="P677" s="469">
        <f t="shared" si="174"/>
        <v>360648.17899435456</v>
      </c>
      <c r="Q677" s="469">
        <f t="shared" si="174"/>
        <v>1568316.7126772427</v>
      </c>
      <c r="R677" s="617">
        <f t="shared" si="174"/>
        <v>80</v>
      </c>
    </row>
    <row r="678" spans="2:19" x14ac:dyDescent="0.2">
      <c r="B678" s="533" t="s">
        <v>1495</v>
      </c>
      <c r="C678" s="532"/>
      <c r="D678" s="532"/>
      <c r="E678" s="532"/>
      <c r="F678" s="532"/>
      <c r="G678" s="532"/>
      <c r="H678" s="532"/>
      <c r="I678" s="532"/>
      <c r="J678" s="532"/>
      <c r="K678" s="532"/>
      <c r="L678" s="325">
        <f t="shared" ref="L678:Q678" si="175">SUM(L608,L622)</f>
        <v>430</v>
      </c>
      <c r="M678" s="325">
        <f t="shared" si="175"/>
        <v>1206</v>
      </c>
      <c r="N678" s="325">
        <f t="shared" si="175"/>
        <v>1407.5</v>
      </c>
      <c r="O678" s="325">
        <f t="shared" si="175"/>
        <v>1467.5</v>
      </c>
      <c r="P678" s="325">
        <f t="shared" si="175"/>
        <v>1527.5</v>
      </c>
      <c r="Q678" s="325">
        <f t="shared" si="175"/>
        <v>6038.5</v>
      </c>
      <c r="R678" s="618">
        <f>SUM(R608,R609,R622)</f>
        <v>5</v>
      </c>
      <c r="S678" s="572" t="str">
        <f>CONCATENATE(S608," ; ",S622)</f>
        <v xml:space="preserve">7.13.1.1 Élaboration des textes réglementaires (mise en œuvre de la Loi-Cadre) ; 7.9.1.1 Assurer la tenue des exposition régionales et nationales ; 7.9.2.2 Fonctionnement du fonds compétitif ;  ;  ; 7.9.4.3 Assurer le fonctionnement des ED ;  ;  ;  ; </v>
      </c>
    </row>
    <row r="679" spans="2:19" x14ac:dyDescent="0.2">
      <c r="B679" s="533" t="s">
        <v>792</v>
      </c>
      <c r="C679" s="532"/>
      <c r="D679" s="532"/>
      <c r="E679" s="532"/>
      <c r="F679" s="532"/>
      <c r="G679" s="532"/>
      <c r="H679" s="532"/>
      <c r="I679" s="532"/>
      <c r="J679" s="532"/>
      <c r="K679" s="532"/>
      <c r="L679" s="325">
        <f t="shared" ref="L679:R679" si="176">SUM(L627,L618,L619)</f>
        <v>800</v>
      </c>
      <c r="M679" s="325">
        <f t="shared" si="176"/>
        <v>1804.5</v>
      </c>
      <c r="N679" s="325">
        <f t="shared" si="176"/>
        <v>1836</v>
      </c>
      <c r="O679" s="325">
        <f t="shared" si="176"/>
        <v>1886</v>
      </c>
      <c r="P679" s="325">
        <f t="shared" si="176"/>
        <v>1936</v>
      </c>
      <c r="Q679" s="325">
        <f t="shared" si="176"/>
        <v>8262.5</v>
      </c>
      <c r="R679" s="618">
        <f t="shared" si="176"/>
        <v>3</v>
      </c>
      <c r="S679" s="572" t="str">
        <f>CONCATENATE(S627," ; ",S618," ; ",S619)</f>
        <v xml:space="preserve">7.10.2.2 Assurer l'octroi des bourses doctorales ;  ;  ;  ;  ; 7.1.1.1 Octroi d’une bourse d’études aux filles scolarisées dans les filières d'ingénieur ;  ;  ;  ;  ; 7.11.5.2 Contrôles de scolarité dans tous les EES publics et privés agréés ;  ;  ;  ; </v>
      </c>
    </row>
    <row r="680" spans="2:19" x14ac:dyDescent="0.2">
      <c r="B680" s="533" t="s">
        <v>1487</v>
      </c>
      <c r="C680" s="532"/>
      <c r="D680" s="532"/>
      <c r="E680" s="532"/>
      <c r="F680" s="532"/>
      <c r="G680" s="532"/>
      <c r="H680" s="532"/>
      <c r="I680" s="532"/>
      <c r="J680" s="532"/>
      <c r="K680" s="532"/>
      <c r="L680" s="325">
        <f t="shared" ref="L680:R680" si="177">SUM(L611,L612,L613,L614,L615,L616,L617,L626)</f>
        <v>25673.98</v>
      </c>
      <c r="M680" s="325">
        <f t="shared" si="177"/>
        <v>84035.02</v>
      </c>
      <c r="N680" s="325">
        <f t="shared" si="177"/>
        <v>85264.58</v>
      </c>
      <c r="O680" s="325">
        <f t="shared" si="177"/>
        <v>71725</v>
      </c>
      <c r="P680" s="325">
        <f t="shared" si="177"/>
        <v>68264.600000000006</v>
      </c>
      <c r="Q680" s="325">
        <f t="shared" si="177"/>
        <v>334963.18</v>
      </c>
      <c r="R680" s="618">
        <f t="shared" si="177"/>
        <v>57</v>
      </c>
      <c r="S680" s="572" t="str">
        <f>CONCATENATE(S611," ; ",S612," ; ",S613," ; ",S614," ; ",S615," ; ",S616," ; ",S617," ; ",S626)</f>
        <v>7.13.4.1 Élaboration et validation des contrats des performances ; 7.4.1.1 Actualisation des textes régissant les cellules d'assurance qualité (CAQ) ; 7.4.1.2 Formation et renforcement des membres des CAQ ; 7.4.1.3 Réhabilitation et équipement des CAQ ; 7.4.2.1 Définition du statut et du modèle de fonctionnement de l'ANIAQ ; 7.4.2.2 Mise en place de l'ANIAQ ; 7.5.2.1 Élaboration du programme de développement des établissements existants ; 7.5.2.2 Mise en œuvre du programme de développement ; 7.6.1.1 Définition du programme de mise en place du système LMD ; 7.6.3.2 Subvention de la mobilité ; 7.8.2.3 Dotation des enseignants et étudiants en ordinateurs portables ; 7.8.2.4 Formation des enseignants aux TIC dans les enseignements ; 7.9.1.2 Octroi des prix aux œuvres porteuses ; 7.9.2.1 Définition du concept et du mode de fonctionnement ;  ;  ;  ; 7.13.3.1 Mise en place d'un cadre permanent de concertation ; 7.9.4.1 Étude de faisabilité de création des ED ; 7.9.4.2 Mise en place des ED ;  ;  ; 7.11.1.1 Étude d'élaboration du cadre normatif avec une cellule d'experts ; 7.5.1.1 Définition / révision des programmes ; 7.5.1.2 Formation sur les nouveaux programmes ; 7.6.1.2 Révision des programmes selon le système LMD ; 7.6.1.3 Édition et distribution des nouveaux programmes ; 7.6.1.4 Formation aux nouveaux programmes ;  ;  ;  ;  ;  ;  ;  ;  ;  ;  ;  ; 7.7.1.1 Définition du Plan numérique des universités ; 7.7.1.2 Mise en place du Plan numérique ; 7.7.1.3 Mise en place d'un centre universitaire informatique ; 7.7.2.1 Définir l'architecture de la BVN ; 7.7.2.2 Mise en place et fonctionnement de la BVN ; 7.8.1.1 Définition du réseau numérique ; 7.8.1.2 Mise en place et fonctionnement du réseau numérique des EES ;  ;  ;  ;  ;  ;  ;  ;  ;  ;  ; 7.2.1.1 Faisabilité de création des ESS dans les zones défavorisées ; 7.2.1.2 Création d'un EES dans une zone défavorisée ; 7.3.2.1 Construction de 70 amphithéâtres ; 7.3.2.2 Construction de 400 salles pour le supérieur ; 7.3.2.3 Réhabilitation des laboratoires et ateliers ; 7.10.2.1 Étude de définition du dispositif ;  ;  ;  ;  ; 7.10.1.2 Recrutement de nouveaux enseignants et vacations ;  ;  ;  ;  ; 5.8.3.3 Équipement en matériel de laboratoire, ateliers et matériels didactiques des ISP/ISPT/UPN ; 7.10.1.1 Développement d'un fichier des compétences nationales ; 7.11.2.1  Organisation et tenue des états généraux de l'enseignement supérieur ; 7.11.4.1  Définir les modèles d'audits interne et externe ; 7.11.4.1  Étude sur le dimensionnement et l'organisation des EES publics ; 7.11.4.2  Formation aux méthodes d'audit interne ; 7.11.5.1 Audit organisationnel et enquête de viabilité pour les différents ESS ; 7.11.5.3 Organisations des campagnes de sensibilisation dans les 26 provinces pour impliquer toutes les parties prenantes dans l'effort d'assainissement du sous secteur ; 7.11.5.4 Conclusion d'accord de collaboration avec les associations de la société civile et du monde économique ; 7.12.1.1 Définition de la cellule de planification et sa mise en place dans tous les EES ; 7.12.1.2 Mise à jour de la carte universitaire ; 7.12.1.3 Renforcement des capacité en matière de planification ; 7.12.2.1 Réhabilitation et équipement des 26 cellules des planifications aux niveaux des conférences des chefs d'EES ; 7.12.2.2 Appui technique aux EES pour l'élaboration de leur plan stratégique ; 7.12.2.3 Utilisation par les EES de logiciels de gestion informatisée des ressources ; 7.12.3.1 Production annuelle du plan stratégique des ESS ; 7.13.2.1 Conception des outils de bonne  gouvernance ; 7.13.2.2 Renforcement des capacités des gestionnaires des EES sur l'utilisation des outils de bonne gouvernance ; 8.1.3.2 Investissements MESU ; 8.1.3.4 Investissements  ETP</v>
      </c>
    </row>
    <row r="681" spans="2:19" x14ac:dyDescent="0.2">
      <c r="B681" s="533" t="s">
        <v>749</v>
      </c>
      <c r="C681" s="532"/>
      <c r="D681" s="532"/>
      <c r="E681" s="532"/>
      <c r="F681" s="532"/>
      <c r="G681" s="532"/>
      <c r="H681" s="532"/>
      <c r="I681" s="532"/>
      <c r="J681" s="532"/>
      <c r="K681" s="532"/>
      <c r="L681" s="325">
        <f t="shared" ref="L681:R681" si="178">SUM(L628,L620)</f>
        <v>198564.98368609144</v>
      </c>
      <c r="M681" s="325">
        <f t="shared" si="178"/>
        <v>220022.79468999628</v>
      </c>
      <c r="N681" s="325">
        <f t="shared" si="178"/>
        <v>242812.24076659358</v>
      </c>
      <c r="O681" s="325">
        <f t="shared" si="178"/>
        <v>265611.43454020697</v>
      </c>
      <c r="P681" s="325">
        <f t="shared" si="178"/>
        <v>287880.07899435452</v>
      </c>
      <c r="Q681" s="325">
        <f t="shared" si="178"/>
        <v>1214891.5326772428</v>
      </c>
      <c r="R681" s="618">
        <f t="shared" si="178"/>
        <v>3</v>
      </c>
      <c r="S681" s="572" t="str">
        <f>CONCATENATE(S628," ; ",S620)</f>
        <v xml:space="preserve">8.1.1.2 Rémunération des personnels des services centraux du MESU ; 8.1.2.2 Fonctionnement des services centraux MESU ;  ;  ;  ; 7.3.1.1 Paiement des enseignants ;  ;  ;  ; </v>
      </c>
    </row>
    <row r="682" spans="2:19" x14ac:dyDescent="0.2">
      <c r="B682" s="533" t="s">
        <v>1496</v>
      </c>
      <c r="C682" s="532"/>
      <c r="D682" s="532"/>
      <c r="E682" s="532"/>
      <c r="F682" s="532"/>
      <c r="G682" s="532"/>
      <c r="H682" s="532"/>
      <c r="I682" s="532"/>
      <c r="J682" s="532"/>
      <c r="K682" s="532"/>
      <c r="L682" s="325">
        <f t="shared" ref="L682:R682" si="179">SUM(L624,L625,L609)</f>
        <v>95.5</v>
      </c>
      <c r="M682" s="325">
        <f t="shared" si="179"/>
        <v>291</v>
      </c>
      <c r="N682" s="325">
        <f t="shared" si="179"/>
        <v>262</v>
      </c>
      <c r="O682" s="325">
        <f t="shared" si="179"/>
        <v>240</v>
      </c>
      <c r="P682" s="325">
        <f t="shared" si="179"/>
        <v>240</v>
      </c>
      <c r="Q682" s="325">
        <f t="shared" si="179"/>
        <v>1128.5</v>
      </c>
      <c r="R682" s="618">
        <f t="shared" si="179"/>
        <v>6</v>
      </c>
      <c r="S682" s="572" t="str">
        <f>CONCATENATE(S624," ; ",S625," ; ",S609)</f>
        <v xml:space="preserve">8.12.2.2 Étude sur la réorganisation des services d'orientation des EES ; 8.12.2.3 Formation des formateurs des services d'orientation des EES ; 8.12.2.4 Formation des personnels des services d'orientation des EES ;  ;  ; 5.8.3.1 Actualisation du référentiel de compétences des enseignants réalisé en 2013 ; 5.8.3.2 Révision du curriculum de formation des enseignants ;  ;  ;  ; 7.6.2.1 Mise à niveau et fonctionnement de la CPE ;  ;  ;  ; </v>
      </c>
    </row>
    <row r="683" spans="2:19" x14ac:dyDescent="0.2">
      <c r="B683" s="533" t="s">
        <v>1497</v>
      </c>
      <c r="C683" s="532"/>
      <c r="D683" s="532"/>
      <c r="E683" s="532"/>
      <c r="F683" s="532"/>
      <c r="G683" s="532"/>
      <c r="H683" s="532"/>
      <c r="I683" s="532"/>
      <c r="J683" s="532"/>
      <c r="K683" s="532"/>
      <c r="L683" s="325">
        <f>L610</f>
        <v>62.5</v>
      </c>
      <c r="M683" s="325">
        <f t="shared" ref="M683:R683" si="180">M610</f>
        <v>0</v>
      </c>
      <c r="N683" s="325">
        <f t="shared" si="180"/>
        <v>500</v>
      </c>
      <c r="O683" s="325">
        <f t="shared" si="180"/>
        <v>500</v>
      </c>
      <c r="P683" s="325">
        <f t="shared" si="180"/>
        <v>500</v>
      </c>
      <c r="Q683" s="325">
        <f t="shared" si="180"/>
        <v>1562.5</v>
      </c>
      <c r="R683" s="618">
        <f t="shared" si="180"/>
        <v>2</v>
      </c>
      <c r="S683" s="572" t="str">
        <f t="shared" ref="S683" si="181">S610</f>
        <v xml:space="preserve">7.8.2.1 Définition du concept et du mécanisme de fonctionnement ; 7.8.2.2 Développement de la formation à distance ;  ;  ; </v>
      </c>
    </row>
    <row r="684" spans="2:19" x14ac:dyDescent="0.2">
      <c r="B684" s="533" t="s">
        <v>1498</v>
      </c>
      <c r="C684" s="532"/>
      <c r="D684" s="532"/>
      <c r="E684" s="532"/>
      <c r="F684" s="532"/>
      <c r="G684" s="532"/>
      <c r="H684" s="532"/>
      <c r="I684" s="532"/>
      <c r="J684" s="532"/>
      <c r="K684" s="532"/>
      <c r="L684" s="325">
        <f>SUM(L621)</f>
        <v>51.5</v>
      </c>
      <c r="M684" s="325">
        <f t="shared" ref="M684:R684" si="182">SUM(M621)</f>
        <v>400</v>
      </c>
      <c r="N684" s="325">
        <f t="shared" si="182"/>
        <v>300</v>
      </c>
      <c r="O684" s="325">
        <f t="shared" si="182"/>
        <v>300</v>
      </c>
      <c r="P684" s="325">
        <f t="shared" si="182"/>
        <v>300</v>
      </c>
      <c r="Q684" s="325">
        <f t="shared" si="182"/>
        <v>1351.5</v>
      </c>
      <c r="R684" s="618">
        <f t="shared" si="182"/>
        <v>2</v>
      </c>
      <c r="S684" s="572" t="str">
        <f>CONCATENATE(S621)</f>
        <v xml:space="preserve">7.9.3.1 Définition du programme de mise à niveau ; 7.9.3.2 Réhabilitation et équipement du PUC ;  ;  ; </v>
      </c>
    </row>
    <row r="685" spans="2:19" x14ac:dyDescent="0.2">
      <c r="B685" s="533" t="s">
        <v>1499</v>
      </c>
      <c r="C685" s="532"/>
      <c r="D685" s="532"/>
      <c r="E685" s="532"/>
      <c r="F685" s="532"/>
      <c r="G685" s="532"/>
      <c r="H685" s="532"/>
      <c r="I685" s="532"/>
      <c r="J685" s="532"/>
      <c r="K685" s="532"/>
      <c r="L685" s="325">
        <f>SUM(L623)</f>
        <v>8.5</v>
      </c>
      <c r="M685" s="325">
        <f t="shared" ref="M685:R685" si="183">SUM(M623)</f>
        <v>55</v>
      </c>
      <c r="N685" s="325">
        <f t="shared" si="183"/>
        <v>0</v>
      </c>
      <c r="O685" s="325">
        <f t="shared" si="183"/>
        <v>55</v>
      </c>
      <c r="P685" s="325">
        <f t="shared" si="183"/>
        <v>0</v>
      </c>
      <c r="Q685" s="325">
        <f t="shared" si="183"/>
        <v>118.5</v>
      </c>
      <c r="R685" s="618">
        <f t="shared" si="183"/>
        <v>2</v>
      </c>
      <c r="S685" s="572" t="str">
        <f>CONCATENATE(S623)</f>
        <v xml:space="preserve">8.11.1.1 Élaboration d'un module de formation ; 8.11.1.2 Formation des inspecteurs de l'ESU ;  ;  ; </v>
      </c>
    </row>
    <row r="686" spans="2:19" x14ac:dyDescent="0.2">
      <c r="B686" s="535" t="s">
        <v>1137</v>
      </c>
      <c r="C686" s="537"/>
      <c r="D686" s="537"/>
      <c r="E686" s="537"/>
      <c r="F686" s="537"/>
      <c r="G686" s="537"/>
      <c r="H686" s="537"/>
      <c r="I686" s="537"/>
      <c r="J686" s="537"/>
      <c r="K686" s="537"/>
      <c r="L686" s="469">
        <f>SUM(L687:L689)</f>
        <v>6997.2800000000007</v>
      </c>
      <c r="M686" s="469">
        <f t="shared" ref="M686:R686" si="184">SUM(M687:M689)</f>
        <v>7616.5430000000006</v>
      </c>
      <c r="N686" s="469">
        <f t="shared" si="184"/>
        <v>6502.643</v>
      </c>
      <c r="O686" s="469">
        <f t="shared" si="184"/>
        <v>6301.33</v>
      </c>
      <c r="P686" s="469">
        <f t="shared" si="184"/>
        <v>6549.93</v>
      </c>
      <c r="Q686" s="469">
        <f t="shared" si="184"/>
        <v>33967.725999999995</v>
      </c>
      <c r="R686" s="617">
        <f t="shared" si="184"/>
        <v>93</v>
      </c>
    </row>
    <row r="687" spans="2:19" x14ac:dyDescent="0.2">
      <c r="B687" s="533" t="s">
        <v>1500</v>
      </c>
      <c r="C687" s="532"/>
      <c r="D687" s="532"/>
      <c r="E687" s="532"/>
      <c r="F687" s="532"/>
      <c r="G687" s="532"/>
      <c r="H687" s="532"/>
      <c r="I687" s="532"/>
      <c r="J687" s="532"/>
      <c r="K687" s="532"/>
      <c r="L687" s="325">
        <f>L630</f>
        <v>4829.3500000000004</v>
      </c>
      <c r="M687" s="325">
        <f t="shared" ref="M687:R687" si="185">M630</f>
        <v>4626.6000000000004</v>
      </c>
      <c r="N687" s="325">
        <f t="shared" si="185"/>
        <v>4068.85</v>
      </c>
      <c r="O687" s="325">
        <f t="shared" si="185"/>
        <v>4280.1000000000004</v>
      </c>
      <c r="P687" s="325">
        <f t="shared" si="185"/>
        <v>4562.1000000000004</v>
      </c>
      <c r="Q687" s="325">
        <f t="shared" si="185"/>
        <v>22367</v>
      </c>
      <c r="R687" s="618">
        <f t="shared" si="185"/>
        <v>20</v>
      </c>
      <c r="S687" s="572" t="str">
        <f t="shared" ref="S687" si="186">S630</f>
        <v>5.8.5.1 Définition d'un cadre de coordination des 4 ministères ; 5.8.5.2 Mise en place et fonctionnement du cadre de coordination ; 8.12.3.1 Étude sur la réforme du TENAFEP ; 8.14.2.1 Élaboration et adoption d'un code de conduite unique ; 8.14.2.2 Vulgarisation des principes du code de conduite ; 8.14.2.3 Élargissement de l'expérience "Points focaux genre" : Identification des cas de violence dans les écoles et mise en place de mécanisme de suivi des dossiers et de références des victimes ; 8.14.3.1 Discrimination positive au recrutement dans la fonction d'enseignement ; 8.17.1.1 Définition de la structure/prérogatives/composition de la cellule ; 8.17.2.1 Élaboration d'une étude sur la vulnérabilité ; 8.17.3.1 Élaboration d'une stratégie de prévention des risques ; 8.19.1.1 Renforcement des structures de pilotage et coordination ; 8.19.1.2 Renforcement des structures de mise en œuvre du Plan sectoriel ; 8.19.2.1 Organisation et tenue des Revues conjointes ; 8.19.3.1 Définition d'un cadre de coordination interministérielle ; 8.19.3.2 Mise en place et fonctionnement du cadre de coordination interministérielle ; 8.3.1.1 Études sur la mise à la retraite des agents ; 8.3.2.1 Études sur la rationalisation et la modernisation des statuts ; 8.6.2.1 Évaluation des besoins effectifs de fonctionnement des différentes catégories des bureaux gestionnaires ; 8.6.2.2 Définition des budgets des catégories des BG et des modalités de leur financement ; 8.6.3.1 Étude d'évaluation des flux ascendants ;</v>
      </c>
    </row>
    <row r="688" spans="2:19" x14ac:dyDescent="0.2">
      <c r="B688" s="533" t="s">
        <v>1501</v>
      </c>
      <c r="C688" s="532"/>
      <c r="D688" s="532"/>
      <c r="E688" s="532"/>
      <c r="F688" s="532"/>
      <c r="G688" s="532"/>
      <c r="H688" s="532"/>
      <c r="I688" s="532"/>
      <c r="J688" s="532"/>
      <c r="K688" s="532"/>
      <c r="L688" s="325">
        <f t="shared" ref="L688:R688" si="187">SUM(L631,L632,L633,L634,L635,L636,L637,L638,L639,L640,L641,L642,L643,L644,L645,L646,L647,L648,L649,L650)</f>
        <v>1232.8499999999999</v>
      </c>
      <c r="M688" s="325">
        <f t="shared" si="187"/>
        <v>2110.663</v>
      </c>
      <c r="N688" s="325">
        <f t="shared" si="187"/>
        <v>1400.8130000000001</v>
      </c>
      <c r="O688" s="325">
        <f t="shared" si="187"/>
        <v>1087.25</v>
      </c>
      <c r="P688" s="325">
        <f t="shared" si="187"/>
        <v>980.45</v>
      </c>
      <c r="Q688" s="325">
        <f t="shared" si="187"/>
        <v>6812.0259999999998</v>
      </c>
      <c r="R688" s="618">
        <f t="shared" si="187"/>
        <v>50</v>
      </c>
      <c r="S688" s="572" t="str">
        <f>CONCATENATE(S631," ; ",S632," ; ",S633," ; ",S634," ; ",S635," ; ",S636," ; ",S637," ; ",S638," ; ",S639," ; ",S640," ; ",S641," ; ",S642," ; ",S643," ; ",S644," ; ",S645," ; ",S646," ; ",S647," ; ",S648," ; ",S649," ; ",S650)</f>
        <v xml:space="preserve">8.14.3.2 Organisation de journées d'information et d'échange ; 8.14.4.1 Sensibiliser les communautés à la prévention des mariages précoces et les filles et adolescentes aux grossesses non désirées ; 8.14.4.2 Créer des clubs des pairs  (es) éducateurs  (trices) ;  ;  ; 8.18.3.1 Élaboration d'un plan de communication ; 8.18.3.2 Développer des outils et des supports ; 8.18.3.3 Assurer des campagnes IEC ;  ;  ; 8.18.1.1 Établir un diagnostic de la situation ; 8.18.1.2 Élaboration du/des document(s) de stratégie pour l'éducation à la paix à la citoyenneté ; 8.18.1.3 Élaboration et validation des plans d'action pour l'éducation à la paix, en situation d'urgence et à la citoyenneté ; 8.18.1.4 Publication et vulgarisation des plans d'action pour l'éducation à la paix et à la nouvelle citoyenneté ; 8.18.2.1 Élaboration de modules de formation et de guides pratiques ; 8.18.2.2 Élaboration d'un référentiel de cours d'éducation civique et morale et d'éducation à la nouvelle citoyenneté ; 8.18.4.1 Organisation du montage institutionnel et installation des structures provinciales ; 8.18.4.2 Renforcement des capacités ;  ;  ;  ;  ;  ;  ;  ;  ;  ; 8.17.3.2 Définir les indicateurs de vulnérabilité et les modalité de leur production ;  ;  ;  ;  ; 8.6.1.1 Production d'outils d'audits internes et externes ; 8.6.1.2 Opérations d'audits internes et externes ;  ;  ;  ; 8.7.2.1 Élaboration et diffusion des projets d'établissement ;  ;  ;  ;  ; 8.14.5.1 Révision des programmes à tous les niveaux pour éliminer les stéréotypes et intégrer la dimension genre ; 8.14.5.2 Élaboration d'un guide méthodologique de révision des manuels scolaires ; 8.14.5.3 Réviser les manuels pour éliminer les stéréotypes et intégrer la dimension genre ;  ;  ; 8.17.6.1 Révision des programmes en intégrant les principes de réduction des risques ;  ;  ;  ;  ; 8.17.4.1 Organisation du montage institutionnel et installation des structures provinciales ; 8.17.5.1 Élaboration et validation du plan d'action pour les zones à risque ;  ;  ;  ; 8.10.1.1 Définition des prérogatives et de la composition du Comité scientifique ; 8.10.1.2 Mise en place du Comité scientifique ; 8.10.2.1 Mise en place de la réforme des curricula aux différents et entre les niveaux ; 8.10.2.2 Étude sur l'harmonisation des profils de sortie ; 8.10.3.1 Élaboration de modules de formation ; 8.11.2.1 Mise en place d'une Cellule indépendante de l'évaluation des acquis scolaires ; 8.11.2.2 Développement des outils d'évaluation ; 8.11.2.3 Administration des évaluations nationales et fonctionnement de la Cellule ; 8.11.4.1 Élaboration des guides de diagnostic par type d'établissement ; 8.11.4.2 Acquisition et diffusion des guides de diagnostic ; 8.11.5.1 Élaboration d'un module de formation aux guides de diagnostic ;  ;  ;  ;  ;  ;  ; 8.12.1.1 Étude sur la mise en place de passerelles entre les filières ;  ;  ;  ;  ; 8.9.3.1 Formation et échange d'expérience entre différents COGES et COPA ;  ;  ;  ;  ; 8.12.2.1 Étude sur la création de services d'orientation dans le secondaire ; 8.9.1.1 Élaboration et mise en place d'une nouvelle convention ; 8.9.2.1 Révision et mise à jour des textes réglementaires ;  ;  ; 8.15.1.1 Préparation d'une circulaire/instruction académique par le Ministre portant interdiction de toute mobilité pendant l'année scolaire/académique ; 8.15.1.2 Vulgarisation et suivi de l'application de la circulaire/instruction académique ; 8.15.3.1 Définition des dispositions d'imposition de rattrapage des heures perdues ;  ;  ; 8.7.1.1 Accompagnement des structures dans l'élaboration d'un projet a l'EPSINC ;  ;  ;  ;  ; 8.15.2.1 Identifier des solutions pour le paiement des enseignants ;  ;  ;  ;  ; 8.7.1.3 Accompagnement des structures dans l'élaboration d'un projet de l'ETP ;  ;  ;  ;  ; 8.7.1.2 Accompagnement des structures dans l'élaboration d'un projet au MAS ;  ;  ;  ;  ; 8.14.5.4 Formation des enseignants à l'utilisation des programmes et manuels révisés ;  ;  ;  ;  ; 5.8.1.1 Étude sur la spécialisation des institutions ; 5.8.2.1 Étude sur la réforme structurelle des ISP/ISPT/UPN ;  ;  ; </v>
      </c>
    </row>
    <row r="689" spans="2:25" ht="12" thickBot="1" x14ac:dyDescent="0.25">
      <c r="B689" s="533" t="s">
        <v>1502</v>
      </c>
      <c r="C689" s="532"/>
      <c r="D689" s="532"/>
      <c r="E689" s="532"/>
      <c r="F689" s="532"/>
      <c r="G689" s="532"/>
      <c r="H689" s="532"/>
      <c r="I689" s="532"/>
      <c r="J689" s="532"/>
      <c r="K689" s="532"/>
      <c r="L689" s="325">
        <f t="shared" ref="L689:R689" si="188">SUM(L532,L533,L534,L535,L536,L529,L559,L537)</f>
        <v>935.08</v>
      </c>
      <c r="M689" s="325">
        <f t="shared" si="188"/>
        <v>879.28</v>
      </c>
      <c r="N689" s="325">
        <f t="shared" si="188"/>
        <v>1032.98</v>
      </c>
      <c r="O689" s="325">
        <f t="shared" si="188"/>
        <v>933.98</v>
      </c>
      <c r="P689" s="325">
        <f t="shared" si="188"/>
        <v>1007.38</v>
      </c>
      <c r="Q689" s="325">
        <f t="shared" si="188"/>
        <v>4788.7</v>
      </c>
      <c r="R689" s="618">
        <f t="shared" si="188"/>
        <v>23</v>
      </c>
      <c r="S689" s="572" t="str">
        <f>CONCATENATE(S532," ; ",S533," ; ",S534," ; ",S535," ; ",S536," ; ",S529," ; ",S559," ; ",S537)</f>
        <v xml:space="preserve">5.8.4.1 Validation du guide de stage élaboré en 2015 ; 5.8.4.2 Élaboration d'un cadre de suivi des stages des enseignants en formation ;  ;  ;  ; 8.17.13.2 Identification des élèves/étudiants déplacés ainsi que leurs établissements ;  ;  ;  ;  ; 8.16.1.1 Mise en place progressive du dispositif numérique de collecte de données et de saisie des données ; 8.16.1.2 Formation des cadres au logiciel de collecte et de saisie des données ; 8.16.1.3 Campagne de collecte de données ; 8.16.2.1 Traitement et analyse des données ; 8.16.2.2 Publication des annuaires nationaux et provinciaux et des cartes scolaires ; 8.16.3.1 Élaboration des cartes scolaires/universitaires ; 8.16.3.2 Publication de la carte scolaire/universitaire (papier et numérique) ; 8.13.4.1 Mise en place d'un système de suivi des carrières scolaires ; 8.13.4.2 Mise en œuvre du dispositif ;  ;  ;  ; 5.2.1.1 Étude sur les modalités de l'examen de fin du cycle ; 5.2.1.2 Textes réglementaires adoptés ; 8.13.3.1 Formation des directeurs d'établissement scolaire au dispositif de rattrapage pour les élèves en difficulté ;  ;  ; 8.4.1.1 Formation des cadres des services centraux ; 8.4.1.2 Formation des cadres des services déconcentrés ; 8.4.1.3 Suivi  et évaluation des cadres des services déconcentrés ;  ;  ; 2.6.3.1 Élaboration de plaquettes sur l'éducation à la gestion, l'éducation à la paix et à la citoyenneté ;  ;  ;  ;  ; 8.16.4.1 Définition des méthodes d'élaboration des tableaux des tableaux de bord provinciaux ; 8.16.4.2 Élaboration des premiers tableaux de bord provinciaux ; 8.16.5.1 Formation aux outils et méthodes ; 8.16.5.2 Publication et diffusion des tableaux de bords provinciaux ; </v>
      </c>
    </row>
    <row r="690" spans="2:25" s="47" customFormat="1" ht="15.75" customHeight="1" thickTop="1" thickBot="1" x14ac:dyDescent="0.3">
      <c r="B690" s="538" t="s">
        <v>963</v>
      </c>
      <c r="C690" s="539"/>
      <c r="D690" s="539"/>
      <c r="E690" s="539"/>
      <c r="F690" s="539"/>
      <c r="G690" s="539"/>
      <c r="H690" s="539"/>
      <c r="I690" s="539"/>
      <c r="J690" s="539"/>
      <c r="K690" s="539"/>
      <c r="L690" s="540">
        <f t="shared" ref="L690:R690" si="189">L686+L677+L672+L666+L654</f>
        <v>1239553.0626433906</v>
      </c>
      <c r="M690" s="540">
        <f t="shared" si="189"/>
        <v>1461500.17492403</v>
      </c>
      <c r="N690" s="540">
        <f t="shared" si="189"/>
        <v>1635857.4238635357</v>
      </c>
      <c r="O690" s="540">
        <f t="shared" si="189"/>
        <v>1742951.3773052255</v>
      </c>
      <c r="P690" s="540">
        <f t="shared" si="189"/>
        <v>1883244.3822925675</v>
      </c>
      <c r="Q690" s="540">
        <f t="shared" si="189"/>
        <v>7963106.42102875</v>
      </c>
      <c r="R690" s="550">
        <f t="shared" si="189"/>
        <v>457</v>
      </c>
      <c r="S690" s="571"/>
      <c r="T690" s="571"/>
      <c r="U690" s="571"/>
      <c r="V690" s="571"/>
      <c r="W690" s="571"/>
      <c r="X690" s="571"/>
      <c r="Y690" s="571"/>
    </row>
    <row r="691" spans="2:25" ht="12" thickTop="1" x14ac:dyDescent="0.2">
      <c r="L691" s="148">
        <f>L651-L690</f>
        <v>0</v>
      </c>
    </row>
    <row r="692" spans="2:25" s="572" customFormat="1" hidden="1" x14ac:dyDescent="0.2"/>
    <row r="693" spans="2:25" s="572" customFormat="1" hidden="1" x14ac:dyDescent="0.2"/>
    <row r="694" spans="2:25" s="572" customFormat="1" hidden="1" x14ac:dyDescent="0.2"/>
    <row r="695" spans="2:25" s="572" customFormat="1" ht="12" hidden="1" thickBot="1" x14ac:dyDescent="0.25"/>
    <row r="696" spans="2:25" s="572" customFormat="1" ht="23.25" hidden="1" thickTop="1" x14ac:dyDescent="0.2">
      <c r="B696" s="630" t="s">
        <v>1638</v>
      </c>
      <c r="C696" s="631"/>
      <c r="D696" s="631"/>
      <c r="E696" s="631"/>
      <c r="F696" s="631"/>
      <c r="G696" s="631"/>
      <c r="H696" s="631"/>
      <c r="I696" s="631"/>
      <c r="J696" s="631"/>
      <c r="K696" s="631"/>
      <c r="L696" s="632"/>
    </row>
    <row r="697" spans="2:25" s="572" customFormat="1" hidden="1" x14ac:dyDescent="0.2">
      <c r="B697" s="633" t="s">
        <v>1436</v>
      </c>
      <c r="C697" s="634"/>
      <c r="D697" s="634"/>
      <c r="E697" s="634"/>
      <c r="F697" s="634"/>
      <c r="G697" s="634"/>
      <c r="H697" s="634"/>
      <c r="I697" s="634"/>
      <c r="J697" s="634"/>
      <c r="K697" s="634"/>
      <c r="L697" s="615"/>
    </row>
    <row r="698" spans="2:25" s="572" customFormat="1" hidden="1" x14ac:dyDescent="0.2">
      <c r="B698" s="635" t="s">
        <v>1437</v>
      </c>
      <c r="C698" s="634"/>
      <c r="D698" s="634"/>
      <c r="E698" s="634"/>
      <c r="F698" s="634"/>
      <c r="G698" s="634"/>
      <c r="H698" s="634"/>
      <c r="I698" s="634"/>
      <c r="J698" s="634"/>
      <c r="K698" s="634"/>
      <c r="L698" s="612" t="str">
        <f>S655</f>
        <v xml:space="preserve">8.14.1.1 Définir un plan de communication spécifique à la scolarisation des filles ; 8.14.1.2 Développer des outils et des supports ; 8.14.1.3 Assurer des campagnes de sensibilisation et de communication ;  ;  ; 8.6.4.1 Fonctionnement régulier de la Commission des flux ascendants ;  ;  ;  ;  ; 1.1.1.1 Évaluation de l'expérience des ECE et définition des possibilités de son extension ; 1.1.1.2 Définir un plan de communication ; 1.1.1.3 Développer des outils et des supports ; 1.1.1.4 Assurer des campagnes IEC ; 4.1.5.2 Sensibilisation à la réforme de l'éducation de base ; </v>
      </c>
    </row>
    <row r="699" spans="2:25" s="572" customFormat="1" hidden="1" x14ac:dyDescent="0.2">
      <c r="B699" s="635" t="s">
        <v>1485</v>
      </c>
      <c r="C699" s="634"/>
      <c r="D699" s="634"/>
      <c r="E699" s="634"/>
      <c r="F699" s="634"/>
      <c r="G699" s="634"/>
      <c r="H699" s="634"/>
      <c r="I699" s="634"/>
      <c r="J699" s="634"/>
      <c r="K699" s="634"/>
      <c r="L699" s="612" t="str">
        <f t="shared" ref="L699:L732" si="190">S656</f>
        <v xml:space="preserve">2.10.2.1 Allocation de la bourse d'études pour les enseignants en formation ; 2.9.3.1 Établissement d'une cartographie des REP existants ; 2.9.3.2 Extension des REP sur tout le territoire ;  ; </v>
      </c>
    </row>
    <row r="700" spans="2:25" s="572" customFormat="1" hidden="1" x14ac:dyDescent="0.2">
      <c r="B700" s="635" t="s">
        <v>1486</v>
      </c>
      <c r="C700" s="634"/>
      <c r="D700" s="634"/>
      <c r="E700" s="634"/>
      <c r="F700" s="634"/>
      <c r="G700" s="634"/>
      <c r="H700" s="634"/>
      <c r="I700" s="634"/>
      <c r="J700" s="634"/>
      <c r="K700" s="634"/>
      <c r="L700" s="612" t="str">
        <f t="shared" si="190"/>
        <v xml:space="preserve">1.2.2.1 Assurer le fonctionnement de la phase pilote de la classe préparatoire ; 1.2.2.2 Évaluer l'expérience pilote ; 2.11.1.1 Équipement des inspecteurs en Moto ; 2.11.2.1 Assurer l'encadrement pédagogique et administratifs des écoles ; 2.7.4.1 Élaboration d'outils d'évaluation ; 2.7.4.2  Réalisation par les inspecteurs d'évaluations régulières des actions des écoles pour la lecture ; 2.9.4.1 Élaboration d'outils de suivi et d'évaluation ; 4.1.2.1 Déterminer les profils des enseignants ; 4.7.1.1 Renforcement des moyen des déplacements ; 4.7.2.1 Assurer l'encadrement pédagogique et administratifs des écoles ; 5.2.1.3 Assurer la réalisation de l'examen national ; 5.9.1.1 Renforcement des moyen des déplacements ; 5.9.2.1 Assurer l'encadrement pédagogique et administratifs des écoles ; 5.9.3.1 Équipement des inspecteurs en ordinateurs portables ; 8.13.2.1 Sensibilisation des directeurs d'écoles et des inspecteurs ;  ;  ; 8.17.11.1 Élaboration d'un guide pratique pour adapter le calendrier et les horaires ;  ;  ;  ;  ; 8.17.12.2 Former les inspecteurs formateurs des enseignants sur les risques de catastrophe naturelle, leurs conséquences et le comportement à tenir à destination des élèves ;  ;  ;  ; </v>
      </c>
    </row>
    <row r="701" spans="2:25" s="572" customFormat="1" hidden="1" x14ac:dyDescent="0.2">
      <c r="B701" s="635" t="s">
        <v>749</v>
      </c>
      <c r="C701" s="634"/>
      <c r="D701" s="634"/>
      <c r="E701" s="634"/>
      <c r="F701" s="634"/>
      <c r="G701" s="634"/>
      <c r="H701" s="634"/>
      <c r="I701" s="634"/>
      <c r="J701" s="634"/>
      <c r="K701" s="634"/>
      <c r="L701" s="612" t="str">
        <f t="shared" si="190"/>
        <v xml:space="preserve">8.1.2.1 Fonctionnement des services centraux EPSINC ; 5.1.1.2 Équipement en matériel pour les établissements spécialisés ;  ;  ; </v>
      </c>
    </row>
    <row r="702" spans="2:25" s="572" customFormat="1" hidden="1" x14ac:dyDescent="0.2">
      <c r="B702" s="635" t="s">
        <v>1487</v>
      </c>
      <c r="C702" s="634"/>
      <c r="D702" s="634"/>
      <c r="E702" s="634"/>
      <c r="F702" s="634"/>
      <c r="G702" s="634"/>
      <c r="H702" s="634"/>
      <c r="I702" s="634"/>
      <c r="J702" s="634"/>
      <c r="K702" s="634"/>
      <c r="L702" s="612" t="str">
        <f t="shared" si="190"/>
        <v xml:space="preserve">1.6.1.1 Équipement des Inspecteurs en Moto ; 1.6.2.1 Dotation en prime d'itinérance ; 2.12.1.1 Équipement informatique et de communication ; 2.12.2.1 Formation en informatique et aux TIC ; 2.3.2.1 Élaboration d'une carte scolaire (nationale et provinciale) à travers l'exploitation des données du SIGE ; 2.4.4.1  Définition d'une politique nationale pour l'éducation inclusive ; 2.4.5.1  Recensement des familles, des élèves et des écoles autochtones ; 2.5.1.1 Élaboration du programme d'allocation pour les provinces cibles ; 2.5.3.1 Recensement de l'offre ; 2.5.3.2 Programme de mise à niveau de la carte scolaire ; 4.1.4.1 Mise à disposition d'un mécanisme de gestion des flux accompagné d'outils opérationnels ; 4.1.5.1 Étude sur les coût, les financements et les impacts probables de la réforme ; 4.7.3.1 Équipement informatique et de communication ; 5.10.2.1 Assurer la connexion à internet ; 8.1.3.1 Investissements EPSINC ; 8.13.1.1 Élaboration d'un guide pour les écoles en vue de diminuer les redoublements ; 8.13.1.2 Acquisition et diffusion du guide ; 2.5.2.1 Recensement de la situation ; 2.8.1.1 Identification des besoins et préparation du programme de mise à niveau ; 2.8.1.1 Réalisation du programme de construction de latrines ; 2.8.2.1 Identification des besoins et préparation du programme de mise à niveau ; 2.8.2.2 Réalisation du programme d'équipement en point d'eau ; 2.8.3.1 Identification des besoins et préparation du programme de mise à niveau ; 2.8.3.2 Réalisation du programme d'équipement en électricité ; 2.8.4.1 Identification des besoins et préparation du programme de mise à niveau ; 2.8.4.2 Réalisation du programme de construction des clôtures ;  ;  ;  ;  ;  ;  ;  ;  ; 1.2.3.1 Préparation du programme de développement : Recensement et formation ; 1.2.3.2 Mise en place de la classe préparatoire (objectif 7000 en 2020) ;  ;  ; </v>
      </c>
    </row>
    <row r="703" spans="2:25" s="572" customFormat="1" hidden="1" x14ac:dyDescent="0.2">
      <c r="B703" s="635" t="s">
        <v>1488</v>
      </c>
      <c r="C703" s="634"/>
      <c r="D703" s="634"/>
      <c r="E703" s="634"/>
      <c r="F703" s="634"/>
      <c r="G703" s="634"/>
      <c r="H703" s="634"/>
      <c r="I703" s="634"/>
      <c r="J703" s="634"/>
      <c r="K703" s="634"/>
      <c r="L703" s="612" t="str">
        <f t="shared" si="190"/>
        <v xml:space="preserve">1.3.2.1 Construction de salles de classe pour le préprimaire ; 2.1.1.1 Construction de salle de classe primaire ; 2.1.2.1 Réhabilitation de salle de classe ; 2.5.2.2 Mise en place du programme de construction de sanitaires séparés ; 4.1.3.1 Diagnostic et propositions pour la gestion des infrastructures dans le cadre de l'enseignement de base ; 4.2.1.1 Construction de salles de classes ; 4.5.1.1 Acquisition de table-bancs ; 5.3.2.1 Construction et équipement des salles au secondaire ; 5.6.1.1 Acquisition et distribution de table banc ; 8.5.1.1 Plan de renforcement des capacités ; 8.5.2.1 Recrutement d'ingénieurs ; 8.5.2.2 Actions de formation ;  ;  ;  ;  ;  ; 2.6.5.1 Acquisition et distribution d'armoires de stockage ; 8.17.8.1 Respect des normes de constructions ;  ;  ;  ; 8.17.10.1 Mise en place des infrastructures temporaires d’apprentissage pour les déplacés ; 8.17.10.2 Équipement des infrastructures temporaires d’apprentissage pour les déplacés ; 8.17.4.4 Équipement des infrastructures temporaires d’apprentissage ; 8.17.7.1 Identification des structures scolaires affectées par les conflits et catastrophes naturelles ; 8.17.7.2 Réhabilitation des infrastructures et des équipements éducatifs ; 8.17.7.3 Mise en place des infrastructures temporaires d’apprentissage ;  ;  ;  ;  ;  ;  ;  ;  ;  ;  ; </v>
      </c>
    </row>
    <row r="704" spans="2:25" s="572" customFormat="1" hidden="1" x14ac:dyDescent="0.2">
      <c r="B704" s="635" t="s">
        <v>1491</v>
      </c>
      <c r="C704" s="634"/>
      <c r="D704" s="634"/>
      <c r="E704" s="634"/>
      <c r="F704" s="634"/>
      <c r="G704" s="634"/>
      <c r="H704" s="634"/>
      <c r="I704" s="634"/>
      <c r="J704" s="634"/>
      <c r="K704" s="634"/>
      <c r="L704" s="612" t="str">
        <f t="shared" si="190"/>
        <v>2.3.1.1 Prime et logement pour enseignants en zones isolées ;  ;  ;  ;  ; 2.2.1.1 Recenser les enseignants du primaire à prendre en charge ;  ;  ;  ;  ; 2.2.2.1 Identification des écoles bénéficiaires de la subvention ;  ;  ;  ;  ; 1.3.1.1 Recenser les enseignants de la classe préparatoire ; 1.3.1.2 Paiement des enseignants (préscolaire yc préparatoire) ; 2.5.1.2 Assurer la distribution des allocations ; 8.1.1.1 Rémunération des personnels des services centraux  EPSINC ; 8.2.1.1 Rémunération du personnel des bureaux gestionnaires  EPSINC ; 8.2.2.1 Subvention de fonctionnement des BG du MEPSINC ;  ;  ;  ;  ;  ;  ;  ;  ;  ;  ;  ; 2.2.1.2 Paiement des enseignants du primaire recensés par SECOPE ; 2.2.1.3 Paiement des enseignants du primaire non recensés ; 2.2.2.2 Subvention aux écoles primaires de la première à la 5ème année ; 2.2.2.3 Prise en charge des frais directs pour la 6ème année ;  ; 4.3.1.1 Recenser les enseignants du secondaire à prendre en charge ; 4.3.1.2 Paiement des enseignants du secondaire 1 ; 4.3.1.2 Paiement des enseignants du secondaire 2 ; 4.3.2.1 Subvention de fonctionnement au secondaire ; 6.6.3.1 Paiement des enseignants de l'ETFP</v>
      </c>
    </row>
    <row r="705" spans="2:12" s="572" customFormat="1" hidden="1" x14ac:dyDescent="0.2">
      <c r="B705" s="635" t="s">
        <v>1490</v>
      </c>
      <c r="C705" s="634"/>
      <c r="D705" s="634"/>
      <c r="E705" s="634"/>
      <c r="F705" s="634"/>
      <c r="G705" s="634"/>
      <c r="H705" s="634"/>
      <c r="I705" s="634"/>
      <c r="J705" s="634"/>
      <c r="K705" s="634"/>
      <c r="L705" s="612" t="str">
        <f t="shared" si="190"/>
        <v xml:space="preserve">2.9.1.3 Évaluation et capitalisation du pilote de la composante "Formation continue" du PROSEB ;  ;  ;  ;  ; 1.5.1.1 Élaboration et validation d'un module de formation ; 1.5.1.2 Assurer la formation pour les nouveaux recrutements ; 1.5.2.1 Révision et validation des modules existants ; 1.5.2.2 Assurer la formation continue pour les encadreurs et enseignants ; 2.4.4.2 Formation des chefs d'établissement et enseignants à l'éducation inclusive ; 2.6.4.2 Production et distribution des guides pédagogiques ; 2.7.1.1 Formation des formateurs ; 2.9.1.1 Développement et actualisation des modules de formation ; 2.9.1.2 Numérisation et opérationnalisation des modules de formation ; 4.6.1.1 Développer et actualiser les modules de formation ; 4.6.1.2 Mettre en place le plan de formation ;  ;  ;  ;  ;  ;  ; 2.9.1.4 Mise en place des CRESD dans les différentes provinces ; 2.9.2.1 Formation aux modules et au leadership ;  ;  ;  ; 2.4.4.3 Intégration des modules de formation à l'éducation inclusive dans la formation initiale des enseignants ;  ;  ;  ;  ; 2.6.3.3 Formation à l'utilisation des plaquettes ;  ;  ;  ;  ; 2.9.1.5 Formation des inspecteurs et des conseillers d'enseignement ; 2.9.1.6 Formation des enseignants ;  ;  ; </v>
      </c>
    </row>
    <row r="706" spans="2:12" s="572" customFormat="1" hidden="1" x14ac:dyDescent="0.2">
      <c r="B706" s="635" t="s">
        <v>1489</v>
      </c>
      <c r="C706" s="634"/>
      <c r="D706" s="634"/>
      <c r="E706" s="634"/>
      <c r="F706" s="634"/>
      <c r="G706" s="634"/>
      <c r="H706" s="634"/>
      <c r="I706" s="634"/>
      <c r="J706" s="634"/>
      <c r="K706" s="634"/>
      <c r="L706" s="612" t="str">
        <f t="shared" si="190"/>
        <v xml:space="preserve">1.4.1.1 Dotation en matériel d'éveil ; 1.4.2.1 Élaboration de guide pédagogiques pour le préscolaire ; 1.4.2.2 Impression et diffusion du guide ; 2.10.1.1 Actualisation du référentiel de compétences des enseignants réalisé en 2013 ; 2.10.1.2 Révision du curriculum de formation des enseignants ; 2.10.2.1 Étude sur les profils d'entrée, de sortie et de durée de formation des futurs enseignants ; 2.10.2.2 Définition du profil des formateurs des formateurs ; 2.10.3.1 Étude sur la carte scolaire des écoles normales et de l'enseignement des humanités pédagogiques ; 2.10.3.2 Mise en place du programme de restructuration/spécialisation des établissements ; 2.6.1.1 Définition d'un kit minimal en matériel pédagogique pour une classe et une école ; 2.6.1.2 Production, acquisition et distribution du matériel pédagogique ; 2.6.2.2 Acquisition et distribution de manuels scolaires ; 2.6.3.2 Acquisition et distribution des plaquettes ; 2.6.4.1 Élaboration des guides pédagogiques ; 2.7.2.1 Élaboration d'un guide sur des activités de lecture harmonisées ; 2.7.2.2 Acquisition et distribution du guide sur des activités de lecture harmonisées ; 2.7.3.1 Élaboration d'un guide d'aide à la réalisation de projets pédagogiques centrés sur la lecture ; 2.7.3.2. Acquisition  et distribution du guide d'aide à la réalisation de projets pédagogiques centrés sur la lecture ; 2.8.6.1 Diagnostic de la situation et définition d'une bibliothèque standard (équipements, ouvrages, etc.) ; 2.8.6.3 Élaboration d'un guide de gestion d'une bibliothèque (archivage, etc.) et formation à la gestion de bibliothèque ; 2.8.6.4 Acquisition et distribution de livres ; 4.4.1.1 Définition du kit d'équipement en matériel pédagogique pour le premier cycle du secondaire ; 4.4.1.2 Acquisition et distribution de kits pédagogiques ; 4.4.2.1 Élaboration de manuels scolaires en français, mathématiques et sciences et de leurs guides pédagogiques ; 4.4.2.4 Acquisition et distribution des guides pédagogiques pour les enseignants ; 4.4.2.4 Acquisition et distribution des manuels scolaires en français, mathématiques et sciences ; 4.5.3.1 Analyse des besoins en bibliothèques (audit de l'existant) ; 4.5.3.2 Définition d'une bibliothèque standard et élaboration d'un guide de gestion ; 4.5.3.5 Acquisition et distribution de livres et de matériel ; 5.1.1.1 Évaluation de la réforme en cours et rédaction des dispositions réglementaires ; 5.4.1.1 Définition du kit d'équipement en matériel pédagogique pour le premier cycle du secondaire ; 5.4.1.2 Acquisition et distribution de kits pédagogiques ; 5.4.2.1 Élaboration de manuels scolaires en français, mathématiques et sciences et de leurs guides pédagogiques ; 5.4.2.3 Élaboration du module de formation à l'utilisation des manuels scolaires en français, mathématiques et sciences ; 5.4.2.4 Acquisition et distribution des manuels scolaires en français, mathématiques et sciences ; 5.4.3.1 Acquisition et distribution des guides pédagogiques pour les enseignants ; 5.5.1.1 Définition d'un programme d'équipement ; 5.5.1.2 Équipement de laboratoire de physique chimie ; 5.5.1.3 Équipement de laboratoire de biologie ; 5.5.3.1 Analyse des besoins en bibliothèques (audit de l'existant) ; 5.5.3.2 Définition d'une bibliothèque standard et élaboration d'un guide de gestion ; 5.5.3.5 Acquisition et distribution de livres et de matériel ; 5.7.1.1 Développer et actualiser les modules de formation ; 5.7.1.2 Mettre en place le plan de formation ; 8.8.1.1 Production et distribution du document de la politique nationale du livre scolaire ; 8.8.2.1 Élaboration d'un guide à destination des concepteurs des manuels tenant compte des questions transversales (genre, éducation à la vie, paix et citoyenneté, environnement et santé) ; 8.8.2.2 Renforcement des capacités à l'élaboration et à la gestion des manuels scolaires ; 4.4.2.3 Élaboration du module de formation à l'utilisation des manuels scolaires en français, mathématiques et sciences ;  ;  ;  ;  ; 4.1.1.1 Déterminer les contenus et les finalités de la réforme vers l'éducation de base étendue à 8 ans ;  ;  ;  ;  ; 2.6.2.3 Suivi de distribution des manuels scolaires ;  ;  ;  ; </v>
      </c>
    </row>
    <row r="707" spans="2:12" s="572" customFormat="1" hidden="1" x14ac:dyDescent="0.2">
      <c r="B707" s="635" t="s">
        <v>1492</v>
      </c>
      <c r="C707" s="634"/>
      <c r="D707" s="634"/>
      <c r="E707" s="634"/>
      <c r="F707" s="634"/>
      <c r="G707" s="634"/>
      <c r="H707" s="634"/>
      <c r="I707" s="634"/>
      <c r="J707" s="634"/>
      <c r="K707" s="634"/>
      <c r="L707" s="612" t="str">
        <f t="shared" si="190"/>
        <v xml:space="preserve">8.17.9.1 Fourniture des repas pendant les crises ;  ;  ;  ;  ; 2.4.2.1 Étude de faisabilité sur la mise en place des cantines scolaires ; 2.4.3.1 Identification des familles bénéficiaires ; 2.4.3.2 Distribution de l'allocation aux familles ; 2.4.5.2 Distribution de l'allocation aux élèves ; 8.17.12.1 Sensibiliser les élèves et les enseignants sur les risques des crises ainsi que le comportement à adopter y compris le soutien psycho-social ; 8.18.5.1 Formation du personnel enseignant et des administrateurs sur la prévention des conflits et des violences en milieu scolaire et universitaire ; 8.18.6.1 Campagnes de sensibilisation à travers les radios communautaires ;  ;  ;  ;  ;  ;  ;  ;  ;  ;  ; 2.4.1.1 Étude de faisabilité de création des coopératives scolaires ; 2.4.1.2 Mise en place de mesures d'incitation à la création de coopératives scolaires ; 2.4.2.2 Mise en place de mesures d'incitations à la création de cantines scolaires ;  ; </v>
      </c>
    </row>
    <row r="708" spans="2:12" s="572" customFormat="1" hidden="1" x14ac:dyDescent="0.2">
      <c r="B708" s="635" t="s">
        <v>1493</v>
      </c>
      <c r="C708" s="634"/>
      <c r="D708" s="634"/>
      <c r="E708" s="634"/>
      <c r="F708" s="634"/>
      <c r="G708" s="634"/>
      <c r="H708" s="634"/>
      <c r="I708" s="634"/>
      <c r="J708" s="634"/>
      <c r="K708" s="634"/>
      <c r="L708" s="612" t="str">
        <f t="shared" si="190"/>
        <v xml:space="preserve">2.8.5.1 Définition d'un kit minimum pour une école d'équipements pour activités physiques et sportives ; 2.8.5.2 Acquisition et distribution d'équipement pour activités physiques et sportives ;  ;  ;  ; 4.5.2.1 Définition d'un kit minimum pour une école d'équipements pour activités physiques et sportives ; 4.5.2.2 Acquisition et distribution d'équipement pour activités physiques et sportives ; 5.6.2.1 Acquisition et distribution d'équipement pour activités physiques et sportives ;  ; </v>
      </c>
    </row>
    <row r="709" spans="2:12" s="572" customFormat="1" hidden="1" x14ac:dyDescent="0.2">
      <c r="B709" s="633" t="s">
        <v>1494</v>
      </c>
      <c r="C709" s="634"/>
      <c r="D709" s="634"/>
      <c r="E709" s="634"/>
      <c r="F709" s="634"/>
      <c r="G709" s="634"/>
      <c r="H709" s="634"/>
      <c r="I709" s="634"/>
      <c r="J709" s="634"/>
      <c r="K709" s="634"/>
      <c r="L709" s="615">
        <f t="shared" si="190"/>
        <v>0</v>
      </c>
    </row>
    <row r="710" spans="2:12" s="572" customFormat="1" hidden="1" x14ac:dyDescent="0.2">
      <c r="B710" s="635" t="s">
        <v>1495</v>
      </c>
      <c r="C710" s="634"/>
      <c r="D710" s="634"/>
      <c r="E710" s="634"/>
      <c r="F710" s="634"/>
      <c r="G710" s="634"/>
      <c r="H710" s="634"/>
      <c r="I710" s="634"/>
      <c r="J710" s="634"/>
      <c r="K710" s="634"/>
      <c r="L710" s="612" t="str">
        <f t="shared" si="190"/>
        <v xml:space="preserve">6.1.4.1 Étude sur l'actualisation des programmes ; 6.4.1.1 Définition du cadre national de concertation ; 6.4.1.2 Mise en place et fonctionnement du mécanisme de concertation ; 6.4.2.1 Définition des modalités de concertation régionale ; 6.4.2.2 Assurer les concertations régionales ; 6.4.4.1 Étude de faisabilité sur la création de Chambres des métiers et d'artisanat ; 8.11.3.1 Définition d'un commission de Qualification et de Certification ; 8.11.3.2 Textes réglementaires de création de la CNQC ; 8.11.3.3 Mise en place et fonctionnement de la CNQC ; 8.17.8.2 Élaboration d'un guide des normes de construction des établissements ETFP ;  ;  ;  ;  ;  ;  ;  ; 6.4.3.1 Définition de modèles de partenariat ; 6.4.3.2 Mise en place des accords de partenariat ;  ;  ;  ; 6.3.2.1 Définition des besoins en manuels scolaires ; 6.3.2.2 Acquisition et distribution de manuels scolaires ;  ;  ; </v>
      </c>
    </row>
    <row r="711" spans="2:12" s="572" customFormat="1" hidden="1" x14ac:dyDescent="0.2">
      <c r="B711" s="635" t="s">
        <v>749</v>
      </c>
      <c r="C711" s="634"/>
      <c r="D711" s="634"/>
      <c r="E711" s="634"/>
      <c r="F711" s="634"/>
      <c r="G711" s="634"/>
      <c r="H711" s="634"/>
      <c r="I711" s="634"/>
      <c r="J711" s="634"/>
      <c r="K711" s="634"/>
      <c r="L711" s="612" t="str">
        <f t="shared" si="190"/>
        <v xml:space="preserve">6.2.2.1 Octroi des bourses pour les filles dans les filières prometteuses ; 6.5.4.1 Équipement des élèves en ordinateurs portables ; 6.7.2.1 Assurer l'encadrement pédagogique et administratif des centres d'ingénierie, d'application et de ressources ; 6.7.3.1 Équipement des inspecteurs en ordinateurs portables ; 8.1.1.4 Rémunération des personnels des services centraux  ETP ; 8.1.2.4 Fonctionnement des services centraux ETP ;  ;  ;  ; </v>
      </c>
    </row>
    <row r="712" spans="2:12" s="572" customFormat="1" hidden="1" x14ac:dyDescent="0.2">
      <c r="B712" s="635" t="s">
        <v>1486</v>
      </c>
      <c r="C712" s="634"/>
      <c r="D712" s="634"/>
      <c r="E712" s="634"/>
      <c r="F712" s="634"/>
      <c r="G712" s="634"/>
      <c r="H712" s="634"/>
      <c r="I712" s="634"/>
      <c r="J712" s="634"/>
      <c r="K712" s="634"/>
      <c r="L712" s="612" t="str">
        <f t="shared" si="190"/>
        <v xml:space="preserve">6.6.2.1 Développer et actualiser les modules de formation ; 6.6.2.2 Mettre en place le plan de formation ; 6.7.1.1 Renforcement des moyen des déplacements ;  ; </v>
      </c>
    </row>
    <row r="713" spans="2:12" s="572" customFormat="1" hidden="1" x14ac:dyDescent="0.2">
      <c r="B713" s="635" t="s">
        <v>1487</v>
      </c>
      <c r="C713" s="634"/>
      <c r="D713" s="634"/>
      <c r="E713" s="634"/>
      <c r="F713" s="634"/>
      <c r="G713" s="634"/>
      <c r="H713" s="634"/>
      <c r="I713" s="634"/>
      <c r="J713" s="634"/>
      <c r="K713" s="634"/>
      <c r="L713" s="612" t="str">
        <f t="shared" si="190"/>
        <v xml:space="preserve">6.1.2.1 Étude préalable à la mise en place des nouvelles filières ; 6.2.1.1 Définir un plan de sensibilisation ; 6.2.1.2 Développer des outils et des supports ; 6.2.1.3 Assurer des campagnes ; 6.3.1.1 Équipement pédagogiques pour les filières prioritaires ; 6.5.1.1 Équipement des écoles techniques en mobilier scolaire ; 6.5.2.1 Acquisition et distribution d'équipement pour activités physiques et sportives ; 6.5.3.1 Analyse des besoins en bibliothèques (audit de l'existant) ; 6.5.3.2 Définition d'une bibliothèque standard et élaboration d'un guide de gestion ; 6.5.3.3 Acquisition et distribution de livres et de matériel ; 6.6.1.1 Étude de faisabilité du national d'ingénierie de la formation ; 6.7.4.1 Élaboration des accords de partenariat entre les trois entités concernés ; 6.7.4.2 Étude d'employabilité des sortants ;  ;  ;  ;  ; 6.1.1.1 Étude sur les filières obsolètes et porteuses d'emploi ; 6.1.3.1 Étude pour la définition des nouvelles critères d'ouverture des filières sur le territoire national ;  ;  ; </v>
      </c>
    </row>
    <row r="714" spans="2:12" s="572" customFormat="1" hidden="1" x14ac:dyDescent="0.2">
      <c r="B714" s="635" t="s">
        <v>1488</v>
      </c>
      <c r="C714" s="634"/>
      <c r="D714" s="634"/>
      <c r="E714" s="634"/>
      <c r="F714" s="634"/>
      <c r="G714" s="634"/>
      <c r="H714" s="634"/>
      <c r="I714" s="634"/>
      <c r="J714" s="634"/>
      <c r="K714" s="634"/>
      <c r="L714" s="612" t="str">
        <f t="shared" si="190"/>
        <v>6.1.5.1 Construction et équipement d'un centre de ressource ETFP ; 6.1.6.1 Construction et équipement des centres d'application ; 6.1.7.1 Évaluation des établissements transformés et état des lieux des établissements à transformer ; 6.1.7.2 Acquisition et installation des équipements pour les établissements transformés ; 6.6.1.2 Construction et équipement du CNIF</v>
      </c>
    </row>
    <row r="715" spans="2:12" s="572" customFormat="1" hidden="1" x14ac:dyDescent="0.2">
      <c r="B715" s="633" t="s">
        <v>885</v>
      </c>
      <c r="C715" s="634"/>
      <c r="D715" s="634"/>
      <c r="E715" s="634"/>
      <c r="F715" s="634"/>
      <c r="G715" s="634"/>
      <c r="H715" s="634"/>
      <c r="I715" s="634"/>
      <c r="J715" s="634"/>
      <c r="K715" s="634"/>
      <c r="L715" s="615">
        <f t="shared" si="190"/>
        <v>0</v>
      </c>
    </row>
    <row r="716" spans="2:12" s="572" customFormat="1" hidden="1" x14ac:dyDescent="0.2">
      <c r="B716" s="635" t="s">
        <v>1495</v>
      </c>
      <c r="C716" s="634"/>
      <c r="D716" s="634"/>
      <c r="E716" s="634"/>
      <c r="F716" s="634"/>
      <c r="G716" s="634"/>
      <c r="H716" s="634"/>
      <c r="I716" s="634"/>
      <c r="J716" s="634"/>
      <c r="K716" s="634"/>
      <c r="L716" s="612" t="str">
        <f t="shared" si="190"/>
        <v xml:space="preserve">3.2.4.1 Formation des animateurs ;  ;  ;  ;  ; 3.10.1.1 Formation spécifique destinée aux inspecteurs ;  ;  ;  ;  ; 3.8.1.1 Dynamiser les instances de conseil et de coordination ;  ;  ;  ;  ; 3.9.3.1 Étude de faisabilité de la transformation service en centre de ressource ; 3.9.3.2 Réhabilitation, équipement et fonctionnement du centre ;  ;  ;  ; 3.11.2.1 Développement et fonctionnement du site web ; 3.9.2.1 Renforcement des capacités du personnel ; 3.9.2.2 Renforcement des moyen matériels ;  ; </v>
      </c>
    </row>
    <row r="717" spans="2:12" s="572" customFormat="1" hidden="1" x14ac:dyDescent="0.2">
      <c r="B717" s="635" t="s">
        <v>574</v>
      </c>
      <c r="C717" s="634"/>
      <c r="D717" s="634"/>
      <c r="E717" s="634"/>
      <c r="F717" s="634"/>
      <c r="G717" s="634"/>
      <c r="H717" s="634"/>
      <c r="I717" s="634"/>
      <c r="J717" s="634"/>
      <c r="K717" s="634"/>
      <c r="L717" s="612" t="str">
        <f t="shared" si="190"/>
        <v xml:space="preserve">3.1.1.2 Développer des outils et des supports ; 3.1.4.2 Renforcement de l'offre alternative d’éducation pour les enfants en âge scolaire non scolarisés (9-14 ans) ; 3.1.4.3 Évaluation de l'efficacité de la subvention ; 3.9.1.1 Étude sur la réorganisation de la DGENF ;  ; 3.1.1.1 Définir un plan de communication ; 3.1.1.2 Développer des outils et des supports ; 3.1.1.3 Assurer des campagnes IEC ;  ;  ; 3.1.2.1 Identification des écoles primaires pouvant servir d'appui ;  ;  ;  ;  ; 3.7.2.1 Formation des formateurs des éducateurs sociaux ; 3.7.3.1 Rémunération des enseignants ;  ;  ;  ; 3.5.3.1 Formation des enseignants à l'utilisation des manuels et guides ;  ;  ;  ;  ; 3.1.4.1 Élaboration d’une stratégie de réinsertion scolaire des enfants déscolarisés et des outils d’identification de ces enfants ;  ;  ;  ;  ; 3.4.1.1 Ateliers techniques de révision du programme de rattrapage scolaire ; 3.6.1.1 Standardisation des outils de suivi et d'évaluation des apprenants ;  ;  ;  ; 3.7.1.1 Actualisation des modules de formation de rattrapage scolaire ; 3.7.1.2 Actualisation des modules de formation d'alphabétisation ;  ;  ;  ; 3.6.2.1 Standardisation des documents de certification ; 3.6.3.1 Formation des inspecteurs des Affaires sociales (alphabétisation, rattrapage scolaire et apprentissage professionnel) ; 3.6.3.2 Formation des inspecteurs de l'EPSINC (rattrapage scolaire) ;  ;  ; 3.7.1.3 Actualisation des modules de formation d'apprentissage professionnel ;  ;  ;  ;  ; 3.2.3.2 Définition des outils et matériels pédagogiques ;  ;  ;  ;  ; 3.5.1.1 État des lieux de la codification des langues ; 3.5.2.2 Atelier de validation des manuels et guides en langue locale ;  ;  ;  ; 3.3.1.1 Révision des programmes ; 3.4.2.1 Élaboration de manuels et de guides pédagogiques de rattrapage scolaire ; 3.4.3.1 Uniformisation des manuels et des guides andragogiques et pédagogiques ;  ;  ; 3.3.2.1 Formation du personnel, de la société civile à l'utilisation des programmes ; 3.4.2.2 Formation des utilisateurs aux manuels et guides pédagogiques de rattrapage scolaire ; 3.4.3.2 Formation des utilisateurs aux manuels et guides andragogiques et pédagogiques ;  ;  ; 3.4.1.2 Harmoniser les programmes d'alphabétisation existants ; 3.4.1.5 Actualisation du guide d'alphabétisation ;  ;  ;  ; 3.4.1.4 Actualisation des guides des trois niveaux de rattrapage scolaire ;  ;  ;  ;  ; 3.4.1.3 Harmoniser les programmes d'apprentissage professionnel ; 3.4.1.6 Actualisation du guide d'apprentissage professionnel ;  ;  ;  ; 3.10.1.2 Assurer l'encadrement pédagogique et administratif des centres ;  ;  ;  ; </v>
      </c>
    </row>
    <row r="718" spans="2:12" s="572" customFormat="1" hidden="1" x14ac:dyDescent="0.2">
      <c r="B718" s="635" t="s">
        <v>1487</v>
      </c>
      <c r="C718" s="634"/>
      <c r="D718" s="634"/>
      <c r="E718" s="634"/>
      <c r="F718" s="634"/>
      <c r="G718" s="634"/>
      <c r="H718" s="634"/>
      <c r="I718" s="634"/>
      <c r="J718" s="634"/>
      <c r="K718" s="634"/>
      <c r="L718" s="612" t="str">
        <f t="shared" si="190"/>
        <v xml:space="preserve">3.2.1.1 Recensement des communautés de base et structures de référencement ; 3.2.2.1 Élaboration d'une carte sociale des familles les plus vulnérables ; 3.2.3.3 Acquisition et distribution des outils et matériels pédagogiques ;  ;  ; 3.4.4.1 Acquisition et distribution des programmes ; 3.4.4.2 Acquisition et distribution des manuels ; 3.4.4.3 Acquisition et distribution des guides ; 3.5.2.3 Production et distribution des manuels et guides en langue locale ;  ; 8.1.3.3 Investissements MAS (ENF) ;  ;  ;  ;  ; 3.1.1.1 Définir un plan de communication ;  ;  ;  ;  ; 3.2.3.1 Identification des structures d'accueil ;  ;  ;  ; </v>
      </c>
    </row>
    <row r="719" spans="2:12" s="572" customFormat="1" hidden="1" x14ac:dyDescent="0.2">
      <c r="B719" s="635" t="s">
        <v>749</v>
      </c>
      <c r="C719" s="634"/>
      <c r="D719" s="634"/>
      <c r="E719" s="634"/>
      <c r="F719" s="634"/>
      <c r="G719" s="634"/>
      <c r="H719" s="634"/>
      <c r="I719" s="634"/>
      <c r="J719" s="634"/>
      <c r="K719" s="634"/>
      <c r="L719" s="612" t="str">
        <f t="shared" si="190"/>
        <v xml:space="preserve">3.1.2.2 Construction et équipement de centres de promotion sociale (alphabétisation, rattrapage) ; 3.1.2.3 Réhabilitation et équipement de centres de promotion sociale ; 8.1.1.3 Rémunération des personnels des services centraux MAS ; 8.1.2.3 Fonctionnement des services centraux MAS ; </v>
      </c>
    </row>
    <row r="720" spans="2:12" s="572" customFormat="1" hidden="1" x14ac:dyDescent="0.2">
      <c r="B720" s="633" t="s">
        <v>804</v>
      </c>
      <c r="C720" s="634"/>
      <c r="D720" s="634"/>
      <c r="E720" s="634"/>
      <c r="F720" s="634"/>
      <c r="G720" s="634"/>
      <c r="H720" s="634"/>
      <c r="I720" s="634"/>
      <c r="J720" s="634"/>
      <c r="K720" s="634"/>
      <c r="L720" s="615">
        <f t="shared" si="190"/>
        <v>0</v>
      </c>
    </row>
    <row r="721" spans="2:12" s="572" customFormat="1" hidden="1" x14ac:dyDescent="0.2">
      <c r="B721" s="635" t="s">
        <v>1495</v>
      </c>
      <c r="C721" s="634"/>
      <c r="D721" s="634"/>
      <c r="E721" s="634"/>
      <c r="F721" s="634"/>
      <c r="G721" s="634"/>
      <c r="H721" s="634"/>
      <c r="I721" s="634"/>
      <c r="J721" s="634"/>
      <c r="K721" s="634"/>
      <c r="L721" s="612" t="str">
        <f t="shared" si="190"/>
        <v xml:space="preserve">7.13.1.1 Élaboration des textes réglementaires (mise en œuvre de la Loi-Cadre) ; 7.9.1.1 Assurer la tenue des exposition régionales et nationales ; 7.9.2.2 Fonctionnement du fonds compétitif ;  ;  ; 7.9.4.3 Assurer le fonctionnement des ED ;  ;  ;  ; </v>
      </c>
    </row>
    <row r="722" spans="2:12" s="572" customFormat="1" hidden="1" x14ac:dyDescent="0.2">
      <c r="B722" s="635" t="s">
        <v>792</v>
      </c>
      <c r="C722" s="634"/>
      <c r="D722" s="634"/>
      <c r="E722" s="634"/>
      <c r="F722" s="634"/>
      <c r="G722" s="634"/>
      <c r="H722" s="634"/>
      <c r="I722" s="634"/>
      <c r="J722" s="634"/>
      <c r="K722" s="634"/>
      <c r="L722" s="612" t="str">
        <f t="shared" si="190"/>
        <v xml:space="preserve">7.10.2.2 Assurer l'octroi des bourses doctorales ;  ;  ;  ;  ; 7.1.1.1 Octroi d’une bourse d’études aux filles scolarisées dans les filières d'ingénieur ;  ;  ;  ;  ; 7.11.5.2 Contrôles de scolarité dans tous les EES publics et privés agréés ;  ;  ;  ; </v>
      </c>
    </row>
    <row r="723" spans="2:12" s="572" customFormat="1" hidden="1" x14ac:dyDescent="0.2">
      <c r="B723" s="635" t="s">
        <v>1487</v>
      </c>
      <c r="C723" s="634"/>
      <c r="D723" s="634"/>
      <c r="E723" s="634"/>
      <c r="F723" s="634"/>
      <c r="G723" s="634"/>
      <c r="H723" s="634"/>
      <c r="I723" s="634"/>
      <c r="J723" s="634"/>
      <c r="K723" s="634"/>
      <c r="L723" s="612" t="str">
        <f t="shared" si="190"/>
        <v>7.13.4.1 Élaboration et validation des contrats des performances ; 7.4.1.1 Actualisation des textes régissant les cellules d'assurance qualité (CAQ) ; 7.4.1.2 Formation et renforcement des membres des CAQ ; 7.4.1.3 Réhabilitation et équipement des CAQ ; 7.4.2.1 Définition du statut et du modèle de fonctionnement de l'ANIAQ ; 7.4.2.2 Mise en place de l'ANIAQ ; 7.5.2.1 Élaboration du programme de développement des établissements existants ; 7.5.2.2 Mise en œuvre du programme de développement ; 7.6.1.1 Définition du programme de mise en place du système LMD ; 7.6.3.2 Subvention de la mobilité ; 7.8.2.3 Dotation des enseignants et étudiants en ordinateurs portables ; 7.8.2.4 Formation des enseignants aux TIC dans les enseignements ; 7.9.1.2 Octroi des prix aux œuvres porteuses ; 7.9.2.1 Définition du concept et du mode de fonctionnement ;  ;  ;  ; 7.13.3.1 Mise en place d'un cadre permanent de concertation ; 7.9.4.1 Étude de faisabilité de création des ED ; 7.9.4.2 Mise en place des ED ;  ;  ; 7.11.1.1 Étude d'élaboration du cadre normatif avec une cellule d'experts ; 7.5.1.1 Définition / révision des programmes ; 7.5.1.2 Formation sur les nouveaux programmes ; 7.6.1.2 Révision des programmes selon le système LMD ; 7.6.1.3 Édition et distribution des nouveaux programmes ; 7.6.1.4 Formation aux nouveaux programmes ;  ;  ;  ;  ;  ;  ;  ;  ;  ;  ;  ; 7.7.1.1 Définition du Plan numérique des universités ; 7.7.1.2 Mise en place du Plan numérique ; 7.7.1.3 Mise en place d'un centre universitaire informatique ; 7.7.2.1 Définir l'architecture de la BVN ; 7.7.2.2 Mise en place et fonctionnement de la BVN ; 7.8.1.1 Définition du réseau numérique ; 7.8.1.2 Mise en place et fonctionnement du réseau numérique des EES ;  ;  ;  ;  ;  ;  ;  ;  ;  ;  ; 7.2.1.1 Faisabilité de création des ESS dans les zones défavorisées ; 7.2.1.2 Création d'un EES dans une zone défavorisée ; 7.3.2.1 Construction de 70 amphithéâtres ; 7.3.2.2 Construction de 400 salles pour le supérieur ; 7.3.2.3 Réhabilitation des laboratoires et ateliers ; 7.10.2.1 Étude de définition du dispositif ;  ;  ;  ;  ; 7.10.1.2 Recrutement de nouveaux enseignants et vacations ;  ;  ;  ;  ; 5.8.3.3 Équipement en matériel de laboratoire, ateliers et matériels didactiques des ISP/ISPT/UPN ; 7.10.1.1 Développement d'un fichier des compétences nationales ; 7.11.2.1  Organisation et tenue des états généraux de l'enseignement supérieur ; 7.11.4.1  Définir les modèles d'audits interne et externe ; 7.11.4.1  Étude sur le dimensionnement et l'organisation des EES publics ; 7.11.4.2  Formation aux méthodes d'audit interne ; 7.11.5.1 Audit organisationnel et enquête de viabilité pour les différents ESS ; 7.11.5.3 Organisations des campagnes de sensibilisation dans les 26 provinces pour impliquer toutes les parties prenantes dans l'effort d'assainissement du sous secteur ; 7.11.5.4 Conclusion d'accord de collaboration avec les associations de la société civile et du monde économique ; 7.12.1.1 Définition de la cellule de planification et sa mise en place dans tous les EES ; 7.12.1.2 Mise à jour de la carte universitaire ; 7.12.1.3 Renforcement des capacité en matière de planification ; 7.12.2.1 Réhabilitation et équipement des 26 cellules des planifications aux niveaux des conférences des chefs d'EES ; 7.12.2.2 Appui technique aux EES pour l'élaboration de leur plan stratégique ; 7.12.2.3 Utilisation par les EES de logiciels de gestion informatisée des ressources ; 7.12.3.1 Production annuelle du plan stratégique des ESS ; 7.13.2.1 Conception des outils de bonne  gouvernance ; 7.13.2.2 Renforcement des capacités des gestionnaires des EES sur l'utilisation des outils de bonne gouvernance ; 8.1.3.2 Investissements MESU ; 8.1.3.4 Investissements  ETP</v>
      </c>
    </row>
    <row r="724" spans="2:12" s="572" customFormat="1" hidden="1" x14ac:dyDescent="0.2">
      <c r="B724" s="635" t="s">
        <v>749</v>
      </c>
      <c r="C724" s="634"/>
      <c r="D724" s="634"/>
      <c r="E724" s="634"/>
      <c r="F724" s="634"/>
      <c r="G724" s="634"/>
      <c r="H724" s="634"/>
      <c r="I724" s="634"/>
      <c r="J724" s="634"/>
      <c r="K724" s="634"/>
      <c r="L724" s="612" t="str">
        <f t="shared" si="190"/>
        <v xml:space="preserve">8.1.1.2 Rémunération des personnels des services centraux du MESU ; 8.1.2.2 Fonctionnement des services centraux MESU ;  ;  ;  ; 7.3.1.1 Paiement des enseignants ;  ;  ;  ; </v>
      </c>
    </row>
    <row r="725" spans="2:12" s="572" customFormat="1" hidden="1" x14ac:dyDescent="0.2">
      <c r="B725" s="635" t="s">
        <v>1496</v>
      </c>
      <c r="C725" s="634"/>
      <c r="D725" s="634"/>
      <c r="E725" s="634"/>
      <c r="F725" s="634"/>
      <c r="G725" s="634"/>
      <c r="H725" s="634"/>
      <c r="I725" s="634"/>
      <c r="J725" s="634"/>
      <c r="K725" s="634"/>
      <c r="L725" s="612" t="str">
        <f t="shared" si="190"/>
        <v xml:space="preserve">8.12.2.2 Étude sur la réorganisation des services d'orientation des EES ; 8.12.2.3 Formation des formateurs des services d'orientation des EES ; 8.12.2.4 Formation des personnels des services d'orientation des EES ;  ;  ; 5.8.3.1 Actualisation du référentiel de compétences des enseignants réalisé en 2013 ; 5.8.3.2 Révision du curriculum de formation des enseignants ;  ;  ;  ; 7.6.2.1 Mise à niveau et fonctionnement de la CPE ;  ;  ;  ; </v>
      </c>
    </row>
    <row r="726" spans="2:12" s="572" customFormat="1" hidden="1" x14ac:dyDescent="0.2">
      <c r="B726" s="635" t="s">
        <v>1497</v>
      </c>
      <c r="C726" s="634"/>
      <c r="D726" s="634"/>
      <c r="E726" s="634"/>
      <c r="F726" s="634"/>
      <c r="G726" s="634"/>
      <c r="H726" s="634"/>
      <c r="I726" s="634"/>
      <c r="J726" s="634"/>
      <c r="K726" s="634"/>
      <c r="L726" s="612" t="str">
        <f t="shared" si="190"/>
        <v xml:space="preserve">7.8.2.1 Définition du concept et du mécanisme de fonctionnement ; 7.8.2.2 Développement de la formation à distance ;  ;  ; </v>
      </c>
    </row>
    <row r="727" spans="2:12" s="572" customFormat="1" hidden="1" x14ac:dyDescent="0.2">
      <c r="B727" s="635" t="s">
        <v>1498</v>
      </c>
      <c r="C727" s="634"/>
      <c r="D727" s="634"/>
      <c r="E727" s="634"/>
      <c r="F727" s="634"/>
      <c r="G727" s="634"/>
      <c r="H727" s="634"/>
      <c r="I727" s="634"/>
      <c r="J727" s="634"/>
      <c r="K727" s="634"/>
      <c r="L727" s="612" t="str">
        <f t="shared" si="190"/>
        <v xml:space="preserve">7.9.3.1 Définition du programme de mise à niveau ; 7.9.3.2 Réhabilitation et équipement du PUC ;  ;  ; </v>
      </c>
    </row>
    <row r="728" spans="2:12" s="572" customFormat="1" hidden="1" x14ac:dyDescent="0.2">
      <c r="B728" s="635" t="s">
        <v>1499</v>
      </c>
      <c r="C728" s="634"/>
      <c r="D728" s="634"/>
      <c r="E728" s="634"/>
      <c r="F728" s="634"/>
      <c r="G728" s="634"/>
      <c r="H728" s="634"/>
      <c r="I728" s="634"/>
      <c r="J728" s="634"/>
      <c r="K728" s="634"/>
      <c r="L728" s="612" t="str">
        <f t="shared" si="190"/>
        <v xml:space="preserve">8.11.1.1 Élaboration d'un module de formation ; 8.11.1.2 Formation des inspecteurs de l'ESU ;  ;  ; </v>
      </c>
    </row>
    <row r="729" spans="2:12" s="572" customFormat="1" hidden="1" x14ac:dyDescent="0.2">
      <c r="B729" s="633" t="s">
        <v>1137</v>
      </c>
      <c r="C729" s="634"/>
      <c r="D729" s="634"/>
      <c r="E729" s="634"/>
      <c r="F729" s="634"/>
      <c r="G729" s="634"/>
      <c r="H729" s="634"/>
      <c r="I729" s="634"/>
      <c r="J729" s="634"/>
      <c r="K729" s="634"/>
      <c r="L729" s="615">
        <f t="shared" si="190"/>
        <v>0</v>
      </c>
    </row>
    <row r="730" spans="2:12" s="572" customFormat="1" hidden="1" x14ac:dyDescent="0.2">
      <c r="B730" s="635" t="s">
        <v>1500</v>
      </c>
      <c r="C730" s="634"/>
      <c r="D730" s="634"/>
      <c r="E730" s="634"/>
      <c r="F730" s="634"/>
      <c r="G730" s="634"/>
      <c r="H730" s="634"/>
      <c r="I730" s="634"/>
      <c r="J730" s="634"/>
      <c r="K730" s="634"/>
      <c r="L730" s="612" t="str">
        <f t="shared" si="190"/>
        <v>5.8.5.1 Définition d'un cadre de coordination des 4 ministères ; 5.8.5.2 Mise en place et fonctionnement du cadre de coordination ; 8.12.3.1 Étude sur la réforme du TENAFEP ; 8.14.2.1 Élaboration et adoption d'un code de conduite unique ; 8.14.2.2 Vulgarisation des principes du code de conduite ; 8.14.2.3 Élargissement de l'expérience "Points focaux genre" : Identification des cas de violence dans les écoles et mise en place de mécanisme de suivi des dossiers et de références des victimes ; 8.14.3.1 Discrimination positive au recrutement dans la fonction d'enseignement ; 8.17.1.1 Définition de la structure/prérogatives/composition de la cellule ; 8.17.2.1 Élaboration d'une étude sur la vulnérabilité ; 8.17.3.1 Élaboration d'une stratégie de prévention des risques ; 8.19.1.1 Renforcement des structures de pilotage et coordination ; 8.19.1.2 Renforcement des structures de mise en œuvre du Plan sectoriel ; 8.19.2.1 Organisation et tenue des Revues conjointes ; 8.19.3.1 Définition d'un cadre de coordination interministérielle ; 8.19.3.2 Mise en place et fonctionnement du cadre de coordination interministérielle ; 8.3.1.1 Études sur la mise à la retraite des agents ; 8.3.2.1 Études sur la rationalisation et la modernisation des statuts ; 8.6.2.1 Évaluation des besoins effectifs de fonctionnement des différentes catégories des bureaux gestionnaires ; 8.6.2.2 Définition des budgets des catégories des BG et des modalités de leur financement ; 8.6.3.1 Étude d'évaluation des flux ascendants ;</v>
      </c>
    </row>
    <row r="731" spans="2:12" s="572" customFormat="1" hidden="1" x14ac:dyDescent="0.2">
      <c r="B731" s="635" t="s">
        <v>1501</v>
      </c>
      <c r="C731" s="634"/>
      <c r="D731" s="634"/>
      <c r="E731" s="634"/>
      <c r="F731" s="634"/>
      <c r="G731" s="634"/>
      <c r="H731" s="634"/>
      <c r="I731" s="634"/>
      <c r="J731" s="634"/>
      <c r="K731" s="634"/>
      <c r="L731" s="612" t="str">
        <f t="shared" si="190"/>
        <v xml:space="preserve">8.14.3.2 Organisation de journées d'information et d'échange ; 8.14.4.1 Sensibiliser les communautés à la prévention des mariages précoces et les filles et adolescentes aux grossesses non désirées ; 8.14.4.2 Créer des clubs des pairs  (es) éducateurs  (trices) ;  ;  ; 8.18.3.1 Élaboration d'un plan de communication ; 8.18.3.2 Développer des outils et des supports ; 8.18.3.3 Assurer des campagnes IEC ;  ;  ; 8.18.1.1 Établir un diagnostic de la situation ; 8.18.1.2 Élaboration du/des document(s) de stratégie pour l'éducation à la paix à la citoyenneté ; 8.18.1.3 Élaboration et validation des plans d'action pour l'éducation à la paix, en situation d'urgence et à la citoyenneté ; 8.18.1.4 Publication et vulgarisation des plans d'action pour l'éducation à la paix et à la nouvelle citoyenneté ; 8.18.2.1 Élaboration de modules de formation et de guides pratiques ; 8.18.2.2 Élaboration d'un référentiel de cours d'éducation civique et morale et d'éducation à la nouvelle citoyenneté ; 8.18.4.1 Organisation du montage institutionnel et installation des structures provinciales ; 8.18.4.2 Renforcement des capacités ;  ;  ;  ;  ;  ;  ;  ;  ;  ; 8.17.3.2 Définir les indicateurs de vulnérabilité et les modalité de leur production ;  ;  ;  ;  ; 8.6.1.1 Production d'outils d'audits internes et externes ; 8.6.1.2 Opérations d'audits internes et externes ;  ;  ;  ; 8.7.2.1 Élaboration et diffusion des projets d'établissement ;  ;  ;  ;  ; 8.14.5.1 Révision des programmes à tous les niveaux pour éliminer les stéréotypes et intégrer la dimension genre ; 8.14.5.2 Élaboration d'un guide méthodologique de révision des manuels scolaires ; 8.14.5.3 Réviser les manuels pour éliminer les stéréotypes et intégrer la dimension genre ;  ;  ; 8.17.6.1 Révision des programmes en intégrant les principes de réduction des risques ;  ;  ;  ;  ; 8.17.4.1 Organisation du montage institutionnel et installation des structures provinciales ; 8.17.5.1 Élaboration et validation du plan d'action pour les zones à risque ;  ;  ;  ; 8.10.1.1 Définition des prérogatives et de la composition du Comité scientifique ; 8.10.1.2 Mise en place du Comité scientifique ; 8.10.2.1 Mise en place de la réforme des curricula aux différents et entre les niveaux ; 8.10.2.2 Étude sur l'harmonisation des profils de sortie ; 8.10.3.1 Élaboration de modules de formation ; 8.11.2.1 Mise en place d'une Cellule indépendante de l'évaluation des acquis scolaires ; 8.11.2.2 Développement des outils d'évaluation ; 8.11.2.3 Administration des évaluations nationales et fonctionnement de la Cellule ; 8.11.4.1 Élaboration des guides de diagnostic par type d'établissement ; 8.11.4.2 Acquisition et diffusion des guides de diagnostic ; 8.11.5.1 Élaboration d'un module de formation aux guides de diagnostic ;  ;  ;  ;  ;  ;  ; 8.12.1.1 Étude sur la mise en place de passerelles entre les filières ;  ;  ;  ;  ; 8.9.3.1 Formation et échange d'expérience entre différents COGES et COPA ;  ;  ;  ;  ; 8.12.2.1 Étude sur la création de services d'orientation dans le secondaire ; 8.9.1.1 Élaboration et mise en place d'une nouvelle convention ; 8.9.2.1 Révision et mise à jour des textes réglementaires ;  ;  ; 8.15.1.1 Préparation d'une circulaire/instruction académique par le Ministre portant interdiction de toute mobilité pendant l'année scolaire/académique ; 8.15.1.2 Vulgarisation et suivi de l'application de la circulaire/instruction académique ; 8.15.3.1 Définition des dispositions d'imposition de rattrapage des heures perdues ;  ;  ; 8.7.1.1 Accompagnement des structures dans l'élaboration d'un projet a l'EPSINC ;  ;  ;  ;  ; 8.15.2.1 Identifier des solutions pour le paiement des enseignants ;  ;  ;  ;  ; 8.7.1.3 Accompagnement des structures dans l'élaboration d'un projet de l'ETP ;  ;  ;  ;  ; 8.7.1.2 Accompagnement des structures dans l'élaboration d'un projet au MAS ;  ;  ;  ;  ; 8.14.5.4 Formation des enseignants à l'utilisation des programmes et manuels révisés ;  ;  ;  ;  ; 5.8.1.1 Étude sur la spécialisation des institutions ; 5.8.2.1 Étude sur la réforme structurelle des ISP/ISPT/UPN ;  ;  ; </v>
      </c>
    </row>
    <row r="732" spans="2:12" s="572" customFormat="1" ht="12" hidden="1" thickBot="1" x14ac:dyDescent="0.25">
      <c r="B732" s="636" t="s">
        <v>1502</v>
      </c>
      <c r="C732" s="637"/>
      <c r="D732" s="637"/>
      <c r="E732" s="637"/>
      <c r="F732" s="637"/>
      <c r="G732" s="637"/>
      <c r="H732" s="637"/>
      <c r="I732" s="637"/>
      <c r="J732" s="637"/>
      <c r="K732" s="637"/>
      <c r="L732" s="638" t="str">
        <f t="shared" si="190"/>
        <v xml:space="preserve">5.8.4.1 Validation du guide de stage élaboré en 2015 ; 5.8.4.2 Élaboration d'un cadre de suivi des stages des enseignants en formation ;  ;  ;  ; 8.17.13.2 Identification des élèves/étudiants déplacés ainsi que leurs établissements ;  ;  ;  ;  ; 8.16.1.1 Mise en place progressive du dispositif numérique de collecte de données et de saisie des données ; 8.16.1.2 Formation des cadres au logiciel de collecte et de saisie des données ; 8.16.1.3 Campagne de collecte de données ; 8.16.2.1 Traitement et analyse des données ; 8.16.2.2 Publication des annuaires nationaux et provinciaux et des cartes scolaires ; 8.16.3.1 Élaboration des cartes scolaires/universitaires ; 8.16.3.2 Publication de la carte scolaire/universitaire (papier et numérique) ; 8.13.4.1 Mise en place d'un système de suivi des carrières scolaires ; 8.13.4.2 Mise en œuvre du dispositif ;  ;  ;  ; 5.2.1.1 Étude sur les modalités de l'examen de fin du cycle ; 5.2.1.2 Textes réglementaires adoptés ; 8.13.3.1 Formation des directeurs d'établissement scolaire au dispositif de rattrapage pour les élèves en difficulté ;  ;  ; 8.4.1.1 Formation des cadres des services centraux ; 8.4.1.2 Formation des cadres des services déconcentrés ; 8.4.1.3 Suivi  et évaluation des cadres des services déconcentrés ;  ;  ; 2.6.3.1 Élaboration de plaquettes sur l'éducation à la gestion, l'éducation à la paix et à la citoyenneté ;  ;  ;  ;  ; 8.16.4.1 Définition des méthodes d'élaboration des tableaux des tableaux de bord provinciaux ; 8.16.4.2 Élaboration des premiers tableaux de bord provinciaux ; 8.16.5.1 Formation aux outils et méthodes ; 8.16.5.2 Publication et diffusion des tableaux de bords provinciaux ; </v>
      </c>
    </row>
  </sheetData>
  <mergeCells count="6">
    <mergeCell ref="E6:J6"/>
    <mergeCell ref="L6:Q6"/>
    <mergeCell ref="E360:J360"/>
    <mergeCell ref="L360:Q360"/>
    <mergeCell ref="E460:J460"/>
    <mergeCell ref="L460:Q460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3"/>
  <sheetViews>
    <sheetView showGridLines="0" showZeros="0" workbookViewId="0">
      <selection activeCell="C50" sqref="C50"/>
    </sheetView>
  </sheetViews>
  <sheetFormatPr defaultColWidth="11" defaultRowHeight="11.25" x14ac:dyDescent="0.2"/>
  <cols>
    <col min="1" max="2" width="11" style="1"/>
    <col min="3" max="3" width="66.625" style="1" customWidth="1"/>
    <col min="4" max="9" width="6.625" style="1" customWidth="1"/>
    <col min="10" max="16384" width="11" style="1"/>
  </cols>
  <sheetData>
    <row r="3" spans="3:9" hidden="1" x14ac:dyDescent="0.2"/>
    <row r="4" spans="3:9" hidden="1" x14ac:dyDescent="0.2">
      <c r="C4" s="551" t="s">
        <v>1012</v>
      </c>
      <c r="D4" s="552">
        <v>11053.536</v>
      </c>
      <c r="E4" s="552">
        <v>14811.571</v>
      </c>
      <c r="F4" s="552">
        <v>31671.757000000001</v>
      </c>
      <c r="G4" s="552">
        <v>36262.256999999998</v>
      </c>
      <c r="H4" s="552">
        <v>40936.457000000002</v>
      </c>
      <c r="I4" s="552">
        <v>122218.378</v>
      </c>
    </row>
    <row r="5" spans="3:9" ht="12" hidden="1" thickBot="1" x14ac:dyDescent="0.25"/>
    <row r="6" spans="3:9" ht="12" hidden="1" thickTop="1" x14ac:dyDescent="0.2">
      <c r="C6" s="528"/>
      <c r="D6" s="530">
        <v>2016</v>
      </c>
      <c r="E6" s="530">
        <f>D6+1</f>
        <v>2017</v>
      </c>
      <c r="F6" s="530">
        <f>E6+1</f>
        <v>2018</v>
      </c>
      <c r="G6" s="530">
        <f>F6+1</f>
        <v>2019</v>
      </c>
      <c r="H6" s="553">
        <f>G6+1</f>
        <v>2020</v>
      </c>
      <c r="I6" s="554" t="s">
        <v>8</v>
      </c>
    </row>
    <row r="7" spans="3:9" hidden="1" x14ac:dyDescent="0.2">
      <c r="C7" s="368" t="s">
        <v>1517</v>
      </c>
      <c r="D7" s="217">
        <f>[2]PA!D2470</f>
        <v>365.5</v>
      </c>
      <c r="E7" s="217">
        <f>[2]PA!E2470</f>
        <v>248.3</v>
      </c>
      <c r="F7" s="217">
        <f>[2]PA!F2470</f>
        <v>122.3</v>
      </c>
      <c r="G7" s="217">
        <f>[2]PA!G2470</f>
        <v>170</v>
      </c>
      <c r="H7" s="273">
        <f>[2]PA!H2470</f>
        <v>65</v>
      </c>
      <c r="I7" s="555">
        <f>[2]PA!I2470</f>
        <v>971.1</v>
      </c>
    </row>
    <row r="8" spans="3:9" hidden="1" x14ac:dyDescent="0.2">
      <c r="C8" s="369" t="s">
        <v>1518</v>
      </c>
      <c r="D8" s="168">
        <f>[2]PA!D2471</f>
        <v>365.5</v>
      </c>
      <c r="E8" s="168">
        <f>[2]PA!E2471</f>
        <v>248.3</v>
      </c>
      <c r="F8" s="168">
        <f>[2]PA!F2471</f>
        <v>122.3</v>
      </c>
      <c r="G8" s="168">
        <f>[2]PA!G2471</f>
        <v>170</v>
      </c>
      <c r="H8" s="271">
        <f>[2]PA!H2471</f>
        <v>65</v>
      </c>
      <c r="I8" s="556">
        <f>[2]PA!I2471</f>
        <v>971.1</v>
      </c>
    </row>
    <row r="9" spans="3:9" hidden="1" x14ac:dyDescent="0.2">
      <c r="C9" s="368" t="s">
        <v>188</v>
      </c>
      <c r="D9" s="217">
        <f>[2]PA!D2472</f>
        <v>258.60000000000002</v>
      </c>
      <c r="E9" s="217">
        <f>[2]PA!E2472</f>
        <v>1055</v>
      </c>
      <c r="F9" s="217">
        <f>[2]PA!F2472</f>
        <v>13110</v>
      </c>
      <c r="G9" s="217">
        <f>[2]PA!G2472</f>
        <v>15110</v>
      </c>
      <c r="H9" s="273">
        <f>[2]PA!H2472</f>
        <v>17110</v>
      </c>
      <c r="I9" s="555">
        <f>[2]PA!I2472</f>
        <v>46643.6</v>
      </c>
    </row>
    <row r="10" spans="3:9" hidden="1" x14ac:dyDescent="0.2">
      <c r="C10" s="369" t="s">
        <v>1019</v>
      </c>
      <c r="D10" s="168">
        <f>[2]PA!D2473</f>
        <v>0</v>
      </c>
      <c r="E10" s="168">
        <f>[2]PA!E2473</f>
        <v>0</v>
      </c>
      <c r="F10" s="168">
        <f>[2]PA!F2473</f>
        <v>0</v>
      </c>
      <c r="G10" s="168">
        <f>[2]PA!G2473</f>
        <v>0</v>
      </c>
      <c r="H10" s="271">
        <f>[2]PA!H2473</f>
        <v>0</v>
      </c>
      <c r="I10" s="556">
        <f>[2]PA!I2473</f>
        <v>0</v>
      </c>
    </row>
    <row r="11" spans="3:9" hidden="1" x14ac:dyDescent="0.2">
      <c r="C11" s="369" t="s">
        <v>189</v>
      </c>
      <c r="D11" s="168">
        <f>[2]PA!D2474</f>
        <v>220</v>
      </c>
      <c r="E11" s="168">
        <f>[2]PA!E2474</f>
        <v>0</v>
      </c>
      <c r="F11" s="168">
        <f>[2]PA!F2474</f>
        <v>0</v>
      </c>
      <c r="G11" s="168">
        <f>[2]PA!G2474</f>
        <v>0</v>
      </c>
      <c r="H11" s="271">
        <f>[2]PA!H2474</f>
        <v>0</v>
      </c>
      <c r="I11" s="556">
        <f>[2]PA!I2474</f>
        <v>220</v>
      </c>
    </row>
    <row r="12" spans="3:9" hidden="1" x14ac:dyDescent="0.2">
      <c r="C12" s="369" t="s">
        <v>656</v>
      </c>
      <c r="D12" s="168">
        <f>[2]PA!D2475</f>
        <v>38.6</v>
      </c>
      <c r="E12" s="168">
        <f>[2]PA!E2475</f>
        <v>1055</v>
      </c>
      <c r="F12" s="168">
        <f>[2]PA!F2475</f>
        <v>13110</v>
      </c>
      <c r="G12" s="168">
        <f>[2]PA!G2475</f>
        <v>15110</v>
      </c>
      <c r="H12" s="271">
        <f>[2]PA!H2475</f>
        <v>17110</v>
      </c>
      <c r="I12" s="556">
        <f>[2]PA!I2475</f>
        <v>46423.6</v>
      </c>
    </row>
    <row r="13" spans="3:9" hidden="1" x14ac:dyDescent="0.2">
      <c r="C13" s="368" t="s">
        <v>174</v>
      </c>
      <c r="D13" s="217">
        <f>[2]PA!D2476</f>
        <v>9242.1859999999997</v>
      </c>
      <c r="E13" s="217">
        <f>[2]PA!E2476</f>
        <v>11446.771000000001</v>
      </c>
      <c r="F13" s="217">
        <f>[2]PA!F2476</f>
        <v>16210.957</v>
      </c>
      <c r="G13" s="217">
        <f>[2]PA!G2476</f>
        <v>18705.757000000001</v>
      </c>
      <c r="H13" s="273">
        <f>[2]PA!H2476</f>
        <v>21286.956999999999</v>
      </c>
      <c r="I13" s="555">
        <f>[2]PA!I2476</f>
        <v>76892.627999999997</v>
      </c>
    </row>
    <row r="14" spans="3:9" hidden="1" x14ac:dyDescent="0.2">
      <c r="C14" s="369" t="s">
        <v>1020</v>
      </c>
      <c r="D14" s="168">
        <f>[2]PA!D2477</f>
        <v>9242.1859999999997</v>
      </c>
      <c r="E14" s="168">
        <f>[2]PA!E2477</f>
        <v>10146.771000000001</v>
      </c>
      <c r="F14" s="168">
        <f>[2]PA!F2477</f>
        <v>13610.957</v>
      </c>
      <c r="G14" s="168">
        <f>[2]PA!G2477</f>
        <v>16105.757</v>
      </c>
      <c r="H14" s="271">
        <f>[2]PA!H2477</f>
        <v>18686.956999999999</v>
      </c>
      <c r="I14" s="556">
        <f>[2]PA!I2477</f>
        <v>67792.627999999997</v>
      </c>
    </row>
    <row r="15" spans="3:9" hidden="1" x14ac:dyDescent="0.2">
      <c r="C15" s="369" t="s">
        <v>12</v>
      </c>
      <c r="D15" s="168">
        <f>[2]PA!D2478</f>
        <v>0</v>
      </c>
      <c r="E15" s="168">
        <f>[2]PA!E2478</f>
        <v>1300</v>
      </c>
      <c r="F15" s="168">
        <f>[2]PA!F2478</f>
        <v>2600</v>
      </c>
      <c r="G15" s="168">
        <f>[2]PA!G2478</f>
        <v>2600</v>
      </c>
      <c r="H15" s="271">
        <f>[2]PA!H2478</f>
        <v>2600</v>
      </c>
      <c r="I15" s="556">
        <f>[2]PA!I2478</f>
        <v>9100</v>
      </c>
    </row>
    <row r="16" spans="3:9" hidden="1" x14ac:dyDescent="0.2">
      <c r="C16" s="368" t="s">
        <v>175</v>
      </c>
      <c r="D16" s="217">
        <f>[2]PA!D2479</f>
        <v>363.75</v>
      </c>
      <c r="E16" s="217">
        <f>[2]PA!E2479</f>
        <v>344</v>
      </c>
      <c r="F16" s="217">
        <f>[2]PA!F2479</f>
        <v>324</v>
      </c>
      <c r="G16" s="217">
        <f>[2]PA!G2479</f>
        <v>324</v>
      </c>
      <c r="H16" s="273">
        <f>[2]PA!H2479</f>
        <v>324</v>
      </c>
      <c r="I16" s="555">
        <f>[2]PA!I2479</f>
        <v>1679.75</v>
      </c>
    </row>
    <row r="17" spans="2:10" hidden="1" x14ac:dyDescent="0.2">
      <c r="C17" s="370" t="s">
        <v>13</v>
      </c>
      <c r="D17" s="168">
        <f>[2]PA!D2480</f>
        <v>324</v>
      </c>
      <c r="E17" s="168">
        <f>[2]PA!E2480</f>
        <v>324</v>
      </c>
      <c r="F17" s="168">
        <f>[2]PA!F2480</f>
        <v>324</v>
      </c>
      <c r="G17" s="168">
        <f>[2]PA!G2480</f>
        <v>324</v>
      </c>
      <c r="H17" s="271">
        <f>[2]PA!H2480</f>
        <v>324</v>
      </c>
      <c r="I17" s="556">
        <f>[2]PA!I2480</f>
        <v>1620</v>
      </c>
    </row>
    <row r="18" spans="2:10" hidden="1" x14ac:dyDescent="0.2">
      <c r="C18" s="369" t="s">
        <v>14</v>
      </c>
      <c r="D18" s="168">
        <f>[2]PA!D2481</f>
        <v>39.75</v>
      </c>
      <c r="E18" s="168">
        <f>[2]PA!E2481</f>
        <v>20</v>
      </c>
      <c r="F18" s="168">
        <f>[2]PA!F2481</f>
        <v>0</v>
      </c>
      <c r="G18" s="168">
        <f>[2]PA!G2481</f>
        <v>0</v>
      </c>
      <c r="H18" s="271">
        <f>[2]PA!H2481</f>
        <v>0</v>
      </c>
      <c r="I18" s="556">
        <f>[2]PA!I2481</f>
        <v>59.75</v>
      </c>
    </row>
    <row r="19" spans="2:10" hidden="1" x14ac:dyDescent="0.2">
      <c r="C19" s="368" t="s">
        <v>176</v>
      </c>
      <c r="D19" s="217">
        <f>[2]PA!D2482</f>
        <v>673.5</v>
      </c>
      <c r="E19" s="217">
        <f>[2]PA!E2482</f>
        <v>1567.5</v>
      </c>
      <c r="F19" s="217">
        <f>[2]PA!F2482</f>
        <v>1754.5</v>
      </c>
      <c r="G19" s="217">
        <f>[2]PA!G2482</f>
        <v>1952.5</v>
      </c>
      <c r="H19" s="273">
        <f>[2]PA!H2482</f>
        <v>2150.5</v>
      </c>
      <c r="I19" s="555">
        <f>[2]PA!I2482</f>
        <v>8098.5</v>
      </c>
    </row>
    <row r="20" spans="2:10" hidden="1" x14ac:dyDescent="0.2">
      <c r="C20" s="369" t="s">
        <v>15</v>
      </c>
      <c r="D20" s="168">
        <f>[2]PA!D2483</f>
        <v>633.75</v>
      </c>
      <c r="E20" s="168">
        <f>[2]PA!E2483</f>
        <v>594</v>
      </c>
      <c r="F20" s="168">
        <f>[2]PA!F2483</f>
        <v>594</v>
      </c>
      <c r="G20" s="168">
        <f>[2]PA!G2483</f>
        <v>594</v>
      </c>
      <c r="H20" s="271">
        <f>[2]PA!H2483</f>
        <v>594</v>
      </c>
      <c r="I20" s="556">
        <f>[2]PA!I2483</f>
        <v>3009.75</v>
      </c>
    </row>
    <row r="21" spans="2:10" hidden="1" x14ac:dyDescent="0.2">
      <c r="C21" s="369" t="s">
        <v>16</v>
      </c>
      <c r="D21" s="168">
        <f>[2]PA!D2484</f>
        <v>39.75</v>
      </c>
      <c r="E21" s="168">
        <f>[2]PA!E2484</f>
        <v>973.5</v>
      </c>
      <c r="F21" s="168">
        <f>[2]PA!F2484</f>
        <v>1160.5</v>
      </c>
      <c r="G21" s="168">
        <f>[2]PA!G2484</f>
        <v>1358.5</v>
      </c>
      <c r="H21" s="271">
        <f>[2]PA!H2484</f>
        <v>1556.5</v>
      </c>
      <c r="I21" s="556">
        <f>[2]PA!I2484</f>
        <v>5088.75</v>
      </c>
    </row>
    <row r="22" spans="2:10" hidden="1" x14ac:dyDescent="0.2">
      <c r="C22" s="368" t="s">
        <v>177</v>
      </c>
      <c r="D22" s="217">
        <f>[2]PA!D2485</f>
        <v>210</v>
      </c>
      <c r="E22" s="217">
        <f>[2]PA!E2485</f>
        <v>270</v>
      </c>
      <c r="F22" s="217">
        <f>[2]PA!F2485</f>
        <v>330</v>
      </c>
      <c r="G22" s="217">
        <f>[2]PA!G2485</f>
        <v>180</v>
      </c>
      <c r="H22" s="273">
        <f>[2]PA!H2485</f>
        <v>180</v>
      </c>
      <c r="I22" s="555">
        <f>[2]PA!I2485</f>
        <v>1170</v>
      </c>
    </row>
    <row r="23" spans="2:10" hidden="1" x14ac:dyDescent="0.2">
      <c r="C23" s="369" t="s">
        <v>17</v>
      </c>
      <c r="D23" s="168">
        <f>[2]PA!D2486</f>
        <v>150</v>
      </c>
      <c r="E23" s="168">
        <f>[2]PA!E2486</f>
        <v>150</v>
      </c>
      <c r="F23" s="168">
        <f>[2]PA!F2486</f>
        <v>150</v>
      </c>
      <c r="G23" s="168">
        <f>[2]PA!G2486</f>
        <v>0</v>
      </c>
      <c r="H23" s="271">
        <f>[2]PA!H2486</f>
        <v>0</v>
      </c>
      <c r="I23" s="556">
        <f>[2]PA!I2486</f>
        <v>450</v>
      </c>
    </row>
    <row r="24" spans="2:10" ht="12" hidden="1" thickBot="1" x14ac:dyDescent="0.25">
      <c r="C24" s="557" t="s">
        <v>1016</v>
      </c>
      <c r="D24" s="558">
        <f>[2]PA!D2487</f>
        <v>60</v>
      </c>
      <c r="E24" s="558">
        <f>[2]PA!E2487</f>
        <v>120</v>
      </c>
      <c r="F24" s="558">
        <f>[2]PA!F2487</f>
        <v>180</v>
      </c>
      <c r="G24" s="558">
        <f>[2]PA!G2487</f>
        <v>180</v>
      </c>
      <c r="H24" s="559">
        <f>[2]PA!H2487</f>
        <v>180</v>
      </c>
      <c r="I24" s="560">
        <f>[2]PA!I2487</f>
        <v>720</v>
      </c>
    </row>
    <row r="25" spans="2:10" ht="12.75" hidden="1" thickTop="1" thickBot="1" x14ac:dyDescent="0.25">
      <c r="C25" s="561" t="s">
        <v>1519</v>
      </c>
      <c r="D25" s="562">
        <f t="shared" ref="D25:I25" si="0">D22+D19+D16+D13+D9+D7</f>
        <v>11113.536</v>
      </c>
      <c r="E25" s="562">
        <f t="shared" si="0"/>
        <v>14931.571</v>
      </c>
      <c r="F25" s="562">
        <f t="shared" si="0"/>
        <v>31851.757000000001</v>
      </c>
      <c r="G25" s="562">
        <f t="shared" si="0"/>
        <v>36442.256999999998</v>
      </c>
      <c r="H25" s="563">
        <f t="shared" si="0"/>
        <v>41116.456999999995</v>
      </c>
      <c r="I25" s="564">
        <f t="shared" si="0"/>
        <v>135455.57800000001</v>
      </c>
    </row>
    <row r="28" spans="2:10" ht="12" thickBot="1" x14ac:dyDescent="0.25"/>
    <row r="29" spans="2:10" ht="12" thickTop="1" x14ac:dyDescent="0.2">
      <c r="B29" s="1" t="s">
        <v>1520</v>
      </c>
      <c r="C29" s="528"/>
      <c r="D29" s="530">
        <v>2016</v>
      </c>
      <c r="E29" s="530">
        <f>D29+1</f>
        <v>2017</v>
      </c>
      <c r="F29" s="530">
        <f>E29+1</f>
        <v>2018</v>
      </c>
      <c r="G29" s="530">
        <f>F29+1</f>
        <v>2019</v>
      </c>
      <c r="H29" s="530">
        <f>G29+1</f>
        <v>2020</v>
      </c>
      <c r="I29" s="541" t="s">
        <v>8</v>
      </c>
    </row>
    <row r="30" spans="2:10" x14ac:dyDescent="0.2">
      <c r="B30" s="1" t="s">
        <v>1521</v>
      </c>
      <c r="C30" s="531" t="s">
        <v>1517</v>
      </c>
      <c r="D30" s="325">
        <f>'PA-Synthèse'!L363/1000</f>
        <v>365.5</v>
      </c>
      <c r="E30" s="325">
        <f>'PA-Synthèse'!M363/1000</f>
        <v>248.3</v>
      </c>
      <c r="F30" s="325">
        <f>'PA-Synthèse'!N363/1000</f>
        <v>122.3</v>
      </c>
      <c r="G30" s="325">
        <f>'PA-Synthèse'!O363/1000</f>
        <v>170</v>
      </c>
      <c r="H30" s="325">
        <f>'PA-Synthèse'!P363/1000</f>
        <v>65</v>
      </c>
      <c r="I30" s="326">
        <f>SUM(D30:H30)</f>
        <v>971.09999999999991</v>
      </c>
      <c r="J30" s="565">
        <f t="shared" ref="J30:J35" si="1">I30/I$36</f>
        <v>7.0597446612998263E-3</v>
      </c>
    </row>
    <row r="31" spans="2:10" x14ac:dyDescent="0.2">
      <c r="B31" s="1" t="s">
        <v>1522</v>
      </c>
      <c r="C31" s="531" t="s">
        <v>188</v>
      </c>
      <c r="D31" s="325">
        <f>'PA-Synthèse'!L364/1000</f>
        <v>258.60000000000002</v>
      </c>
      <c r="E31" s="325">
        <f>'PA-Synthèse'!M364/1000</f>
        <v>1055</v>
      </c>
      <c r="F31" s="325">
        <f>'PA-Synthèse'!N364/1000</f>
        <v>13110</v>
      </c>
      <c r="G31" s="325">
        <f>'PA-Synthèse'!O364/1000</f>
        <v>15110</v>
      </c>
      <c r="H31" s="325">
        <f>'PA-Synthèse'!P364/1000</f>
        <v>17110</v>
      </c>
      <c r="I31" s="326">
        <f t="shared" ref="I31:I35" si="2">SUM(D31:H31)</f>
        <v>46643.6</v>
      </c>
      <c r="J31" s="565">
        <f t="shared" si="1"/>
        <v>0.33909165491072452</v>
      </c>
    </row>
    <row r="32" spans="2:10" x14ac:dyDescent="0.2">
      <c r="C32" s="531" t="s">
        <v>174</v>
      </c>
      <c r="D32" s="325">
        <f>'PA-Synthèse'!L365/1000</f>
        <v>9242.1</v>
      </c>
      <c r="E32" s="325">
        <f>'PA-Synthèse'!M365/1000</f>
        <v>11746.6</v>
      </c>
      <c r="F32" s="325">
        <f>'PA-Synthèse'!N365/1000</f>
        <v>16810.7</v>
      </c>
      <c r="G32" s="325">
        <f>'PA-Synthèse'!O365/1000</f>
        <v>19305.5</v>
      </c>
      <c r="H32" s="325">
        <f>'PA-Synthèse'!P365/1000</f>
        <v>21886.7</v>
      </c>
      <c r="I32" s="326">
        <f t="shared" si="2"/>
        <v>78991.600000000006</v>
      </c>
      <c r="J32" s="565">
        <f t="shared" si="1"/>
        <v>0.57425654040524299</v>
      </c>
    </row>
    <row r="33" spans="3:10" x14ac:dyDescent="0.2">
      <c r="C33" s="531" t="s">
        <v>175</v>
      </c>
      <c r="D33" s="325">
        <f>'PA-Synthèse'!L366/1000</f>
        <v>363.75</v>
      </c>
      <c r="E33" s="325">
        <f>'PA-Synthèse'!M366/1000</f>
        <v>344</v>
      </c>
      <c r="F33" s="325">
        <f>'PA-Synthèse'!N366/1000</f>
        <v>324</v>
      </c>
      <c r="G33" s="325">
        <f>'PA-Synthèse'!O366/1000</f>
        <v>324</v>
      </c>
      <c r="H33" s="325">
        <f>'PA-Synthèse'!P366/1000</f>
        <v>324</v>
      </c>
      <c r="I33" s="326">
        <f t="shared" si="2"/>
        <v>1679.75</v>
      </c>
      <c r="J33" s="565">
        <f t="shared" si="1"/>
        <v>1.2211518993737396E-2</v>
      </c>
    </row>
    <row r="34" spans="3:10" x14ac:dyDescent="0.2">
      <c r="C34" s="531" t="s">
        <v>176</v>
      </c>
      <c r="D34" s="325">
        <f>'PA-Synthèse'!L367/1000</f>
        <v>673.5</v>
      </c>
      <c r="E34" s="325">
        <f>'PA-Synthèse'!M367/1000</f>
        <v>1567.5</v>
      </c>
      <c r="F34" s="325">
        <f>'PA-Synthèse'!N367/1000</f>
        <v>1754.5</v>
      </c>
      <c r="G34" s="325">
        <f>'PA-Synthèse'!O367/1000</f>
        <v>1952.5</v>
      </c>
      <c r="H34" s="325">
        <f>'PA-Synthèse'!P367/1000</f>
        <v>2150.5</v>
      </c>
      <c r="I34" s="326">
        <f t="shared" si="2"/>
        <v>8098.5</v>
      </c>
      <c r="J34" s="565">
        <f t="shared" si="1"/>
        <v>5.8874824569598028E-2</v>
      </c>
    </row>
    <row r="35" spans="3:10" ht="12" thickBot="1" x14ac:dyDescent="0.25">
      <c r="C35" s="531" t="s">
        <v>177</v>
      </c>
      <c r="D35" s="325">
        <f>'PA-Synthèse'!L368/1000</f>
        <v>210</v>
      </c>
      <c r="E35" s="325">
        <f>'PA-Synthèse'!M368/1000</f>
        <v>270</v>
      </c>
      <c r="F35" s="325">
        <f>'PA-Synthèse'!N368/1000</f>
        <v>330</v>
      </c>
      <c r="G35" s="325">
        <f>'PA-Synthèse'!O368/1000</f>
        <v>180</v>
      </c>
      <c r="H35" s="325">
        <f>'PA-Synthèse'!P368/1000</f>
        <v>180</v>
      </c>
      <c r="I35" s="326">
        <f t="shared" si="2"/>
        <v>1170</v>
      </c>
      <c r="J35" s="565">
        <f t="shared" si="1"/>
        <v>8.5057164593973812E-3</v>
      </c>
    </row>
    <row r="36" spans="3:10" ht="12.75" thickTop="1" thickBot="1" x14ac:dyDescent="0.25">
      <c r="C36" s="561" t="s">
        <v>1519</v>
      </c>
      <c r="D36" s="562">
        <f>SUM(D30:D35)</f>
        <v>11113.45</v>
      </c>
      <c r="E36" s="562">
        <f t="shared" ref="E36:I36" si="3">SUM(E30:E35)</f>
        <v>15231.4</v>
      </c>
      <c r="F36" s="562">
        <f t="shared" si="3"/>
        <v>32451.5</v>
      </c>
      <c r="G36" s="562">
        <f t="shared" si="3"/>
        <v>37042</v>
      </c>
      <c r="H36" s="563">
        <f t="shared" si="3"/>
        <v>41716.199999999997</v>
      </c>
      <c r="I36" s="564">
        <f t="shared" si="3"/>
        <v>137554.54999999999</v>
      </c>
    </row>
    <row r="37" spans="3:10" ht="12" thickTop="1" x14ac:dyDescent="0.2"/>
    <row r="38" spans="3:10" x14ac:dyDescent="0.2">
      <c r="C38" s="1" t="s">
        <v>1523</v>
      </c>
      <c r="D38" s="148">
        <f>[2]PA!L2826/1000</f>
        <v>365.5</v>
      </c>
      <c r="E38" s="148">
        <f>[2]PA!M2826/1000</f>
        <v>248.3</v>
      </c>
      <c r="F38" s="148">
        <f>[2]PA!N2826/1000</f>
        <v>122.3</v>
      </c>
      <c r="G38" s="148">
        <f>[2]PA!O2826/1000</f>
        <v>170</v>
      </c>
      <c r="H38" s="148">
        <f>[2]PA!P2826/1000</f>
        <v>65</v>
      </c>
    </row>
    <row r="39" spans="3:10" x14ac:dyDescent="0.2">
      <c r="C39" s="1" t="s">
        <v>1524</v>
      </c>
      <c r="D39" s="148">
        <f>[2]PA!L2827/1000</f>
        <v>258.60000000000002</v>
      </c>
      <c r="E39" s="148">
        <f>[2]PA!M2827/1000</f>
        <v>1055</v>
      </c>
      <c r="F39" s="148">
        <f>[2]PA!N2827/1000</f>
        <v>13110</v>
      </c>
      <c r="G39" s="148">
        <f>[2]PA!O2827/1000</f>
        <v>15110</v>
      </c>
      <c r="H39" s="148">
        <f>[2]PA!P2827/1000</f>
        <v>17110</v>
      </c>
    </row>
    <row r="40" spans="3:10" x14ac:dyDescent="0.2">
      <c r="C40" s="1" t="s">
        <v>1525</v>
      </c>
      <c r="D40" s="148">
        <f>[2]PA!L2828/1000</f>
        <v>9242.1859999999997</v>
      </c>
      <c r="E40" s="148">
        <f>[2]PA!M2828/1000</f>
        <v>11446.771000000001</v>
      </c>
      <c r="F40" s="148">
        <f>[2]PA!N2828/1000</f>
        <v>16210.957</v>
      </c>
      <c r="G40" s="148">
        <f>[2]PA!O2828/1000</f>
        <v>18705.757000000001</v>
      </c>
      <c r="H40" s="148">
        <f>[2]PA!P2828/1000</f>
        <v>21286.956999999999</v>
      </c>
    </row>
    <row r="41" spans="3:10" x14ac:dyDescent="0.2">
      <c r="C41" s="1" t="s">
        <v>1526</v>
      </c>
      <c r="D41" s="148">
        <f>[2]PA!L2829/1000</f>
        <v>363.75</v>
      </c>
      <c r="E41" s="148">
        <f>[2]PA!M2829/1000</f>
        <v>344</v>
      </c>
      <c r="F41" s="148">
        <f>[2]PA!N2829/1000</f>
        <v>324</v>
      </c>
      <c r="G41" s="148">
        <f>[2]PA!O2829/1000</f>
        <v>324</v>
      </c>
      <c r="H41" s="148">
        <f>[2]PA!P2829/1000</f>
        <v>324</v>
      </c>
    </row>
    <row r="42" spans="3:10" x14ac:dyDescent="0.2">
      <c r="C42" s="1" t="s">
        <v>1527</v>
      </c>
      <c r="D42" s="148">
        <f>[2]PA!L2830/1000</f>
        <v>673.5</v>
      </c>
      <c r="E42" s="148">
        <f>[2]PA!M2830/1000</f>
        <v>1567.5</v>
      </c>
      <c r="F42" s="148">
        <f>[2]PA!N2830/1000</f>
        <v>1754.5</v>
      </c>
      <c r="G42" s="148">
        <f>[2]PA!O2830/1000</f>
        <v>1952.5</v>
      </c>
      <c r="H42" s="148">
        <f>[2]PA!P2830/1000</f>
        <v>2150.5</v>
      </c>
    </row>
    <row r="43" spans="3:10" x14ac:dyDescent="0.2">
      <c r="C43" s="1" t="s">
        <v>1528</v>
      </c>
      <c r="D43" s="148">
        <f>[2]PA!L2831/1000</f>
        <v>210</v>
      </c>
      <c r="E43" s="148">
        <f>[2]PA!M2831/1000</f>
        <v>270</v>
      </c>
      <c r="F43" s="148">
        <f>[2]PA!N2831/1000</f>
        <v>330</v>
      </c>
      <c r="G43" s="148">
        <f>[2]PA!O2831/1000</f>
        <v>180</v>
      </c>
      <c r="H43" s="148">
        <f>[2]PA!P2831/1000</f>
        <v>180</v>
      </c>
    </row>
    <row r="44" spans="3:10" x14ac:dyDescent="0.2">
      <c r="D44" s="148">
        <f>SUM(D38:D43)</f>
        <v>11113.536</v>
      </c>
      <c r="E44" s="148">
        <f>SUM(E38:E43)</f>
        <v>14931.571</v>
      </c>
      <c r="F44" s="148">
        <f>SUM(F38:F43)</f>
        <v>31851.756999999998</v>
      </c>
      <c r="G44" s="148">
        <f>SUM(G38:G43)</f>
        <v>36442.256999999998</v>
      </c>
      <c r="H44" s="148">
        <f>SUM(H38:H43)</f>
        <v>41116.456999999995</v>
      </c>
    </row>
    <row r="48" spans="3:10" ht="12" thickBot="1" x14ac:dyDescent="0.25"/>
    <row r="49" spans="3:9" ht="12" thickTop="1" x14ac:dyDescent="0.2">
      <c r="C49" s="528"/>
      <c r="D49" s="530">
        <v>2016</v>
      </c>
      <c r="E49" s="530">
        <f>D49+1</f>
        <v>2017</v>
      </c>
      <c r="F49" s="530">
        <f>E49+1</f>
        <v>2018</v>
      </c>
      <c r="G49" s="530">
        <f>F49+1</f>
        <v>2019</v>
      </c>
      <c r="H49" s="553">
        <f>G49+1</f>
        <v>2020</v>
      </c>
      <c r="I49" s="566" t="s">
        <v>8</v>
      </c>
    </row>
    <row r="50" spans="3:9" x14ac:dyDescent="0.2">
      <c r="C50" s="531" t="str">
        <f>'PA-Synthèse'!A370</f>
        <v xml:space="preserve">2.1 Capacité d'accueil du primaire : Augmenter les capacités d’accueil </v>
      </c>
      <c r="D50" s="325">
        <f>'PA-Synthèse'!L370/1000</f>
        <v>93760</v>
      </c>
      <c r="E50" s="325">
        <f>'PA-Synthèse'!M370/1000</f>
        <v>92800</v>
      </c>
      <c r="F50" s="325">
        <f>'PA-Synthèse'!N370/1000</f>
        <v>92800</v>
      </c>
      <c r="G50" s="325">
        <f>'PA-Synthèse'!O370/1000</f>
        <v>92800</v>
      </c>
      <c r="H50" s="567">
        <f>'PA-Synthèse'!P370/1000</f>
        <v>92800</v>
      </c>
      <c r="I50" s="568">
        <f>SUM(D50:H50)</f>
        <v>464960</v>
      </c>
    </row>
    <row r="51" spans="3:9" x14ac:dyDescent="0.2">
      <c r="C51" s="531" t="str">
        <f>'PA-Synthèse'!A371</f>
        <v>2.2 Gratuité des écoles publiques : Les frais scolaires sont supprimés dans les écoles primaires publiques conventionnées et non conventionnées</v>
      </c>
      <c r="D51" s="325">
        <f>'PA-Synthèse'!L371/1000</f>
        <v>383136.1590175805</v>
      </c>
      <c r="E51" s="325">
        <f>'PA-Synthèse'!M371/1000</f>
        <v>422799.85916991753</v>
      </c>
      <c r="F51" s="325">
        <f>'PA-Synthèse'!N371/1000</f>
        <v>463309.34983057226</v>
      </c>
      <c r="G51" s="325">
        <f>'PA-Synthèse'!O371/1000</f>
        <v>504307.02995687141</v>
      </c>
      <c r="H51" s="567">
        <f>'PA-Synthèse'!P371/1000</f>
        <v>542242.91396220424</v>
      </c>
      <c r="I51" s="568">
        <f t="shared" ref="I51:I59" si="4">SUM(D51:H51)</f>
        <v>2315795.3119371459</v>
      </c>
    </row>
    <row r="52" spans="3:9" x14ac:dyDescent="0.2">
      <c r="C52" s="531" t="str">
        <f>'PA-Synthèse'!A372</f>
        <v>2.3 Résorption des disparités dans l'offre : Une capacité d'accueil mieux répartie sur le territoire</v>
      </c>
      <c r="D52" s="325">
        <f>'PA-Synthèse'!L372/1000</f>
        <v>21060.883999999998</v>
      </c>
      <c r="E52" s="325">
        <f>'PA-Synthèse'!M372/1000</f>
        <v>21343.162</v>
      </c>
      <c r="F52" s="325">
        <f>'PA-Synthèse'!N372/1000</f>
        <v>24667.439999999999</v>
      </c>
      <c r="G52" s="325">
        <f>'PA-Synthèse'!O372/1000</f>
        <v>25017.968000000001</v>
      </c>
      <c r="H52" s="567">
        <f>'PA-Synthèse'!P372/1000</f>
        <v>25368.495999999999</v>
      </c>
      <c r="I52" s="568">
        <f t="shared" si="4"/>
        <v>117457.95</v>
      </c>
    </row>
    <row r="53" spans="3:9" x14ac:dyDescent="0.2">
      <c r="C53" s="531" t="str">
        <f>'PA-Synthèse'!A373</f>
        <v>2.4 Amélioration de l'équité d'accès : soutenir la scolarisation des populations défavorisées ou marginalisées</v>
      </c>
      <c r="D53" s="325">
        <f>'PA-Synthèse'!L373/1000</f>
        <v>44.85</v>
      </c>
      <c r="E53" s="325">
        <f>'PA-Synthèse'!M373/1000</f>
        <v>1464.3389999999999</v>
      </c>
      <c r="F53" s="325">
        <f>'PA-Synthèse'!N373/1000</f>
        <v>2505.0830000000001</v>
      </c>
      <c r="G53" s="325">
        <f>'PA-Synthèse'!O373/1000</f>
        <v>5962.0230000000001</v>
      </c>
      <c r="H53" s="567">
        <f>'PA-Synthèse'!P373/1000</f>
        <v>9465.3619999999992</v>
      </c>
      <c r="I53" s="568">
        <f t="shared" si="4"/>
        <v>19441.656999999999</v>
      </c>
    </row>
    <row r="54" spans="3:9" x14ac:dyDescent="0.2">
      <c r="C54" s="531" t="str">
        <f>'PA-Synthèse'!A374</f>
        <v>2.5 Scolarisation des filles : Encourager la scolarisation des filles</v>
      </c>
      <c r="D54" s="325">
        <f>'PA-Synthèse'!L374/1000</f>
        <v>30.5</v>
      </c>
      <c r="E54" s="325">
        <f>'PA-Synthèse'!M374/1000</f>
        <v>6754</v>
      </c>
      <c r="F54" s="325">
        <f>'PA-Synthèse'!N374/1000</f>
        <v>8110</v>
      </c>
      <c r="G54" s="325">
        <f>'PA-Synthèse'!O374/1000</f>
        <v>9480</v>
      </c>
      <c r="H54" s="567">
        <f>'PA-Synthèse'!P374/1000</f>
        <v>10850</v>
      </c>
      <c r="I54" s="568">
        <f t="shared" si="4"/>
        <v>35224.5</v>
      </c>
    </row>
    <row r="55" spans="3:9" x14ac:dyDescent="0.2">
      <c r="C55" s="531" t="str">
        <f>'PA-Synthèse'!A375</f>
        <v xml:space="preserve">2.6 Matériels et équipements pédagogiques : Rendre accessibles et disponibles les manuels scolaires et le matériel didactique </v>
      </c>
      <c r="D55" s="325">
        <f>'PA-Synthèse'!L375/1000</f>
        <v>2229.4</v>
      </c>
      <c r="E55" s="325">
        <f>'PA-Synthèse'!M375/1000</f>
        <v>14835.5</v>
      </c>
      <c r="F55" s="325">
        <f>'PA-Synthèse'!N375/1000</f>
        <v>18252.5</v>
      </c>
      <c r="G55" s="325">
        <f>'PA-Synthèse'!O375/1000</f>
        <v>21792.5</v>
      </c>
      <c r="H55" s="567">
        <f>'PA-Synthèse'!P375/1000</f>
        <v>25332.5</v>
      </c>
      <c r="I55" s="568">
        <f t="shared" si="4"/>
        <v>82442.399999999994</v>
      </c>
    </row>
    <row r="56" spans="3:9" x14ac:dyDescent="0.2">
      <c r="C56" s="531" t="str">
        <f>'PA-Synthèse'!A376</f>
        <v>2.7 Apprentissage de la lecture-écriture : améliorer les apprentissages de la lecture-écriture</v>
      </c>
      <c r="D56" s="325">
        <f>'PA-Synthèse'!L376/1000</f>
        <v>124.5</v>
      </c>
      <c r="E56" s="325">
        <f>'PA-Synthèse'!M376/1000</f>
        <v>380</v>
      </c>
      <c r="F56" s="325">
        <f>'PA-Synthèse'!N376/1000</f>
        <v>90</v>
      </c>
      <c r="G56" s="325">
        <f>'PA-Synthèse'!O376/1000</f>
        <v>0</v>
      </c>
      <c r="H56" s="567">
        <f>'PA-Synthèse'!P376/1000</f>
        <v>90</v>
      </c>
      <c r="I56" s="568">
        <f t="shared" si="4"/>
        <v>684.5</v>
      </c>
    </row>
    <row r="57" spans="3:9" x14ac:dyDescent="0.2">
      <c r="C57" s="531" t="str">
        <f>'PA-Synthèse'!A377</f>
        <v>2.8 Environnement éducatif : Mise à niveau de l'infrastructure et de l'environnement scolaire</v>
      </c>
      <c r="D57" s="325">
        <f>'PA-Synthèse'!L377/1000</f>
        <v>3338.57</v>
      </c>
      <c r="E57" s="325">
        <f>'PA-Synthèse'!M377/1000</f>
        <v>13101.56</v>
      </c>
      <c r="F57" s="325">
        <f>'PA-Synthèse'!N377/1000</f>
        <v>13257.17</v>
      </c>
      <c r="G57" s="325">
        <f>'PA-Synthèse'!O377/1000</f>
        <v>13385.62</v>
      </c>
      <c r="H57" s="567">
        <f>'PA-Synthèse'!P377/1000</f>
        <v>13480.05</v>
      </c>
      <c r="I57" s="568">
        <f t="shared" si="4"/>
        <v>56562.97</v>
      </c>
    </row>
    <row r="58" spans="3:9" x14ac:dyDescent="0.2">
      <c r="C58" s="531" t="str">
        <f>'PA-Synthèse'!A378</f>
        <v>2.9 Formation continue des enseignants : renforcer la formation continue</v>
      </c>
      <c r="D58" s="325">
        <f>'PA-Synthèse'!L378/1000</f>
        <v>1702.652</v>
      </c>
      <c r="E58" s="325">
        <f>'PA-Synthèse'!M378/1000</f>
        <v>1434.98</v>
      </c>
      <c r="F58" s="325">
        <f>'PA-Synthèse'!N378/1000</f>
        <v>1344.7349999999999</v>
      </c>
      <c r="G58" s="325">
        <f>'PA-Synthèse'!O378/1000</f>
        <v>1368.377</v>
      </c>
      <c r="H58" s="567">
        <f>'PA-Synthèse'!P378/1000</f>
        <v>1393.1079999999999</v>
      </c>
      <c r="I58" s="568">
        <f t="shared" si="4"/>
        <v>7243.8520000000008</v>
      </c>
    </row>
    <row r="59" spans="3:9" x14ac:dyDescent="0.2">
      <c r="C59" s="531" t="str">
        <f>'PA-Synthèse'!A379</f>
        <v>2.10 Formation initiale des enseignants du primaire : Professionnaliser les humanités pédagogiques</v>
      </c>
      <c r="D59" s="325">
        <f>'PA-Synthèse'!L379/1000</f>
        <v>147.25</v>
      </c>
      <c r="E59" s="325">
        <f>'PA-Synthèse'!M379/1000</f>
        <v>132</v>
      </c>
      <c r="F59" s="325">
        <f>'PA-Synthèse'!N379/1000</f>
        <v>18200</v>
      </c>
      <c r="G59" s="325">
        <f>'PA-Synthèse'!O379/1000</f>
        <v>18200</v>
      </c>
      <c r="H59" s="567">
        <f>'PA-Synthèse'!P379/1000</f>
        <v>18200</v>
      </c>
      <c r="I59" s="568">
        <f t="shared" si="4"/>
        <v>54879.25</v>
      </c>
    </row>
    <row r="60" spans="3:9" x14ac:dyDescent="0.2">
      <c r="C60" s="531" t="str">
        <f>'PA-Synthèse'!A380</f>
        <v>2.11 Supervision des écoles et des enseignants : assurer l'encadrement pédagogique et administratif des écoles</v>
      </c>
      <c r="D60" s="325">
        <f>'PA-Synthèse'!L380/1000</f>
        <v>0</v>
      </c>
      <c r="E60" s="325">
        <f>'PA-Synthèse'!M380/1000</f>
        <v>1875</v>
      </c>
      <c r="F60" s="325">
        <f>'PA-Synthèse'!N380/1000</f>
        <v>4875</v>
      </c>
      <c r="G60" s="325">
        <f>'PA-Synthèse'!O380/1000</f>
        <v>4875</v>
      </c>
      <c r="H60" s="567">
        <f>'PA-Synthèse'!P380/1000</f>
        <v>4875</v>
      </c>
      <c r="I60" s="568">
        <f t="shared" ref="I60:I61" si="5">SUM(D60:H60)</f>
        <v>16500</v>
      </c>
    </row>
    <row r="61" spans="3:9" ht="12" thickBot="1" x14ac:dyDescent="0.25">
      <c r="C61" s="531" t="str">
        <f>'PA-Synthèse'!A381</f>
        <v>2.12 Équipement informatique des directeurs : permettre aux directeurs de mieux gérer et communiquer</v>
      </c>
      <c r="D61" s="325">
        <f>'PA-Synthèse'!L381/1000</f>
        <v>0</v>
      </c>
      <c r="E61" s="325">
        <f>'PA-Synthèse'!M381/1000</f>
        <v>9099</v>
      </c>
      <c r="F61" s="325">
        <f>'PA-Synthèse'!N381/1000</f>
        <v>9099</v>
      </c>
      <c r="G61" s="325">
        <f>'PA-Synthèse'!O381/1000</f>
        <v>9099</v>
      </c>
      <c r="H61" s="567">
        <f>'PA-Synthèse'!P381/1000</f>
        <v>9099</v>
      </c>
      <c r="I61" s="568">
        <f t="shared" si="5"/>
        <v>36396</v>
      </c>
    </row>
    <row r="62" spans="3:9" ht="12.75" thickTop="1" thickBot="1" x14ac:dyDescent="0.25">
      <c r="C62" s="561"/>
      <c r="D62" s="562">
        <f>SUM(D50:D61)</f>
        <v>505574.76501758053</v>
      </c>
      <c r="E62" s="562">
        <f t="shared" ref="E62:H62" si="6">SUM(E50:E61)</f>
        <v>586019.40016991762</v>
      </c>
      <c r="F62" s="562">
        <f t="shared" si="6"/>
        <v>656510.27783057222</v>
      </c>
      <c r="G62" s="562">
        <f t="shared" si="6"/>
        <v>706287.51795687142</v>
      </c>
      <c r="H62" s="563">
        <f t="shared" si="6"/>
        <v>753196.4299622043</v>
      </c>
      <c r="I62" s="569">
        <f>SUM(I50:I61)</f>
        <v>3207588.3909371463</v>
      </c>
    </row>
    <row r="63" spans="3:9" ht="12" thickTop="1" x14ac:dyDescent="0.2"/>
    <row r="65" spans="3:9" x14ac:dyDescent="0.2">
      <c r="C65" s="1" t="s">
        <v>1529</v>
      </c>
      <c r="D65" s="545">
        <f t="shared" ref="D65:I74" si="7">D50/1000</f>
        <v>93.76</v>
      </c>
      <c r="E65" s="545">
        <f t="shared" si="7"/>
        <v>92.8</v>
      </c>
      <c r="F65" s="545">
        <f t="shared" si="7"/>
        <v>92.8</v>
      </c>
      <c r="G65" s="545">
        <f t="shared" si="7"/>
        <v>92.8</v>
      </c>
      <c r="H65" s="545">
        <f t="shared" si="7"/>
        <v>92.8</v>
      </c>
      <c r="I65" s="545">
        <f t="shared" si="7"/>
        <v>464.96</v>
      </c>
    </row>
    <row r="66" spans="3:9" x14ac:dyDescent="0.2">
      <c r="C66" s="1" t="s">
        <v>1530</v>
      </c>
      <c r="D66" s="545">
        <f t="shared" si="7"/>
        <v>383.1361590175805</v>
      </c>
      <c r="E66" s="545">
        <f t="shared" si="7"/>
        <v>422.79985916991751</v>
      </c>
      <c r="F66" s="545">
        <f t="shared" si="7"/>
        <v>463.30934983057227</v>
      </c>
      <c r="G66" s="545">
        <f t="shared" si="7"/>
        <v>504.30702995687142</v>
      </c>
      <c r="H66" s="545">
        <f t="shared" si="7"/>
        <v>542.24291396220428</v>
      </c>
      <c r="I66" s="545">
        <f t="shared" si="7"/>
        <v>2315.7953119371459</v>
      </c>
    </row>
    <row r="67" spans="3:9" x14ac:dyDescent="0.2">
      <c r="C67" s="1" t="s">
        <v>1531</v>
      </c>
      <c r="D67" s="545">
        <f t="shared" si="7"/>
        <v>21.060883999999998</v>
      </c>
      <c r="E67" s="545">
        <f t="shared" si="7"/>
        <v>21.343162</v>
      </c>
      <c r="F67" s="545">
        <f t="shared" si="7"/>
        <v>24.667439999999999</v>
      </c>
      <c r="G67" s="545">
        <f t="shared" si="7"/>
        <v>25.017968</v>
      </c>
      <c r="H67" s="545">
        <f t="shared" si="7"/>
        <v>25.368496</v>
      </c>
      <c r="I67" s="545">
        <f t="shared" si="7"/>
        <v>117.45795</v>
      </c>
    </row>
    <row r="68" spans="3:9" x14ac:dyDescent="0.2">
      <c r="C68" s="1" t="s">
        <v>1532</v>
      </c>
      <c r="D68" s="545">
        <f t="shared" si="7"/>
        <v>4.4850000000000001E-2</v>
      </c>
      <c r="E68" s="545">
        <f t="shared" si="7"/>
        <v>1.4643389999999998</v>
      </c>
      <c r="F68" s="545">
        <f t="shared" si="7"/>
        <v>2.5050829999999999</v>
      </c>
      <c r="G68" s="545">
        <f t="shared" si="7"/>
        <v>5.9620230000000003</v>
      </c>
      <c r="H68" s="545">
        <f t="shared" si="7"/>
        <v>9.4653619999999989</v>
      </c>
      <c r="I68" s="545">
        <f t="shared" si="7"/>
        <v>19.441656999999999</v>
      </c>
    </row>
    <row r="69" spans="3:9" x14ac:dyDescent="0.2">
      <c r="C69" s="1" t="s">
        <v>1533</v>
      </c>
      <c r="D69" s="545">
        <f t="shared" si="7"/>
        <v>3.0499999999999999E-2</v>
      </c>
      <c r="E69" s="545">
        <f t="shared" si="7"/>
        <v>6.7539999999999996</v>
      </c>
      <c r="F69" s="545">
        <f t="shared" si="7"/>
        <v>8.11</v>
      </c>
      <c r="G69" s="545">
        <f t="shared" si="7"/>
        <v>9.48</v>
      </c>
      <c r="H69" s="545">
        <f t="shared" si="7"/>
        <v>10.85</v>
      </c>
      <c r="I69" s="545">
        <f t="shared" si="7"/>
        <v>35.224499999999999</v>
      </c>
    </row>
    <row r="70" spans="3:9" x14ac:dyDescent="0.2">
      <c r="C70" s="1" t="s">
        <v>1534</v>
      </c>
      <c r="D70" s="545">
        <f t="shared" si="7"/>
        <v>2.2294</v>
      </c>
      <c r="E70" s="545">
        <f t="shared" si="7"/>
        <v>14.8355</v>
      </c>
      <c r="F70" s="545">
        <f t="shared" si="7"/>
        <v>18.252500000000001</v>
      </c>
      <c r="G70" s="545">
        <f t="shared" si="7"/>
        <v>21.7925</v>
      </c>
      <c r="H70" s="545">
        <f t="shared" si="7"/>
        <v>25.3325</v>
      </c>
      <c r="I70" s="545">
        <f t="shared" si="7"/>
        <v>82.442399999999992</v>
      </c>
    </row>
    <row r="71" spans="3:9" x14ac:dyDescent="0.2">
      <c r="C71" s="1" t="s">
        <v>1535</v>
      </c>
      <c r="D71" s="545">
        <f t="shared" si="7"/>
        <v>0.1245</v>
      </c>
      <c r="E71" s="545">
        <f t="shared" si="7"/>
        <v>0.38</v>
      </c>
      <c r="F71" s="545">
        <f t="shared" si="7"/>
        <v>0.09</v>
      </c>
      <c r="G71" s="545">
        <f t="shared" si="7"/>
        <v>0</v>
      </c>
      <c r="H71" s="545">
        <f t="shared" si="7"/>
        <v>0.09</v>
      </c>
      <c r="I71" s="545">
        <f t="shared" si="7"/>
        <v>0.6845</v>
      </c>
    </row>
    <row r="72" spans="3:9" x14ac:dyDescent="0.2">
      <c r="C72" s="1" t="s">
        <v>1536</v>
      </c>
      <c r="D72" s="545">
        <f t="shared" si="7"/>
        <v>3.3385700000000003</v>
      </c>
      <c r="E72" s="545">
        <f t="shared" si="7"/>
        <v>13.101559999999999</v>
      </c>
      <c r="F72" s="545">
        <f t="shared" si="7"/>
        <v>13.25717</v>
      </c>
      <c r="G72" s="545">
        <f t="shared" si="7"/>
        <v>13.385620000000001</v>
      </c>
      <c r="H72" s="545">
        <f t="shared" si="7"/>
        <v>13.480049999999999</v>
      </c>
      <c r="I72" s="545">
        <f t="shared" si="7"/>
        <v>56.56297</v>
      </c>
    </row>
    <row r="73" spans="3:9" x14ac:dyDescent="0.2">
      <c r="C73" s="1" t="s">
        <v>1537</v>
      </c>
      <c r="D73" s="545">
        <f t="shared" si="7"/>
        <v>1.7026520000000001</v>
      </c>
      <c r="E73" s="545">
        <f t="shared" si="7"/>
        <v>1.4349799999999999</v>
      </c>
      <c r="F73" s="545">
        <f t="shared" si="7"/>
        <v>1.3447349999999998</v>
      </c>
      <c r="G73" s="545">
        <f t="shared" si="7"/>
        <v>1.368377</v>
      </c>
      <c r="H73" s="545">
        <f t="shared" si="7"/>
        <v>1.393108</v>
      </c>
      <c r="I73" s="545">
        <f t="shared" si="7"/>
        <v>7.2438520000000004</v>
      </c>
    </row>
    <row r="74" spans="3:9" x14ac:dyDescent="0.2">
      <c r="C74" s="1" t="s">
        <v>1538</v>
      </c>
      <c r="D74" s="545">
        <f t="shared" si="7"/>
        <v>0.14724999999999999</v>
      </c>
      <c r="E74" s="545">
        <f t="shared" si="7"/>
        <v>0.13200000000000001</v>
      </c>
      <c r="F74" s="545">
        <f t="shared" si="7"/>
        <v>18.2</v>
      </c>
      <c r="G74" s="545">
        <f t="shared" si="7"/>
        <v>18.2</v>
      </c>
      <c r="H74" s="545">
        <f t="shared" si="7"/>
        <v>18.2</v>
      </c>
      <c r="I74" s="545">
        <f t="shared" si="7"/>
        <v>54.879249999999999</v>
      </c>
    </row>
    <row r="75" spans="3:9" x14ac:dyDescent="0.2">
      <c r="C75" s="1" t="s">
        <v>1539</v>
      </c>
      <c r="D75" s="545">
        <f t="shared" ref="D75:I75" si="8">D61/1000</f>
        <v>0</v>
      </c>
      <c r="E75" s="545">
        <f t="shared" si="8"/>
        <v>9.0990000000000002</v>
      </c>
      <c r="F75" s="545">
        <f t="shared" si="8"/>
        <v>9.0990000000000002</v>
      </c>
      <c r="G75" s="545">
        <f t="shared" si="8"/>
        <v>9.0990000000000002</v>
      </c>
      <c r="H75" s="545">
        <f t="shared" si="8"/>
        <v>9.0990000000000002</v>
      </c>
      <c r="I75" s="545">
        <f t="shared" si="8"/>
        <v>36.396000000000001</v>
      </c>
    </row>
    <row r="78" spans="3:9" ht="12" thickBot="1" x14ac:dyDescent="0.25"/>
    <row r="79" spans="3:9" ht="12" thickTop="1" x14ac:dyDescent="0.2">
      <c r="C79" s="528" t="s">
        <v>1024</v>
      </c>
      <c r="D79" s="530">
        <v>2016</v>
      </c>
      <c r="E79" s="530">
        <f>D79+1</f>
        <v>2017</v>
      </c>
      <c r="F79" s="530">
        <f>E79+1</f>
        <v>2018</v>
      </c>
      <c r="G79" s="530">
        <f>F79+1</f>
        <v>2019</v>
      </c>
      <c r="H79" s="553">
        <f>G79+1</f>
        <v>2020</v>
      </c>
      <c r="I79" s="566" t="s">
        <v>8</v>
      </c>
    </row>
    <row r="80" spans="3:9" x14ac:dyDescent="0.2">
      <c r="C80" s="531" t="s">
        <v>52</v>
      </c>
      <c r="D80" s="325">
        <f>'PA-Synthèse'!L383/1000</f>
        <v>414.63</v>
      </c>
      <c r="E80" s="325">
        <f>'PA-Synthèse'!M383/1000</f>
        <v>1530.78</v>
      </c>
      <c r="F80" s="325">
        <f>'PA-Synthèse'!N383/1000</f>
        <v>1499.28</v>
      </c>
      <c r="G80" s="325">
        <f>'PA-Synthèse'!O383/1000</f>
        <v>1350</v>
      </c>
      <c r="H80" s="567">
        <f>'PA-Synthèse'!P383/1000</f>
        <v>150</v>
      </c>
      <c r="I80" s="568">
        <f>SUM(D80:H80)</f>
        <v>4944.6899999999996</v>
      </c>
    </row>
    <row r="81" spans="3:9" x14ac:dyDescent="0.2">
      <c r="C81" s="531" t="s">
        <v>55</v>
      </c>
      <c r="D81" s="325">
        <f>'PA-Synthèse'!L384/1000</f>
        <v>19.399999999999999</v>
      </c>
      <c r="E81" s="325">
        <f>'PA-Synthèse'!M384/1000</f>
        <v>249.66</v>
      </c>
      <c r="F81" s="325">
        <f>'PA-Synthèse'!N384/1000</f>
        <v>127</v>
      </c>
      <c r="G81" s="325">
        <f>'PA-Synthèse'!O384/1000</f>
        <v>127</v>
      </c>
      <c r="H81" s="567">
        <f>'PA-Synthèse'!P384/1000</f>
        <v>127</v>
      </c>
      <c r="I81" s="568">
        <f t="shared" ref="I81:I90" si="9">SUM(D81:H81)</f>
        <v>650.05999999999995</v>
      </c>
    </row>
    <row r="82" spans="3:9" x14ac:dyDescent="0.2">
      <c r="C82" s="531" t="s">
        <v>59</v>
      </c>
      <c r="D82" s="325">
        <f>'PA-Synthèse'!L385/1000</f>
        <v>16</v>
      </c>
      <c r="E82" s="325">
        <f>'PA-Synthèse'!M385/1000</f>
        <v>12.5</v>
      </c>
      <c r="F82" s="325">
        <f>'PA-Synthèse'!N385/1000</f>
        <v>21</v>
      </c>
      <c r="G82" s="325">
        <f>'PA-Synthèse'!O385/1000</f>
        <v>96</v>
      </c>
      <c r="H82" s="567">
        <f>'PA-Synthèse'!P385/1000</f>
        <v>96</v>
      </c>
      <c r="I82" s="568">
        <f t="shared" si="9"/>
        <v>241.5</v>
      </c>
    </row>
    <row r="83" spans="3:9" x14ac:dyDescent="0.2">
      <c r="C83" s="531" t="s">
        <v>722</v>
      </c>
      <c r="D83" s="325">
        <f>'PA-Synthèse'!L386/1000</f>
        <v>60.5</v>
      </c>
      <c r="E83" s="325">
        <f>'PA-Synthèse'!M386/1000</f>
        <v>258.5</v>
      </c>
      <c r="F83" s="325">
        <f>'PA-Synthèse'!N386/1000</f>
        <v>2692.3339999999998</v>
      </c>
      <c r="G83" s="325">
        <f>'PA-Synthèse'!O386/1000</f>
        <v>3193.4769999999999</v>
      </c>
      <c r="H83" s="567">
        <f>'PA-Synthèse'!P386/1000</f>
        <v>2902.3339999999998</v>
      </c>
      <c r="I83" s="568">
        <f t="shared" si="9"/>
        <v>9107.1450000000004</v>
      </c>
    </row>
    <row r="84" spans="3:9" x14ac:dyDescent="0.2">
      <c r="C84" s="531" t="s">
        <v>728</v>
      </c>
      <c r="D84" s="325">
        <f>'PA-Synthèse'!L387/1000</f>
        <v>0</v>
      </c>
      <c r="E84" s="325">
        <f>'PA-Synthèse'!M387/1000</f>
        <v>21</v>
      </c>
      <c r="F84" s="325">
        <f>'PA-Synthèse'!N387/1000</f>
        <v>0</v>
      </c>
      <c r="G84" s="325">
        <f>'PA-Synthèse'!O387/1000</f>
        <v>1431.941</v>
      </c>
      <c r="H84" s="567">
        <f>'PA-Synthèse'!P387/1000</f>
        <v>1431.941</v>
      </c>
      <c r="I84" s="568">
        <f t="shared" si="9"/>
        <v>2884.8820000000001</v>
      </c>
    </row>
    <row r="85" spans="3:9" x14ac:dyDescent="0.2">
      <c r="C85" s="531" t="s">
        <v>1540</v>
      </c>
      <c r="D85" s="325">
        <f>'PA-Synthèse'!L388/1000</f>
        <v>22</v>
      </c>
      <c r="E85" s="325">
        <f>'PA-Synthèse'!M388/1000</f>
        <v>277.2</v>
      </c>
      <c r="F85" s="325">
        <f>'PA-Synthèse'!N388/1000</f>
        <v>277.2</v>
      </c>
      <c r="G85" s="325">
        <f>'PA-Synthèse'!O388/1000</f>
        <v>0</v>
      </c>
      <c r="H85" s="567">
        <f>'PA-Synthèse'!P388/1000</f>
        <v>0</v>
      </c>
      <c r="I85" s="568">
        <f t="shared" si="9"/>
        <v>576.4</v>
      </c>
    </row>
    <row r="86" spans="3:9" x14ac:dyDescent="0.2">
      <c r="C86" s="531" t="s">
        <v>985</v>
      </c>
      <c r="D86" s="325">
        <f>'PA-Synthèse'!L389/1000</f>
        <v>9456.1780159834252</v>
      </c>
      <c r="E86" s="325">
        <f>'PA-Synthèse'!M389/1000</f>
        <v>9223.832872319972</v>
      </c>
      <c r="F86" s="325">
        <f>'PA-Synthèse'!N389/1000</f>
        <v>10434.144047269217</v>
      </c>
      <c r="G86" s="325">
        <f>'PA-Synthèse'!O389/1000</f>
        <v>10124.819302845683</v>
      </c>
      <c r="H86" s="567">
        <f>'PA-Synthèse'!P389/1000</f>
        <v>11177.679711646975</v>
      </c>
      <c r="I86" s="568">
        <f t="shared" si="9"/>
        <v>50416.653950065273</v>
      </c>
    </row>
    <row r="87" spans="3:9" x14ac:dyDescent="0.2">
      <c r="C87" s="531" t="s">
        <v>737</v>
      </c>
      <c r="D87" s="325">
        <f>'PA-Synthèse'!L390/1000</f>
        <v>14</v>
      </c>
      <c r="E87" s="325">
        <f>'PA-Synthèse'!M390/1000</f>
        <v>14</v>
      </c>
      <c r="F87" s="325">
        <f>'PA-Synthèse'!N390/1000</f>
        <v>14</v>
      </c>
      <c r="G87" s="325">
        <f>'PA-Synthèse'!O390/1000</f>
        <v>14</v>
      </c>
      <c r="H87" s="567">
        <f>'PA-Synthèse'!P390/1000</f>
        <v>14</v>
      </c>
      <c r="I87" s="568">
        <f t="shared" si="9"/>
        <v>70</v>
      </c>
    </row>
    <row r="88" spans="3:9" x14ac:dyDescent="0.2">
      <c r="C88" s="531" t="s">
        <v>740</v>
      </c>
      <c r="D88" s="325">
        <f>'PA-Synthèse'!L391/1000</f>
        <v>20</v>
      </c>
      <c r="E88" s="325">
        <f>'PA-Synthèse'!M391/1000</f>
        <v>245.74</v>
      </c>
      <c r="F88" s="325">
        <f>'PA-Synthèse'!N391/1000</f>
        <v>186.11</v>
      </c>
      <c r="G88" s="325">
        <f>'PA-Synthèse'!O391/1000</f>
        <v>58.48</v>
      </c>
      <c r="H88" s="567">
        <f>'PA-Synthèse'!P391/1000</f>
        <v>58.85</v>
      </c>
      <c r="I88" s="568">
        <f t="shared" si="9"/>
        <v>569.18000000000006</v>
      </c>
    </row>
    <row r="89" spans="3:9" x14ac:dyDescent="0.2">
      <c r="C89" s="531" t="s">
        <v>743</v>
      </c>
      <c r="D89" s="325">
        <f>'PA-Synthèse'!L392/1000</f>
        <v>45.5</v>
      </c>
      <c r="E89" s="325">
        <f>'PA-Synthèse'!M392/1000</f>
        <v>45.5</v>
      </c>
      <c r="F89" s="325">
        <f>'PA-Synthèse'!N392/1000</f>
        <v>31.2</v>
      </c>
      <c r="G89" s="325">
        <f>'PA-Synthèse'!O392/1000</f>
        <v>31.2</v>
      </c>
      <c r="H89" s="567">
        <f>'PA-Synthèse'!P392/1000</f>
        <v>31.2</v>
      </c>
      <c r="I89" s="568">
        <f t="shared" si="9"/>
        <v>184.6</v>
      </c>
    </row>
    <row r="90" spans="3:9" ht="12" thickBot="1" x14ac:dyDescent="0.25">
      <c r="C90" s="531" t="s">
        <v>747</v>
      </c>
      <c r="D90" s="325">
        <f>'PA-Synthèse'!L393/1000</f>
        <v>16.7</v>
      </c>
      <c r="E90" s="325">
        <f>'PA-Synthèse'!M393/1000</f>
        <v>72.8</v>
      </c>
      <c r="F90" s="325">
        <f>'PA-Synthèse'!N393/1000</f>
        <v>72.8</v>
      </c>
      <c r="G90" s="325">
        <f>'PA-Synthèse'!O393/1000</f>
        <v>72.8</v>
      </c>
      <c r="H90" s="567">
        <f>'PA-Synthèse'!P393/1000</f>
        <v>72.8</v>
      </c>
      <c r="I90" s="568">
        <f t="shared" si="9"/>
        <v>307.90000000000003</v>
      </c>
    </row>
    <row r="91" spans="3:9" ht="12.75" thickTop="1" thickBot="1" x14ac:dyDescent="0.25">
      <c r="C91" s="561" t="s">
        <v>1541</v>
      </c>
      <c r="D91" s="562">
        <f>SUM(D80:D90)</f>
        <v>10084.908015983427</v>
      </c>
      <c r="E91" s="562">
        <f t="shared" ref="E91:H91" si="10">SUM(E80:E90)</f>
        <v>11951.51287231997</v>
      </c>
      <c r="F91" s="562">
        <f t="shared" si="10"/>
        <v>15355.068047269218</v>
      </c>
      <c r="G91" s="562">
        <f t="shared" si="10"/>
        <v>16499.717302845682</v>
      </c>
      <c r="H91" s="563">
        <f t="shared" si="10"/>
        <v>16061.804711646975</v>
      </c>
      <c r="I91" s="569">
        <f t="shared" ref="I91" si="11">SUM(I80:I90)</f>
        <v>69953.010950065276</v>
      </c>
    </row>
    <row r="92" spans="3:9" ht="12" thickTop="1" x14ac:dyDescent="0.2"/>
    <row r="94" spans="3:9" x14ac:dyDescent="0.2">
      <c r="C94" s="1" t="s">
        <v>1509</v>
      </c>
      <c r="D94" s="148">
        <f>AVERAGE(D80:F80)</f>
        <v>1148.2299999999998</v>
      </c>
      <c r="E94" s="544">
        <f>D94/1000</f>
        <v>1.1482299999999999</v>
      </c>
    </row>
    <row r="95" spans="3:9" x14ac:dyDescent="0.2">
      <c r="C95" s="1" t="s">
        <v>1542</v>
      </c>
      <c r="D95" s="148">
        <f t="shared" ref="D95:D104" si="12">AVERAGE(D81:F81)</f>
        <v>132.02000000000001</v>
      </c>
      <c r="E95" s="544">
        <f t="shared" ref="E95:E104" si="13">D95/1000</f>
        <v>0.13202</v>
      </c>
    </row>
    <row r="96" spans="3:9" x14ac:dyDescent="0.2">
      <c r="C96" s="1" t="s">
        <v>1543</v>
      </c>
      <c r="D96" s="148">
        <f t="shared" si="12"/>
        <v>16.5</v>
      </c>
      <c r="E96" s="544">
        <f t="shared" si="13"/>
        <v>1.6500000000000001E-2</v>
      </c>
    </row>
    <row r="97" spans="3:9" x14ac:dyDescent="0.2">
      <c r="C97" s="1" t="s">
        <v>1544</v>
      </c>
      <c r="D97" s="148">
        <f t="shared" si="12"/>
        <v>1003.7779999999999</v>
      </c>
      <c r="E97" s="544">
        <f t="shared" si="13"/>
        <v>1.0037779999999998</v>
      </c>
    </row>
    <row r="98" spans="3:9" x14ac:dyDescent="0.2">
      <c r="C98" s="1" t="s">
        <v>1545</v>
      </c>
      <c r="D98" s="148">
        <f t="shared" si="12"/>
        <v>7</v>
      </c>
      <c r="E98" s="544">
        <f t="shared" si="13"/>
        <v>7.0000000000000001E-3</v>
      </c>
    </row>
    <row r="99" spans="3:9" x14ac:dyDescent="0.2">
      <c r="C99" s="1" t="s">
        <v>1546</v>
      </c>
      <c r="D99" s="148">
        <f t="shared" si="12"/>
        <v>192.13333333333333</v>
      </c>
      <c r="E99" s="544">
        <f t="shared" si="13"/>
        <v>0.19213333333333332</v>
      </c>
    </row>
    <row r="100" spans="3:9" x14ac:dyDescent="0.2">
      <c r="C100" s="1" t="s">
        <v>1547</v>
      </c>
      <c r="D100" s="148">
        <f t="shared" si="12"/>
        <v>9704.7183118575394</v>
      </c>
      <c r="E100" s="544">
        <f t="shared" si="13"/>
        <v>9.7047183118575386</v>
      </c>
    </row>
    <row r="101" spans="3:9" x14ac:dyDescent="0.2">
      <c r="C101" s="1" t="s">
        <v>1548</v>
      </c>
      <c r="D101" s="148">
        <f t="shared" si="12"/>
        <v>14</v>
      </c>
      <c r="E101" s="544">
        <f t="shared" si="13"/>
        <v>1.4E-2</v>
      </c>
    </row>
    <row r="102" spans="3:9" x14ac:dyDescent="0.2">
      <c r="C102" s="1" t="s">
        <v>1549</v>
      </c>
      <c r="D102" s="148">
        <f t="shared" si="12"/>
        <v>150.61666666666667</v>
      </c>
      <c r="E102" s="544">
        <f t="shared" si="13"/>
        <v>0.15061666666666668</v>
      </c>
    </row>
    <row r="103" spans="3:9" x14ac:dyDescent="0.2">
      <c r="C103" s="1" t="s">
        <v>1550</v>
      </c>
      <c r="D103" s="148">
        <f t="shared" si="12"/>
        <v>40.733333333333334</v>
      </c>
      <c r="E103" s="544">
        <f t="shared" si="13"/>
        <v>4.0733333333333337E-2</v>
      </c>
    </row>
    <row r="104" spans="3:9" x14ac:dyDescent="0.2">
      <c r="C104" s="1" t="s">
        <v>1551</v>
      </c>
      <c r="D104" s="148">
        <f t="shared" si="12"/>
        <v>54.1</v>
      </c>
      <c r="E104" s="544">
        <f t="shared" si="13"/>
        <v>5.4100000000000002E-2</v>
      </c>
    </row>
    <row r="107" spans="3:9" ht="12" thickBot="1" x14ac:dyDescent="0.25"/>
    <row r="108" spans="3:9" ht="12" thickTop="1" x14ac:dyDescent="0.2">
      <c r="C108" s="528" t="s">
        <v>1024</v>
      </c>
      <c r="D108" s="530">
        <v>2016</v>
      </c>
      <c r="E108" s="530">
        <f>D108+1</f>
        <v>2017</v>
      </c>
      <c r="F108" s="530">
        <f>E108+1</f>
        <v>2018</v>
      </c>
      <c r="G108" s="530">
        <f>F108+1</f>
        <v>2019</v>
      </c>
      <c r="H108" s="553">
        <f>G108+1</f>
        <v>2020</v>
      </c>
      <c r="I108" s="566" t="s">
        <v>8</v>
      </c>
    </row>
    <row r="109" spans="3:9" x14ac:dyDescent="0.2">
      <c r="C109" s="531" t="s">
        <v>71</v>
      </c>
      <c r="D109" s="325">
        <f>'PA-Synthèse'!L395/1000</f>
        <v>90.5</v>
      </c>
      <c r="E109" s="325">
        <f>'PA-Synthèse'!M395/1000</f>
        <v>81.5</v>
      </c>
      <c r="F109" s="325">
        <f>'PA-Synthèse'!N395/1000</f>
        <v>265.25</v>
      </c>
      <c r="G109" s="325">
        <f>'PA-Synthèse'!O395/1000</f>
        <v>0</v>
      </c>
      <c r="H109" s="325">
        <f>'PA-Synthèse'!P395/1000</f>
        <v>0</v>
      </c>
      <c r="I109" s="568">
        <f>SUM(D109:H109)</f>
        <v>437.25</v>
      </c>
    </row>
    <row r="110" spans="3:9" x14ac:dyDescent="0.2">
      <c r="C110" s="531" t="s">
        <v>756</v>
      </c>
      <c r="D110" s="325">
        <f>'PA-Synthèse'!L396/1000</f>
        <v>52000</v>
      </c>
      <c r="E110" s="325">
        <f>'PA-Synthèse'!M396/1000</f>
        <v>52000</v>
      </c>
      <c r="F110" s="325">
        <f>'PA-Synthèse'!N396/1000</f>
        <v>52000</v>
      </c>
      <c r="G110" s="325">
        <f>'PA-Synthèse'!O396/1000</f>
        <v>52000</v>
      </c>
      <c r="H110" s="325">
        <f>'PA-Synthèse'!P396/1000</f>
        <v>52000</v>
      </c>
      <c r="I110" s="568">
        <f t="shared" ref="I110:I115" si="14">SUM(D110:H110)</f>
        <v>260000</v>
      </c>
    </row>
    <row r="111" spans="3:9" x14ac:dyDescent="0.2">
      <c r="C111" s="531" t="s">
        <v>1552</v>
      </c>
      <c r="D111" s="325">
        <f>'PA-Synthèse'!L397/1000</f>
        <v>77818.532681398938</v>
      </c>
      <c r="E111" s="325">
        <f>'PA-Synthèse'!M397/1000</f>
        <v>86990.062078458664</v>
      </c>
      <c r="F111" s="325">
        <f>'PA-Synthèse'!N397/1000</f>
        <v>101168.6327146322</v>
      </c>
      <c r="G111" s="325">
        <f>'PA-Synthèse'!O397/1000</f>
        <v>140107.1409192103</v>
      </c>
      <c r="H111" s="325">
        <f>'PA-Synthèse'!P397/1000</f>
        <v>154997.90259026669</v>
      </c>
      <c r="I111" s="568">
        <f t="shared" si="14"/>
        <v>561082.27098396677</v>
      </c>
    </row>
    <row r="112" spans="3:9" x14ac:dyDescent="0.2">
      <c r="C112" s="531" t="s">
        <v>757</v>
      </c>
      <c r="D112" s="325">
        <f>'PA-Synthèse'!L398/1000</f>
        <v>5038.0079999999998</v>
      </c>
      <c r="E112" s="325">
        <f>'PA-Synthèse'!M398/1000</f>
        <v>5012.5079999999998</v>
      </c>
      <c r="F112" s="325">
        <f>'PA-Synthèse'!N398/1000</f>
        <v>5012.5079999999998</v>
      </c>
      <c r="G112" s="325">
        <f>'PA-Synthèse'!O398/1000</f>
        <v>4914.8999999999996</v>
      </c>
      <c r="H112" s="325">
        <f>'PA-Synthèse'!P398/1000</f>
        <v>4914.8999999999996</v>
      </c>
      <c r="I112" s="568">
        <f t="shared" si="14"/>
        <v>24892.824000000001</v>
      </c>
    </row>
    <row r="113" spans="3:9" x14ac:dyDescent="0.2">
      <c r="C113" s="531" t="s">
        <v>760</v>
      </c>
      <c r="D113" s="325">
        <f>'PA-Synthèse'!L399/1000</f>
        <v>1223.2249999999999</v>
      </c>
      <c r="E113" s="325">
        <f>'PA-Synthèse'!M399/1000</f>
        <v>5714.2250000000004</v>
      </c>
      <c r="F113" s="325">
        <f>'PA-Synthèse'!N399/1000</f>
        <v>5714.2250000000004</v>
      </c>
      <c r="G113" s="325">
        <f>'PA-Synthèse'!O399/1000</f>
        <v>5714.2250000000004</v>
      </c>
      <c r="H113" s="325">
        <f>'PA-Synthèse'!P399/1000</f>
        <v>5714.2250000000004</v>
      </c>
      <c r="I113" s="568">
        <f t="shared" si="14"/>
        <v>24080.125</v>
      </c>
    </row>
    <row r="114" spans="3:9" x14ac:dyDescent="0.2">
      <c r="C114" s="531" t="s">
        <v>762</v>
      </c>
      <c r="D114" s="325">
        <f>'PA-Synthèse'!L400/1000</f>
        <v>3296.5</v>
      </c>
      <c r="E114" s="325">
        <f>'PA-Synthèse'!M400/1000</f>
        <v>0</v>
      </c>
      <c r="F114" s="325">
        <f>'PA-Synthèse'!N400/1000</f>
        <v>3288</v>
      </c>
      <c r="G114" s="325">
        <f>'PA-Synthèse'!O400/1000</f>
        <v>0</v>
      </c>
      <c r="H114" s="325">
        <f>'PA-Synthèse'!P400/1000</f>
        <v>3288</v>
      </c>
      <c r="I114" s="568">
        <f t="shared" si="14"/>
        <v>9872.5</v>
      </c>
    </row>
    <row r="115" spans="3:9" ht="12" thickBot="1" x14ac:dyDescent="0.25">
      <c r="C115" s="531" t="s">
        <v>764</v>
      </c>
      <c r="D115" s="325">
        <f>'PA-Synthèse'!L401/1000</f>
        <v>0</v>
      </c>
      <c r="E115" s="325">
        <f>'PA-Synthèse'!M401/1000</f>
        <v>5103.5</v>
      </c>
      <c r="F115" s="325">
        <f>'PA-Synthèse'!N401/1000</f>
        <v>6037.5</v>
      </c>
      <c r="G115" s="325">
        <f>'PA-Synthèse'!O401/1000</f>
        <v>2100</v>
      </c>
      <c r="H115" s="325">
        <f>'PA-Synthèse'!P401/1000</f>
        <v>2100</v>
      </c>
      <c r="I115" s="568">
        <f t="shared" si="14"/>
        <v>15341</v>
      </c>
    </row>
    <row r="116" spans="3:9" ht="12.75" thickTop="1" thickBot="1" x14ac:dyDescent="0.25">
      <c r="C116" s="561" t="s">
        <v>1553</v>
      </c>
      <c r="D116" s="562">
        <f t="shared" ref="D116:I116" si="15">SUM(D109:D115)</f>
        <v>139466.76568139895</v>
      </c>
      <c r="E116" s="562">
        <f t="shared" si="15"/>
        <v>154901.79507845867</v>
      </c>
      <c r="F116" s="562">
        <f t="shared" si="15"/>
        <v>173486.11571463221</v>
      </c>
      <c r="G116" s="562">
        <f t="shared" si="15"/>
        <v>204836.2659192103</v>
      </c>
      <c r="H116" s="563">
        <f t="shared" si="15"/>
        <v>223015.02759026669</v>
      </c>
      <c r="I116" s="569">
        <f t="shared" si="15"/>
        <v>895705.96998396679</v>
      </c>
    </row>
    <row r="117" spans="3:9" ht="12" thickTop="1" x14ac:dyDescent="0.2"/>
    <row r="119" spans="3:9" x14ac:dyDescent="0.2">
      <c r="C119" s="1" t="s">
        <v>1554</v>
      </c>
      <c r="D119" s="148">
        <f>AVERAGE(D109:F109)</f>
        <v>145.75</v>
      </c>
      <c r="E119" s="1">
        <f>D119/1000</f>
        <v>0.14574999999999999</v>
      </c>
    </row>
    <row r="120" spans="3:9" x14ac:dyDescent="0.2">
      <c r="C120" s="1" t="s">
        <v>1555</v>
      </c>
      <c r="D120" s="148">
        <f t="shared" ref="D120:D125" si="16">AVERAGE(D110:F110)</f>
        <v>52000</v>
      </c>
      <c r="E120" s="1">
        <f t="shared" ref="E120:E125" si="17">D120/1000</f>
        <v>52</v>
      </c>
    </row>
    <row r="121" spans="3:9" x14ac:dyDescent="0.2">
      <c r="C121" s="1" t="s">
        <v>1556</v>
      </c>
      <c r="D121" s="148">
        <f t="shared" si="16"/>
        <v>88659.075824829939</v>
      </c>
      <c r="E121" s="1">
        <f t="shared" si="17"/>
        <v>88.659075824829941</v>
      </c>
    </row>
    <row r="122" spans="3:9" x14ac:dyDescent="0.2">
      <c r="C122" s="1" t="s">
        <v>1557</v>
      </c>
      <c r="D122" s="148">
        <f t="shared" si="16"/>
        <v>5021.0079999999998</v>
      </c>
      <c r="E122" s="1">
        <f t="shared" si="17"/>
        <v>5.0210080000000001</v>
      </c>
    </row>
    <row r="123" spans="3:9" x14ac:dyDescent="0.2">
      <c r="C123" s="1" t="s">
        <v>1558</v>
      </c>
      <c r="D123" s="148">
        <f t="shared" si="16"/>
        <v>4217.2250000000004</v>
      </c>
      <c r="E123" s="1">
        <f t="shared" si="17"/>
        <v>4.217225</v>
      </c>
    </row>
    <row r="124" spans="3:9" x14ac:dyDescent="0.2">
      <c r="C124" s="1" t="s">
        <v>1559</v>
      </c>
      <c r="D124" s="148">
        <f t="shared" si="16"/>
        <v>2194.8333333333335</v>
      </c>
      <c r="E124" s="1">
        <f t="shared" si="17"/>
        <v>2.1948333333333334</v>
      </c>
    </row>
    <row r="125" spans="3:9" x14ac:dyDescent="0.2">
      <c r="C125" s="1" t="s">
        <v>1560</v>
      </c>
      <c r="D125" s="148">
        <f t="shared" si="16"/>
        <v>3713.6666666666665</v>
      </c>
      <c r="E125" s="1">
        <f t="shared" si="17"/>
        <v>3.7136666666666667</v>
      </c>
    </row>
    <row r="129" spans="3:9" ht="12" thickBot="1" x14ac:dyDescent="0.25"/>
    <row r="130" spans="3:9" ht="12" thickTop="1" x14ac:dyDescent="0.2">
      <c r="C130" s="528" t="s">
        <v>1024</v>
      </c>
      <c r="D130" s="530">
        <v>2016</v>
      </c>
      <c r="E130" s="530">
        <f>D130+1</f>
        <v>2017</v>
      </c>
      <c r="F130" s="530">
        <f>E130+1</f>
        <v>2018</v>
      </c>
      <c r="G130" s="530">
        <f>F130+1</f>
        <v>2019</v>
      </c>
      <c r="H130" s="553">
        <f>G130+1</f>
        <v>2020</v>
      </c>
      <c r="I130" s="566" t="s">
        <v>8</v>
      </c>
    </row>
    <row r="131" spans="3:9" x14ac:dyDescent="0.2">
      <c r="C131" s="531" t="str">
        <f>'PA-Synthèse'!A403</f>
        <v>5.1 Réforme du secondaire : distinguer entre filières générales et filières professionnelles</v>
      </c>
      <c r="D131" s="325">
        <f>'PA-Synthèse'!L403/1000</f>
        <v>11.5</v>
      </c>
      <c r="E131" s="325">
        <f>'PA-Synthèse'!M403/1000</f>
        <v>20000</v>
      </c>
      <c r="F131" s="325">
        <f>'PA-Synthèse'!N403/1000</f>
        <v>20000</v>
      </c>
      <c r="G131" s="325">
        <f>'PA-Synthèse'!O403/1000</f>
        <v>20000</v>
      </c>
      <c r="H131" s="567">
        <f>'PA-Synthèse'!P403/1000</f>
        <v>20000</v>
      </c>
      <c r="I131" s="568">
        <f>SUM(D131:H131)</f>
        <v>80011.5</v>
      </c>
    </row>
    <row r="132" spans="3:9" x14ac:dyDescent="0.2">
      <c r="C132" s="531" t="str">
        <f>'PA-Synthèse'!A404</f>
        <v>5.2 Gestion de l'accès à l'enseignement secondaire : assurer la gestion et l'orientation des élèves à la fin de l'enseignement de base</v>
      </c>
      <c r="D132" s="325">
        <f>'PA-Synthèse'!L404/1000</f>
        <v>34</v>
      </c>
      <c r="E132" s="325">
        <f>'PA-Synthèse'!M404/1000</f>
        <v>5000</v>
      </c>
      <c r="F132" s="325">
        <f>'PA-Synthèse'!N404/1000</f>
        <v>5000</v>
      </c>
      <c r="G132" s="325">
        <f>'PA-Synthèse'!O404/1000</f>
        <v>5000</v>
      </c>
      <c r="H132" s="567">
        <f>'PA-Synthèse'!P404/1000</f>
        <v>5000</v>
      </c>
      <c r="I132" s="568">
        <f t="shared" ref="I132:I140" si="18">SUM(D132:H132)</f>
        <v>20034</v>
      </c>
    </row>
    <row r="133" spans="3:9" x14ac:dyDescent="0.2">
      <c r="C133" s="531" t="str">
        <f>'PA-Synthèse'!A405</f>
        <v>5.3 Moyens des écoles : Apporter des ressources complétées par les frais scolaires payés par les familles</v>
      </c>
      <c r="D133" s="325">
        <f>'PA-Synthèse'!L405/1000</f>
        <v>84790.660242336191</v>
      </c>
      <c r="E133" s="325">
        <f>'PA-Synthèse'!M405/1000</f>
        <v>89668.289113337596</v>
      </c>
      <c r="F133" s="325">
        <f>'PA-Synthèse'!N405/1000</f>
        <v>94595.243504468439</v>
      </c>
      <c r="G133" s="325">
        <f>'PA-Synthèse'!O405/1000</f>
        <v>106357.92758609107</v>
      </c>
      <c r="H133" s="567">
        <f>'PA-Synthèse'!P405/1000</f>
        <v>118961.45803409511</v>
      </c>
      <c r="I133" s="568">
        <f t="shared" si="18"/>
        <v>494373.57848032843</v>
      </c>
    </row>
    <row r="134" spans="3:9" x14ac:dyDescent="0.2">
      <c r="C134" s="531" t="str">
        <f>'PA-Synthèse'!A406</f>
        <v xml:space="preserve">5.4 Matériels et équipements pédagogiques : rendre accessibles et disponibles les manuels scolaires et le matériel didactique </v>
      </c>
      <c r="D134" s="325">
        <f>'PA-Synthèse'!L406/1000</f>
        <v>18592</v>
      </c>
      <c r="E134" s="325">
        <f>'PA-Synthèse'!M406/1000</f>
        <v>19354</v>
      </c>
      <c r="F134" s="325">
        <f>'PA-Synthèse'!N406/1000</f>
        <v>20180.875</v>
      </c>
      <c r="G134" s="325">
        <f>'PA-Synthèse'!O406/1000</f>
        <v>21049.094000000001</v>
      </c>
      <c r="H134" s="567">
        <f>'PA-Synthèse'!P406/1000</f>
        <v>21960.723000000002</v>
      </c>
      <c r="I134" s="568">
        <f t="shared" si="18"/>
        <v>101136.692</v>
      </c>
    </row>
    <row r="135" spans="3:9" x14ac:dyDescent="0.2">
      <c r="C135" s="531" t="str">
        <f>'PA-Synthèse'!A407</f>
        <v>5.5 Équipement des bibliothèques et laboratoires : acquérir des fonds documentaires et matériels nécessaires aux bibliothèques, laboratoires et salles spécialisées</v>
      </c>
      <c r="D135" s="325">
        <f>'PA-Synthèse'!L407/1000</f>
        <v>25518</v>
      </c>
      <c r="E135" s="325">
        <f>'PA-Synthèse'!M407/1000</f>
        <v>25428</v>
      </c>
      <c r="F135" s="325">
        <f>'PA-Synthèse'!N407/1000</f>
        <v>25428</v>
      </c>
      <c r="G135" s="325">
        <f>'PA-Synthèse'!O407/1000</f>
        <v>25428</v>
      </c>
      <c r="H135" s="567">
        <f>'PA-Synthèse'!P407/1000</f>
        <v>25428</v>
      </c>
      <c r="I135" s="568">
        <f t="shared" si="18"/>
        <v>127230</v>
      </c>
    </row>
    <row r="136" spans="3:9" x14ac:dyDescent="0.2">
      <c r="C136" s="531" t="str">
        <f>'PA-Synthèse'!A408</f>
        <v xml:space="preserve">5.6 Environnement éducatif : apporter les équipements mobiliers </v>
      </c>
      <c r="D136" s="325">
        <f>'PA-Synthèse'!L408/1000</f>
        <v>8163</v>
      </c>
      <c r="E136" s="325">
        <f>'PA-Synthèse'!M408/1000</f>
        <v>8163</v>
      </c>
      <c r="F136" s="325">
        <f>'PA-Synthèse'!N408/1000</f>
        <v>8163</v>
      </c>
      <c r="G136" s="325">
        <f>'PA-Synthèse'!O408/1000</f>
        <v>8163</v>
      </c>
      <c r="H136" s="567">
        <f>'PA-Synthèse'!P408/1000</f>
        <v>8163</v>
      </c>
      <c r="I136" s="568">
        <f t="shared" si="18"/>
        <v>40815</v>
      </c>
    </row>
    <row r="137" spans="3:9" x14ac:dyDescent="0.2">
      <c r="C137" s="531" t="str">
        <f>'PA-Synthèse'!A409</f>
        <v>5.7 Formation continue des enseignants : former les enseignants</v>
      </c>
      <c r="D137" s="325">
        <f>'PA-Synthèse'!L409/1000</f>
        <v>5031.5</v>
      </c>
      <c r="E137" s="325">
        <f>'PA-Synthèse'!M409/1000</f>
        <v>5009</v>
      </c>
      <c r="F137" s="325">
        <f>'PA-Synthèse'!N409/1000</f>
        <v>5002.5</v>
      </c>
      <c r="G137" s="325">
        <f>'PA-Synthèse'!O409/1000</f>
        <v>4980</v>
      </c>
      <c r="H137" s="567">
        <f>'PA-Synthèse'!P409/1000</f>
        <v>5002.5</v>
      </c>
      <c r="I137" s="568">
        <f t="shared" si="18"/>
        <v>25025.5</v>
      </c>
    </row>
    <row r="138" spans="3:9" x14ac:dyDescent="0.2">
      <c r="C138" s="531" t="str">
        <f>'PA-Synthèse'!A410</f>
        <v>5.8 Formation initiale des enseignants du secondaire : Professionnaliser les filières de formation</v>
      </c>
      <c r="D138" s="325">
        <f>'PA-Synthèse'!L410/1000</f>
        <v>1989</v>
      </c>
      <c r="E138" s="325">
        <f>'PA-Synthèse'!M410/1000</f>
        <v>2814.5</v>
      </c>
      <c r="F138" s="325">
        <f>'PA-Synthèse'!N410/1000</f>
        <v>2810</v>
      </c>
      <c r="G138" s="325">
        <f>'PA-Synthèse'!O410/1000</f>
        <v>2810</v>
      </c>
      <c r="H138" s="567">
        <f>'PA-Synthèse'!P410/1000</f>
        <v>2810</v>
      </c>
      <c r="I138" s="568">
        <f t="shared" si="18"/>
        <v>13233.5</v>
      </c>
    </row>
    <row r="139" spans="3:9" x14ac:dyDescent="0.2">
      <c r="C139" s="531" t="str">
        <f>'PA-Synthèse'!A411</f>
        <v>5.9 Supervision des structures et des enseignants : assurer l'encadrement pédagogique et administratif des écoles</v>
      </c>
      <c r="D139" s="325">
        <f>'PA-Synthèse'!L411/1000</f>
        <v>0</v>
      </c>
      <c r="E139" s="325">
        <f>'PA-Synthèse'!M411/1000</f>
        <v>4010</v>
      </c>
      <c r="F139" s="325">
        <f>'PA-Synthèse'!N411/1000</f>
        <v>5600</v>
      </c>
      <c r="G139" s="325">
        <f>'PA-Synthèse'!O411/1000</f>
        <v>2100</v>
      </c>
      <c r="H139" s="567">
        <f>'PA-Synthèse'!P411/1000</f>
        <v>2100</v>
      </c>
      <c r="I139" s="568">
        <f t="shared" si="18"/>
        <v>13810</v>
      </c>
    </row>
    <row r="140" spans="3:9" ht="12" thickBot="1" x14ac:dyDescent="0.25">
      <c r="C140" s="531" t="str">
        <f>'PA-Synthèse'!A412</f>
        <v>5.10 Technologies de l'information : apporter les équipements informatiques et de communication</v>
      </c>
      <c r="D140" s="325">
        <f>'PA-Synthèse'!L412/1000</f>
        <v>0</v>
      </c>
      <c r="E140" s="325">
        <f>'PA-Synthèse'!M412/1000</f>
        <v>0</v>
      </c>
      <c r="F140" s="325">
        <f>'PA-Synthèse'!N412/1000</f>
        <v>5383</v>
      </c>
      <c r="G140" s="325">
        <f>'PA-Synthèse'!O412/1000</f>
        <v>4727</v>
      </c>
      <c r="H140" s="567">
        <f>'PA-Synthèse'!P412/1000</f>
        <v>4727</v>
      </c>
      <c r="I140" s="568">
        <f t="shared" si="18"/>
        <v>14837</v>
      </c>
    </row>
    <row r="141" spans="3:9" ht="12.75" thickTop="1" thickBot="1" x14ac:dyDescent="0.25">
      <c r="C141" s="561" t="s">
        <v>1561</v>
      </c>
      <c r="D141" s="562">
        <f t="shared" ref="D141:I141" si="19">SUM(D131:D140)</f>
        <v>144129.66024233619</v>
      </c>
      <c r="E141" s="562">
        <f t="shared" si="19"/>
        <v>179446.78911333758</v>
      </c>
      <c r="F141" s="562">
        <f t="shared" si="19"/>
        <v>192162.61850446844</v>
      </c>
      <c r="G141" s="562">
        <f t="shared" si="19"/>
        <v>200615.02158609108</v>
      </c>
      <c r="H141" s="563">
        <f t="shared" si="19"/>
        <v>214152.68103409512</v>
      </c>
      <c r="I141" s="569">
        <f t="shared" si="19"/>
        <v>930506.77048032847</v>
      </c>
    </row>
    <row r="142" spans="3:9" ht="12" thickTop="1" x14ac:dyDescent="0.2"/>
    <row r="143" spans="3:9" x14ac:dyDescent="0.2">
      <c r="C143" s="1" t="s">
        <v>1562</v>
      </c>
      <c r="D143" s="148">
        <f>AVERAGE(D131:F131)</f>
        <v>13337.166666666666</v>
      </c>
      <c r="E143" s="1">
        <f>D143/1000</f>
        <v>13.337166666666667</v>
      </c>
    </row>
    <row r="144" spans="3:9" x14ac:dyDescent="0.2">
      <c r="C144" s="1" t="s">
        <v>1563</v>
      </c>
      <c r="D144" s="148">
        <f t="shared" ref="D144:D152" si="20">AVERAGE(D132:F132)</f>
        <v>3344.6666666666665</v>
      </c>
      <c r="E144" s="1">
        <f t="shared" ref="E144:E152" si="21">D144/1000</f>
        <v>3.3446666666666665</v>
      </c>
    </row>
    <row r="145" spans="3:9" x14ac:dyDescent="0.2">
      <c r="C145" s="1" t="s">
        <v>1564</v>
      </c>
      <c r="D145" s="148">
        <f t="shared" si="20"/>
        <v>89684.730953380742</v>
      </c>
      <c r="E145" s="1">
        <f t="shared" si="21"/>
        <v>89.684730953380736</v>
      </c>
    </row>
    <row r="146" spans="3:9" x14ac:dyDescent="0.2">
      <c r="C146" s="1" t="s">
        <v>1565</v>
      </c>
      <c r="D146" s="148">
        <f t="shared" si="20"/>
        <v>19375.625</v>
      </c>
      <c r="E146" s="1">
        <f t="shared" si="21"/>
        <v>19.375624999999999</v>
      </c>
    </row>
    <row r="147" spans="3:9" x14ac:dyDescent="0.2">
      <c r="C147" s="1" t="s">
        <v>1566</v>
      </c>
      <c r="D147" s="148">
        <f t="shared" si="20"/>
        <v>25458</v>
      </c>
      <c r="E147" s="1">
        <f t="shared" si="21"/>
        <v>25.457999999999998</v>
      </c>
    </row>
    <row r="148" spans="3:9" x14ac:dyDescent="0.2">
      <c r="C148" s="1" t="s">
        <v>1567</v>
      </c>
      <c r="D148" s="148">
        <f t="shared" si="20"/>
        <v>8163</v>
      </c>
      <c r="E148" s="1">
        <f t="shared" si="21"/>
        <v>8.1630000000000003</v>
      </c>
    </row>
    <row r="149" spans="3:9" x14ac:dyDescent="0.2">
      <c r="C149" s="1" t="s">
        <v>1605</v>
      </c>
      <c r="D149" s="148">
        <f t="shared" si="20"/>
        <v>5014.333333333333</v>
      </c>
      <c r="E149" s="1">
        <f t="shared" si="21"/>
        <v>5.0143333333333331</v>
      </c>
    </row>
    <row r="150" spans="3:9" x14ac:dyDescent="0.2">
      <c r="C150" s="1" t="s">
        <v>1606</v>
      </c>
      <c r="D150" s="148">
        <f t="shared" si="20"/>
        <v>2537.8333333333335</v>
      </c>
      <c r="E150" s="1">
        <f t="shared" si="21"/>
        <v>2.5378333333333334</v>
      </c>
    </row>
    <row r="151" spans="3:9" x14ac:dyDescent="0.2">
      <c r="C151" s="1" t="s">
        <v>1607</v>
      </c>
      <c r="D151" s="148">
        <f t="shared" si="20"/>
        <v>3203.3333333333335</v>
      </c>
      <c r="E151" s="1">
        <f t="shared" si="21"/>
        <v>3.2033333333333336</v>
      </c>
    </row>
    <row r="152" spans="3:9" x14ac:dyDescent="0.2">
      <c r="C152" s="1" t="s">
        <v>1608</v>
      </c>
      <c r="D152" s="148">
        <f t="shared" si="20"/>
        <v>1794.3333333333333</v>
      </c>
      <c r="E152" s="1">
        <f t="shared" si="21"/>
        <v>1.7943333333333333</v>
      </c>
    </row>
    <row r="154" spans="3:9" ht="12" thickBot="1" x14ac:dyDescent="0.25"/>
    <row r="155" spans="3:9" ht="12" thickTop="1" x14ac:dyDescent="0.2">
      <c r="C155" s="528" t="s">
        <v>1024</v>
      </c>
      <c r="D155" s="530">
        <v>2016</v>
      </c>
      <c r="E155" s="530">
        <f>D155+1</f>
        <v>2017</v>
      </c>
      <c r="F155" s="530">
        <f>E155+1</f>
        <v>2018</v>
      </c>
      <c r="G155" s="530">
        <f>F155+1</f>
        <v>2019</v>
      </c>
      <c r="H155" s="553">
        <f>G155+1</f>
        <v>2020</v>
      </c>
      <c r="I155" s="566" t="s">
        <v>8</v>
      </c>
    </row>
    <row r="156" spans="3:9" x14ac:dyDescent="0.2">
      <c r="C156" s="531" t="s">
        <v>92</v>
      </c>
      <c r="D156" s="325">
        <f>'PA-Synthèse'!L414/1000</f>
        <v>12470.5</v>
      </c>
      <c r="E156" s="325">
        <f>'PA-Synthèse'!M414/1000</f>
        <v>12458.5</v>
      </c>
      <c r="F156" s="325">
        <f>'PA-Synthèse'!N414/1000</f>
        <v>12419.5</v>
      </c>
      <c r="G156" s="325">
        <f>'PA-Synthèse'!O414/1000</f>
        <v>5458.5</v>
      </c>
      <c r="H156" s="567">
        <f>'PA-Synthèse'!P414/1000</f>
        <v>5419.5</v>
      </c>
      <c r="I156" s="568">
        <f>SUM(D156:H156)</f>
        <v>48226.5</v>
      </c>
    </row>
    <row r="157" spans="3:9" x14ac:dyDescent="0.2">
      <c r="C157" s="531" t="s">
        <v>97</v>
      </c>
      <c r="D157" s="325">
        <f>'PA-Synthèse'!L415/1000</f>
        <v>482.3</v>
      </c>
      <c r="E157" s="325">
        <f>'PA-Synthèse'!M415/1000</f>
        <v>432.8</v>
      </c>
      <c r="F157" s="325">
        <f>'PA-Synthèse'!N415/1000</f>
        <v>432.8</v>
      </c>
      <c r="G157" s="325">
        <f>'PA-Synthèse'!O415/1000</f>
        <v>360</v>
      </c>
      <c r="H157" s="567">
        <f>'PA-Synthèse'!P415/1000</f>
        <v>360</v>
      </c>
      <c r="I157" s="568">
        <f t="shared" ref="I157:I162" si="22">SUM(D157:H157)</f>
        <v>2067.9</v>
      </c>
    </row>
    <row r="158" spans="3:9" x14ac:dyDescent="0.2">
      <c r="C158" s="531" t="s">
        <v>100</v>
      </c>
      <c r="D158" s="325">
        <f>'PA-Synthèse'!L416/1000</f>
        <v>14449.6</v>
      </c>
      <c r="E158" s="325">
        <f>'PA-Synthèse'!M416/1000</f>
        <v>14412.1</v>
      </c>
      <c r="F158" s="325">
        <f>'PA-Synthèse'!N416/1000</f>
        <v>14412.1</v>
      </c>
      <c r="G158" s="325">
        <f>'PA-Synthèse'!O416/1000</f>
        <v>14412.1</v>
      </c>
      <c r="H158" s="567">
        <f>'PA-Synthèse'!P416/1000</f>
        <v>14412.1</v>
      </c>
      <c r="I158" s="568">
        <f t="shared" si="22"/>
        <v>72098</v>
      </c>
    </row>
    <row r="159" spans="3:9" x14ac:dyDescent="0.2">
      <c r="C159" s="531" t="s">
        <v>503</v>
      </c>
      <c r="D159" s="325">
        <f>'PA-Synthèse'!L417/1000</f>
        <v>451.15</v>
      </c>
      <c r="E159" s="325">
        <f>'PA-Synthèse'!M417/1000</f>
        <v>352</v>
      </c>
      <c r="F159" s="325">
        <f>'PA-Synthèse'!N417/1000</f>
        <v>352</v>
      </c>
      <c r="G159" s="325">
        <f>'PA-Synthèse'!O417/1000</f>
        <v>10</v>
      </c>
      <c r="H159" s="567">
        <f>'PA-Synthèse'!P417/1000</f>
        <v>10</v>
      </c>
      <c r="I159" s="568">
        <f t="shared" si="22"/>
        <v>1175.1500000000001</v>
      </c>
    </row>
    <row r="160" spans="3:9" x14ac:dyDescent="0.2">
      <c r="C160" s="531" t="s">
        <v>103</v>
      </c>
      <c r="D160" s="325">
        <f>'PA-Synthèse'!L418/1000</f>
        <v>9356</v>
      </c>
      <c r="E160" s="325">
        <f>'PA-Synthèse'!M418/1000</f>
        <v>9280</v>
      </c>
      <c r="F160" s="325">
        <f>'PA-Synthèse'!N418/1000</f>
        <v>9280</v>
      </c>
      <c r="G160" s="325">
        <f>'PA-Synthèse'!O418/1000</f>
        <v>9280</v>
      </c>
      <c r="H160" s="567">
        <f>'PA-Synthèse'!P418/1000</f>
        <v>9280</v>
      </c>
      <c r="I160" s="568">
        <f t="shared" si="22"/>
        <v>46476</v>
      </c>
    </row>
    <row r="161" spans="3:9" x14ac:dyDescent="0.2">
      <c r="C161" s="531" t="s">
        <v>977</v>
      </c>
      <c r="D161" s="325">
        <f>'PA-Synthèse'!L419/1000</f>
        <v>50406.22</v>
      </c>
      <c r="E161" s="325">
        <f>'PA-Synthèse'!M419/1000</f>
        <v>43562.06</v>
      </c>
      <c r="F161" s="325">
        <f>'PA-Synthèse'!N419/1000</f>
        <v>58523.77</v>
      </c>
      <c r="G161" s="325">
        <f>'PA-Synthèse'!O419/1000</f>
        <v>53559.03</v>
      </c>
      <c r="H161" s="567">
        <f>'PA-Synthèse'!P419/1000</f>
        <v>73100.899999999994</v>
      </c>
      <c r="I161" s="568">
        <f t="shared" si="22"/>
        <v>279151.98</v>
      </c>
    </row>
    <row r="162" spans="3:9" ht="12" thickBot="1" x14ac:dyDescent="0.25">
      <c r="C162" s="531" t="s">
        <v>876</v>
      </c>
      <c r="D162" s="325">
        <f>'PA-Synthèse'!L420/1000</f>
        <v>37.5</v>
      </c>
      <c r="E162" s="325">
        <f>'PA-Synthèse'!M420/1000</f>
        <v>0</v>
      </c>
      <c r="F162" s="325">
        <f>'PA-Synthèse'!N420/1000</f>
        <v>1250.8</v>
      </c>
      <c r="G162" s="325">
        <f>'PA-Synthèse'!O420/1000</f>
        <v>274.8</v>
      </c>
      <c r="H162" s="567">
        <f>'PA-Synthèse'!P420/1000</f>
        <v>274.8</v>
      </c>
      <c r="I162" s="568">
        <f t="shared" si="22"/>
        <v>1837.8999999999999</v>
      </c>
    </row>
    <row r="163" spans="3:9" ht="12.75" thickTop="1" thickBot="1" x14ac:dyDescent="0.25">
      <c r="C163" s="561" t="s">
        <v>1568</v>
      </c>
      <c r="D163" s="562">
        <f t="shared" ref="D163:I163" si="23">SUM(D156:D162)</f>
        <v>87653.27</v>
      </c>
      <c r="E163" s="562">
        <f t="shared" si="23"/>
        <v>80497.459999999992</v>
      </c>
      <c r="F163" s="562">
        <f t="shared" si="23"/>
        <v>96670.97</v>
      </c>
      <c r="G163" s="562">
        <f t="shared" si="23"/>
        <v>83354.430000000008</v>
      </c>
      <c r="H163" s="563">
        <f t="shared" si="23"/>
        <v>102857.3</v>
      </c>
      <c r="I163" s="569">
        <f t="shared" si="23"/>
        <v>451033.43</v>
      </c>
    </row>
    <row r="164" spans="3:9" ht="12" thickTop="1" x14ac:dyDescent="0.2"/>
    <row r="166" spans="3:9" x14ac:dyDescent="0.2">
      <c r="C166" s="1" t="s">
        <v>1569</v>
      </c>
      <c r="D166" s="1">
        <f>AVERAGE(D156:F156)/1000</f>
        <v>12.4495</v>
      </c>
    </row>
    <row r="167" spans="3:9" x14ac:dyDescent="0.2">
      <c r="C167" s="1" t="s">
        <v>1570</v>
      </c>
      <c r="D167" s="1">
        <f t="shared" ref="D167:D172" si="24">AVERAGE(D157:F157)/1000</f>
        <v>0.44930000000000003</v>
      </c>
    </row>
    <row r="168" spans="3:9" x14ac:dyDescent="0.2">
      <c r="C168" s="1" t="s">
        <v>1571</v>
      </c>
      <c r="D168" s="1">
        <f t="shared" si="24"/>
        <v>14.4246</v>
      </c>
    </row>
    <row r="169" spans="3:9" x14ac:dyDescent="0.2">
      <c r="C169" s="1" t="s">
        <v>1572</v>
      </c>
      <c r="D169" s="1">
        <f t="shared" si="24"/>
        <v>0.38505</v>
      </c>
    </row>
    <row r="170" spans="3:9" x14ac:dyDescent="0.2">
      <c r="C170" s="1" t="s">
        <v>1573</v>
      </c>
      <c r="D170" s="1">
        <f t="shared" si="24"/>
        <v>9.3053333333333335</v>
      </c>
    </row>
    <row r="171" spans="3:9" x14ac:dyDescent="0.2">
      <c r="C171" s="1" t="s">
        <v>1574</v>
      </c>
      <c r="D171" s="1">
        <f t="shared" si="24"/>
        <v>50.830683333333326</v>
      </c>
    </row>
    <row r="172" spans="3:9" x14ac:dyDescent="0.2">
      <c r="C172" s="1" t="s">
        <v>1575</v>
      </c>
      <c r="D172" s="1">
        <f t="shared" si="24"/>
        <v>0.42943333333333333</v>
      </c>
    </row>
    <row r="174" spans="3:9" ht="12" thickBot="1" x14ac:dyDescent="0.25"/>
    <row r="175" spans="3:9" ht="12" thickTop="1" x14ac:dyDescent="0.2">
      <c r="C175" s="528" t="s">
        <v>1024</v>
      </c>
      <c r="D175" s="530">
        <v>2016</v>
      </c>
      <c r="E175" s="530">
        <f>D175+1</f>
        <v>2017</v>
      </c>
      <c r="F175" s="530">
        <f>E175+1</f>
        <v>2018</v>
      </c>
      <c r="G175" s="530">
        <f>F175+1</f>
        <v>2019</v>
      </c>
      <c r="H175" s="553">
        <f>G175+1</f>
        <v>2020</v>
      </c>
      <c r="I175" s="566" t="s">
        <v>8</v>
      </c>
    </row>
    <row r="176" spans="3:9" x14ac:dyDescent="0.2">
      <c r="C176" s="531" t="str">
        <f>[2]PA!A2883</f>
        <v>7.1. Accès des Filles à l’ESU : Promotion d’accès des Filles à l’ESU</v>
      </c>
      <c r="D176" s="325">
        <f>'PA-Synthèse'!L422/1000</f>
        <v>600</v>
      </c>
      <c r="E176" s="325">
        <f>'PA-Synthèse'!M422/1000</f>
        <v>600</v>
      </c>
      <c r="F176" s="325">
        <f>'PA-Synthèse'!N422/1000</f>
        <v>600</v>
      </c>
      <c r="G176" s="325">
        <f>'PA-Synthèse'!O422/1000</f>
        <v>600</v>
      </c>
      <c r="H176" s="567">
        <f>'PA-Synthèse'!P422/1000</f>
        <v>600</v>
      </c>
      <c r="I176" s="568">
        <f>SUM(D176:H176)</f>
        <v>3000</v>
      </c>
    </row>
    <row r="177" spans="3:9" x14ac:dyDescent="0.2">
      <c r="C177" s="531" t="str">
        <f>[2]PA!A2884</f>
        <v>7.2. Dimension sociale de l’ESU : Renforcement de la dimension sociale de l’ESU</v>
      </c>
      <c r="D177" s="325">
        <f>'PA-Synthèse'!L423/1000</f>
        <v>0</v>
      </c>
      <c r="E177" s="325">
        <f>'PA-Synthèse'!M423/1000</f>
        <v>0</v>
      </c>
      <c r="F177" s="325">
        <f>'PA-Synthèse'!N423/1000</f>
        <v>13</v>
      </c>
      <c r="G177" s="325">
        <f>'PA-Synthèse'!O423/1000</f>
        <v>2400</v>
      </c>
      <c r="H177" s="567">
        <f>'PA-Synthèse'!P423/1000</f>
        <v>3600</v>
      </c>
      <c r="I177" s="568">
        <f t="shared" ref="I177:I188" si="25">SUM(D177:H177)</f>
        <v>6013</v>
      </c>
    </row>
    <row r="178" spans="3:9" x14ac:dyDescent="0.2">
      <c r="C178" s="531" t="str">
        <f>[2]PA!A2885</f>
        <v>7.3 Moyens des EES : Apporter des ressources complétées par les droits payés par les familles</v>
      </c>
      <c r="D178" s="325">
        <f>'PA-Synthèse'!L424/1000</f>
        <v>204434.29368609143</v>
      </c>
      <c r="E178" s="325">
        <f>'PA-Synthèse'!M424/1000</f>
        <v>225758.2146899963</v>
      </c>
      <c r="F178" s="325">
        <f>'PA-Synthèse'!N424/1000</f>
        <v>249534.51076659356</v>
      </c>
      <c r="G178" s="325">
        <f>'PA-Synthèse'!O424/1000</f>
        <v>267570.29454020696</v>
      </c>
      <c r="H178" s="567">
        <f>'PA-Synthèse'!P424/1000</f>
        <v>289825.24899435451</v>
      </c>
      <c r="I178" s="568">
        <f t="shared" si="25"/>
        <v>1237122.5626772428</v>
      </c>
    </row>
    <row r="179" spans="3:9" x14ac:dyDescent="0.2">
      <c r="C179" s="531" t="str">
        <f>[2]PA!A2886</f>
        <v>7.4 Promotion de l’Assurance-Qualité : Établir les standards de qualité et assurer la conformité des programme et des institutions à ces normes</v>
      </c>
      <c r="D179" s="325">
        <f>'PA-Synthèse'!L425/1000</f>
        <v>2513</v>
      </c>
      <c r="E179" s="325">
        <f>'PA-Synthèse'!M425/1000</f>
        <v>2340</v>
      </c>
      <c r="F179" s="325">
        <f>'PA-Synthèse'!N425/1000</f>
        <v>1800</v>
      </c>
      <c r="G179" s="325">
        <f>'PA-Synthèse'!O425/1000</f>
        <v>1800</v>
      </c>
      <c r="H179" s="567">
        <f>'PA-Synthèse'!P425/1000</f>
        <v>1800</v>
      </c>
      <c r="I179" s="568">
        <f t="shared" si="25"/>
        <v>10253</v>
      </c>
    </row>
    <row r="180" spans="3:9" x14ac:dyDescent="0.2">
      <c r="C180" s="531" t="str">
        <f>[2]PA!A2887</f>
        <v>7.5 Développement des filières techniques, technologiques et professionnelles dans les pôles et secteurs de croissance : Adapter le système de formation aux besoin de l'économie</v>
      </c>
      <c r="D180" s="325">
        <f>'PA-Synthèse'!L426/1000</f>
        <v>179</v>
      </c>
      <c r="E180" s="325">
        <f>'PA-Synthèse'!M426/1000</f>
        <v>6412</v>
      </c>
      <c r="F180" s="325">
        <f>'PA-Synthèse'!N426/1000</f>
        <v>8398</v>
      </c>
      <c r="G180" s="325">
        <f>'PA-Synthèse'!O426/1000</f>
        <v>3150</v>
      </c>
      <c r="H180" s="567">
        <f>'PA-Synthèse'!P426/1000</f>
        <v>0</v>
      </c>
      <c r="I180" s="568">
        <f t="shared" si="25"/>
        <v>18139</v>
      </c>
    </row>
    <row r="181" spans="3:9" x14ac:dyDescent="0.2">
      <c r="C181" s="531" t="str">
        <f>[2]PA!A2888</f>
        <v xml:space="preserve">7.6 Inscription du Système Congolais d’Enseignement Supérieur dans la mouvance mondiale : Promouvoir la participation des EES de la RDC aux partenariats régionaux et internationaux d'enseignement supérieur et de recherche </v>
      </c>
      <c r="D181" s="325">
        <f>'PA-Synthèse'!L427/1000</f>
        <v>157.5</v>
      </c>
      <c r="E181" s="325">
        <f>'PA-Synthèse'!M427/1000</f>
        <v>5037.25</v>
      </c>
      <c r="F181" s="325">
        <f>'PA-Synthèse'!N427/1000</f>
        <v>5037.25</v>
      </c>
      <c r="G181" s="325">
        <f>'PA-Synthèse'!O427/1000</f>
        <v>740</v>
      </c>
      <c r="H181" s="567">
        <f>'PA-Synthèse'!P427/1000</f>
        <v>740</v>
      </c>
      <c r="I181" s="568">
        <f t="shared" si="25"/>
        <v>11712</v>
      </c>
    </row>
    <row r="182" spans="3:9" x14ac:dyDescent="0.2">
      <c r="C182" s="531" t="str">
        <f>[2]PA!A2889</f>
        <v>7.7 Implantation des TIC : Promouvoir l'utilisation des TIC dans l'enseignement, l'apprentissage, la recherche et la gouvernance</v>
      </c>
      <c r="D182" s="325">
        <f>'PA-Synthèse'!L428/1000</f>
        <v>253</v>
      </c>
      <c r="E182" s="325">
        <f>'PA-Synthèse'!M428/1000</f>
        <v>41795</v>
      </c>
      <c r="F182" s="325">
        <f>'PA-Synthèse'!N428/1000</f>
        <v>40695</v>
      </c>
      <c r="G182" s="325">
        <f>'PA-Synthèse'!O428/1000</f>
        <v>40695</v>
      </c>
      <c r="H182" s="567">
        <f>'PA-Synthèse'!P428/1000</f>
        <v>40695</v>
      </c>
      <c r="I182" s="568">
        <f t="shared" si="25"/>
        <v>164133</v>
      </c>
    </row>
    <row r="183" spans="3:9" x14ac:dyDescent="0.2">
      <c r="C183" s="531" t="str">
        <f>[2]PA!A2890</f>
        <v>7.8 Désenclavement numérique des EES : Promouvoir l'utilisation des TIC dans l'enseignement, l'apprentissage, la recherche et la gouvernance de l'enseignement supérieur</v>
      </c>
      <c r="D183" s="325">
        <f>'PA-Synthèse'!L429/1000</f>
        <v>5169</v>
      </c>
      <c r="E183" s="325">
        <f>'PA-Synthèse'!M429/1000</f>
        <v>5844</v>
      </c>
      <c r="F183" s="325">
        <f>'PA-Synthèse'!N429/1000</f>
        <v>8066</v>
      </c>
      <c r="G183" s="325">
        <f>'PA-Synthèse'!O429/1000</f>
        <v>8000</v>
      </c>
      <c r="H183" s="567">
        <f>'PA-Synthèse'!P429/1000</f>
        <v>5500</v>
      </c>
      <c r="I183" s="568">
        <f t="shared" si="25"/>
        <v>32579</v>
      </c>
    </row>
    <row r="184" spans="3:9" x14ac:dyDescent="0.2">
      <c r="C184" s="531" t="str">
        <f>[2]PA!A2891</f>
        <v xml:space="preserve">7.9 Revitalisation de la Recherche : Promouvoir la recherche dans le cadre de la mise en œuvre de la réforme LMD </v>
      </c>
      <c r="D184" s="325">
        <f>'PA-Synthèse'!L430/1000</f>
        <v>578</v>
      </c>
      <c r="E184" s="325">
        <f>'PA-Synthèse'!M430/1000</f>
        <v>1681</v>
      </c>
      <c r="F184" s="325">
        <f>'PA-Synthèse'!N430/1000</f>
        <v>1834</v>
      </c>
      <c r="G184" s="325">
        <f>'PA-Synthèse'!O430/1000</f>
        <v>2642.5</v>
      </c>
      <c r="H184" s="567">
        <f>'PA-Synthèse'!P430/1000</f>
        <v>3502.5</v>
      </c>
      <c r="I184" s="568">
        <f t="shared" si="25"/>
        <v>10238</v>
      </c>
    </row>
    <row r="185" spans="3:9" x14ac:dyDescent="0.2">
      <c r="C185" s="531" t="str">
        <f>[2]PA!A2892</f>
        <v>7.10. Renouvellement des ressources professorales : Former les enseignants et les chercheurs qui remplaceront ceux qui partent à la retraite</v>
      </c>
      <c r="D185" s="325">
        <f>'PA-Synthèse'!L431/1000</f>
        <v>5577.5</v>
      </c>
      <c r="E185" s="325">
        <f>'PA-Synthèse'!M431/1000</f>
        <v>5610</v>
      </c>
      <c r="F185" s="325">
        <f>'PA-Synthèse'!N431/1000</f>
        <v>5660</v>
      </c>
      <c r="G185" s="325">
        <f>'PA-Synthèse'!O431/1000</f>
        <v>5710</v>
      </c>
      <c r="H185" s="567">
        <f>'PA-Synthèse'!P431/1000</f>
        <v>5760</v>
      </c>
      <c r="I185" s="568">
        <f t="shared" si="25"/>
        <v>28317.5</v>
      </c>
    </row>
    <row r="186" spans="3:9" x14ac:dyDescent="0.2">
      <c r="C186" s="531" t="str">
        <f>[2]PA!A2893</f>
        <v>7.11 Restructuration et réorganisation du Système</v>
      </c>
      <c r="D186" s="325">
        <f>'PA-Synthèse'!L432/1000</f>
        <v>733.7</v>
      </c>
      <c r="E186" s="325">
        <f>'PA-Synthèse'!M432/1000</f>
        <v>2254.85</v>
      </c>
      <c r="F186" s="325">
        <f>'PA-Synthèse'!N432/1000</f>
        <v>1684.35</v>
      </c>
      <c r="G186" s="325">
        <f>'PA-Synthèse'!O432/1000</f>
        <v>936</v>
      </c>
      <c r="H186" s="567">
        <f>'PA-Synthèse'!P432/1000</f>
        <v>936</v>
      </c>
      <c r="I186" s="568">
        <f t="shared" si="25"/>
        <v>6544.9</v>
      </c>
    </row>
    <row r="187" spans="3:9" x14ac:dyDescent="0.2">
      <c r="C187" s="531" t="str">
        <f>[2]PA!A2894</f>
        <v>7.12 Renforcement du Système d’information pour la Planification Stratégique et la Gestion axée sur les résultats : Promouvoir la planification stratégique et la gestion axée sur les résultats</v>
      </c>
      <c r="D187" s="325">
        <f>'PA-Synthèse'!L433/1000</f>
        <v>160.30000000000001</v>
      </c>
      <c r="E187" s="325">
        <f>'PA-Synthèse'!M433/1000</f>
        <v>4086.05</v>
      </c>
      <c r="F187" s="325">
        <f>'PA-Synthèse'!N433/1000</f>
        <v>2666.95</v>
      </c>
      <c r="G187" s="325">
        <f>'PA-Synthèse'!O433/1000</f>
        <v>865.5</v>
      </c>
      <c r="H187" s="567">
        <f>'PA-Synthèse'!P433/1000</f>
        <v>800</v>
      </c>
      <c r="I187" s="568">
        <f t="shared" si="25"/>
        <v>8578.7999999999993</v>
      </c>
    </row>
    <row r="188" spans="3:9" ht="12" thickBot="1" x14ac:dyDescent="0.25">
      <c r="C188" s="531" t="str">
        <f>[2]PA!A2895</f>
        <v>7.13. Renforcement des outils de bonne Gouvernance : Promouvoir la bonne gouvernance dans les EES</v>
      </c>
      <c r="D188" s="325">
        <f>'PA-Synthèse'!L434/1000</f>
        <v>98.75</v>
      </c>
      <c r="E188" s="325">
        <f>'PA-Synthèse'!M434/1000</f>
        <v>127</v>
      </c>
      <c r="F188" s="325">
        <f>'PA-Synthèse'!N434/1000</f>
        <v>14.5</v>
      </c>
      <c r="G188" s="325">
        <f>'PA-Synthèse'!O434/1000</f>
        <v>8.5</v>
      </c>
      <c r="H188" s="567">
        <f>'PA-Synthèse'!P434/1000</f>
        <v>8.5</v>
      </c>
      <c r="I188" s="568">
        <f t="shared" si="25"/>
        <v>257.25</v>
      </c>
    </row>
    <row r="189" spans="3:9" ht="12.75" thickTop="1" thickBot="1" x14ac:dyDescent="0.25">
      <c r="C189" s="561" t="s">
        <v>1576</v>
      </c>
      <c r="D189" s="562">
        <f>SUM(D176:D188)</f>
        <v>220454.04368609143</v>
      </c>
      <c r="E189" s="562">
        <f t="shared" ref="E189:I189" si="26">SUM(E176:E188)</f>
        <v>301545.36468999629</v>
      </c>
      <c r="F189" s="562">
        <f t="shared" si="26"/>
        <v>326003.56076659355</v>
      </c>
      <c r="G189" s="562">
        <f t="shared" si="26"/>
        <v>335117.79454020696</v>
      </c>
      <c r="H189" s="563">
        <f t="shared" si="26"/>
        <v>353767.24899435451</v>
      </c>
      <c r="I189" s="569">
        <f t="shared" si="26"/>
        <v>1536888.0126772427</v>
      </c>
    </row>
    <row r="190" spans="3:9" ht="12" thickTop="1" x14ac:dyDescent="0.2"/>
    <row r="192" spans="3:9" x14ac:dyDescent="0.2">
      <c r="C192" s="1" t="s">
        <v>1577</v>
      </c>
      <c r="D192" s="148">
        <f>AVERAGE(D176:F176)</f>
        <v>600</v>
      </c>
      <c r="E192" s="1">
        <f>D192/1000</f>
        <v>0.6</v>
      </c>
    </row>
    <row r="193" spans="3:9" x14ac:dyDescent="0.2">
      <c r="C193" s="1" t="s">
        <v>1578</v>
      </c>
      <c r="D193" s="148">
        <f t="shared" ref="D193:D204" si="27">AVERAGE(D177:F177)</f>
        <v>4.333333333333333</v>
      </c>
      <c r="E193" s="1">
        <f t="shared" ref="E193:E204" si="28">D193/1000</f>
        <v>4.3333333333333331E-3</v>
      </c>
    </row>
    <row r="194" spans="3:9" x14ac:dyDescent="0.2">
      <c r="C194" s="1" t="s">
        <v>1579</v>
      </c>
      <c r="D194" s="148">
        <f t="shared" si="27"/>
        <v>226575.67304756041</v>
      </c>
      <c r="E194" s="1">
        <f t="shared" si="28"/>
        <v>226.5756730475604</v>
      </c>
    </row>
    <row r="195" spans="3:9" x14ac:dyDescent="0.2">
      <c r="C195" s="1" t="s">
        <v>1580</v>
      </c>
      <c r="D195" s="148">
        <f t="shared" si="27"/>
        <v>2217.6666666666665</v>
      </c>
      <c r="E195" s="1">
        <f t="shared" si="28"/>
        <v>2.2176666666666667</v>
      </c>
    </row>
    <row r="196" spans="3:9" x14ac:dyDescent="0.2">
      <c r="C196" s="1" t="s">
        <v>1581</v>
      </c>
      <c r="D196" s="148">
        <f t="shared" si="27"/>
        <v>4996.333333333333</v>
      </c>
      <c r="E196" s="1">
        <f t="shared" si="28"/>
        <v>4.9963333333333333</v>
      </c>
    </row>
    <row r="197" spans="3:9" x14ac:dyDescent="0.2">
      <c r="C197" s="1" t="s">
        <v>1582</v>
      </c>
      <c r="D197" s="148">
        <f t="shared" si="27"/>
        <v>3410.6666666666665</v>
      </c>
      <c r="E197" s="1">
        <f t="shared" si="28"/>
        <v>3.4106666666666667</v>
      </c>
    </row>
    <row r="198" spans="3:9" x14ac:dyDescent="0.2">
      <c r="C198" s="1" t="s">
        <v>1583</v>
      </c>
      <c r="D198" s="148">
        <f t="shared" si="27"/>
        <v>27581</v>
      </c>
      <c r="E198" s="1">
        <f t="shared" si="28"/>
        <v>27.581</v>
      </c>
    </row>
    <row r="199" spans="3:9" x14ac:dyDescent="0.2">
      <c r="C199" s="1" t="s">
        <v>1584</v>
      </c>
      <c r="D199" s="148">
        <f t="shared" si="27"/>
        <v>6359.666666666667</v>
      </c>
      <c r="E199" s="1">
        <f t="shared" si="28"/>
        <v>6.3596666666666666</v>
      </c>
    </row>
    <row r="200" spans="3:9" x14ac:dyDescent="0.2">
      <c r="C200" s="1" t="s">
        <v>1585</v>
      </c>
      <c r="D200" s="148">
        <f t="shared" si="27"/>
        <v>1364.3333333333333</v>
      </c>
      <c r="E200" s="1">
        <f t="shared" si="28"/>
        <v>1.3643333333333332</v>
      </c>
    </row>
    <row r="201" spans="3:9" x14ac:dyDescent="0.2">
      <c r="C201" s="1" t="s">
        <v>1586</v>
      </c>
      <c r="D201" s="148">
        <f t="shared" si="27"/>
        <v>5615.833333333333</v>
      </c>
      <c r="E201" s="1">
        <f t="shared" si="28"/>
        <v>5.6158333333333328</v>
      </c>
    </row>
    <row r="202" spans="3:9" x14ac:dyDescent="0.2">
      <c r="C202" s="1" t="s">
        <v>614</v>
      </c>
      <c r="D202" s="148">
        <f t="shared" si="27"/>
        <v>1557.6333333333332</v>
      </c>
      <c r="E202" s="1">
        <f t="shared" si="28"/>
        <v>1.5576333333333332</v>
      </c>
    </row>
    <row r="203" spans="3:9" x14ac:dyDescent="0.2">
      <c r="C203" s="1" t="s">
        <v>1510</v>
      </c>
      <c r="D203" s="148">
        <f t="shared" si="27"/>
        <v>2304.4333333333334</v>
      </c>
      <c r="E203" s="1">
        <f t="shared" si="28"/>
        <v>2.3044333333333333</v>
      </c>
    </row>
    <row r="204" spans="3:9" x14ac:dyDescent="0.2">
      <c r="C204" s="1" t="s">
        <v>1587</v>
      </c>
      <c r="D204" s="148">
        <f t="shared" si="27"/>
        <v>80.083333333333329</v>
      </c>
      <c r="E204" s="1">
        <f t="shared" si="28"/>
        <v>8.0083333333333326E-2</v>
      </c>
    </row>
    <row r="206" spans="3:9" ht="12" thickBot="1" x14ac:dyDescent="0.25"/>
    <row r="207" spans="3:9" ht="12" thickTop="1" x14ac:dyDescent="0.2">
      <c r="C207" s="528" t="s">
        <v>1024</v>
      </c>
      <c r="D207" s="530">
        <v>2016</v>
      </c>
      <c r="E207" s="530">
        <f>D207+1</f>
        <v>2017</v>
      </c>
      <c r="F207" s="530">
        <f>E207+1</f>
        <v>2018</v>
      </c>
      <c r="G207" s="530">
        <f>F207+1</f>
        <v>2019</v>
      </c>
      <c r="H207" s="553">
        <f>G207+1</f>
        <v>2020</v>
      </c>
      <c r="I207" s="566" t="s">
        <v>8</v>
      </c>
    </row>
    <row r="208" spans="3:9" x14ac:dyDescent="0.2">
      <c r="C208" s="531" t="str">
        <f>'PA-Synthèse'!A436</f>
        <v>8.1 Moyens des services administratifs : Moyens des services administratifs</v>
      </c>
      <c r="D208" s="325">
        <f>'PA-Synthèse'!L436/1000</f>
        <v>19338.72</v>
      </c>
      <c r="E208" s="325">
        <f>'PA-Synthèse'!M436/1000</f>
        <v>21333.51</v>
      </c>
      <c r="F208" s="325">
        <f>'PA-Synthèse'!N436/1000</f>
        <v>22424.37</v>
      </c>
      <c r="G208" s="325">
        <f>'PA-Synthèse'!O436/1000</f>
        <v>23686.5</v>
      </c>
      <c r="H208" s="325">
        <f>'PA-Synthèse'!P436/1000</f>
        <v>24990.16</v>
      </c>
      <c r="I208" s="568">
        <f>SUM(D208:H208)</f>
        <v>111773.26</v>
      </c>
    </row>
    <row r="209" spans="3:9" x14ac:dyDescent="0.2">
      <c r="C209" s="531" t="str">
        <f>'PA-Synthèse'!A437</f>
        <v>8.2 Moyens des bureaux gestionnaires et des services déconcentrés du MEPSINC</v>
      </c>
      <c r="D209" s="325">
        <f>'PA-Synthèse'!L437/1000</f>
        <v>90078.1</v>
      </c>
      <c r="E209" s="325">
        <f>'PA-Synthèse'!M437/1000</f>
        <v>98332</v>
      </c>
      <c r="F209" s="325">
        <f>'PA-Synthèse'!N437/1000</f>
        <v>109746.6</v>
      </c>
      <c r="G209" s="325">
        <f>'PA-Synthèse'!O437/1000</f>
        <v>124774.3</v>
      </c>
      <c r="H209" s="325">
        <f>'PA-Synthèse'!P437/1000</f>
        <v>142543.79999999999</v>
      </c>
      <c r="I209" s="568">
        <f t="shared" ref="I209:I226" si="29">SUM(D209:H209)</f>
        <v>565474.80000000005</v>
      </c>
    </row>
    <row r="210" spans="3:9" x14ac:dyDescent="0.2">
      <c r="C210" s="531" t="str">
        <f>'PA-Synthèse'!A438</f>
        <v>8.3 Gestion des carrières : Mettre en place une gestion efficace des carrières</v>
      </c>
      <c r="D210" s="325">
        <f>'PA-Synthèse'!L438/1000</f>
        <v>33</v>
      </c>
      <c r="E210" s="325">
        <f>'PA-Synthèse'!M438/1000</f>
        <v>128</v>
      </c>
      <c r="F210" s="325">
        <f>'PA-Synthèse'!N438/1000</f>
        <v>0</v>
      </c>
      <c r="G210" s="325">
        <f>'PA-Synthèse'!O438/1000</f>
        <v>0</v>
      </c>
      <c r="H210" s="325">
        <f>'PA-Synthèse'!P438/1000</f>
        <v>0</v>
      </c>
      <c r="I210" s="568">
        <f t="shared" si="29"/>
        <v>161</v>
      </c>
    </row>
    <row r="211" spans="3:9" x14ac:dyDescent="0.2">
      <c r="C211" s="531" t="str">
        <f>'PA-Synthèse'!A439</f>
        <v>8.4 Gestion des ressources financières : Améliorer la gestion des ressources financières</v>
      </c>
      <c r="D211" s="325">
        <f>'PA-Synthèse'!L439/1000</f>
        <v>129.6</v>
      </c>
      <c r="E211" s="325">
        <f>'PA-Synthèse'!M439/1000</f>
        <v>111.6</v>
      </c>
      <c r="F211" s="325">
        <f>'PA-Synthèse'!N439/1000</f>
        <v>129</v>
      </c>
      <c r="G211" s="325">
        <f>'PA-Synthèse'!O439/1000</f>
        <v>111.6</v>
      </c>
      <c r="H211" s="325">
        <f>'PA-Synthèse'!P439/1000</f>
        <v>129</v>
      </c>
      <c r="I211" s="568">
        <f t="shared" si="29"/>
        <v>610.79999999999995</v>
      </c>
    </row>
    <row r="212" spans="3:9" x14ac:dyDescent="0.2">
      <c r="C212" s="531" t="str">
        <f>'PA-Synthèse'!A440</f>
        <v>8.5 Gestion des infrastructures scolaires : Améliorer les capacités de pilotage et de gestion des infrastructures scolaires</v>
      </c>
      <c r="D212" s="325">
        <f>'PA-Synthèse'!L440/1000</f>
        <v>28</v>
      </c>
      <c r="E212" s="325">
        <f>'PA-Synthèse'!M440/1000</f>
        <v>51.4</v>
      </c>
      <c r="F212" s="325">
        <f>'PA-Synthèse'!N440/1000</f>
        <v>63.7</v>
      </c>
      <c r="G212" s="325">
        <f>'PA-Synthèse'!O440/1000</f>
        <v>76</v>
      </c>
      <c r="H212" s="325">
        <f>'PA-Synthèse'!P440/1000</f>
        <v>88.3</v>
      </c>
      <c r="I212" s="568">
        <f t="shared" si="29"/>
        <v>307.40000000000003</v>
      </c>
    </row>
    <row r="213" spans="3:9" x14ac:dyDescent="0.2">
      <c r="C213" s="531" t="str">
        <f>'PA-Synthèse'!A441</f>
        <v>8.6 Redevabilité et gouvernance financière : Assurer la redevabilité des structures et Maitriser les flux ascendants</v>
      </c>
      <c r="D213" s="325">
        <f>'PA-Synthèse'!L441/1000</f>
        <v>343.25</v>
      </c>
      <c r="E213" s="325">
        <f>'PA-Synthèse'!M441/1000</f>
        <v>121.75</v>
      </c>
      <c r="F213" s="325">
        <f>'PA-Synthèse'!N441/1000</f>
        <v>116</v>
      </c>
      <c r="G213" s="325">
        <f>'PA-Synthèse'!O441/1000</f>
        <v>67.5</v>
      </c>
      <c r="H213" s="325">
        <f>'PA-Synthèse'!P441/1000</f>
        <v>67.5</v>
      </c>
      <c r="I213" s="568">
        <f t="shared" si="29"/>
        <v>716</v>
      </c>
    </row>
    <row r="214" spans="3:9" x14ac:dyDescent="0.2">
      <c r="C214" s="531" t="str">
        <f>'PA-Synthèse'!A442</f>
        <v>8.7 Gestion financière des établissements : Renforcer la participation des communautés et des OSC dans la gestion des établissements</v>
      </c>
      <c r="D214" s="325">
        <f>'PA-Synthèse'!L442/1000</f>
        <v>164</v>
      </c>
      <c r="E214" s="325">
        <f>'PA-Synthèse'!M442/1000</f>
        <v>164</v>
      </c>
      <c r="F214" s="325">
        <f>'PA-Synthèse'!N442/1000</f>
        <v>0</v>
      </c>
      <c r="G214" s="325">
        <f>'PA-Synthèse'!O442/1000</f>
        <v>0</v>
      </c>
      <c r="H214" s="325">
        <f>'PA-Synthèse'!P442/1000</f>
        <v>0</v>
      </c>
      <c r="I214" s="568">
        <f t="shared" si="29"/>
        <v>328</v>
      </c>
    </row>
    <row r="215" spans="3:9" x14ac:dyDescent="0.2">
      <c r="C215" s="531" t="str">
        <f>'PA-Synthèse'!A443</f>
        <v>8.8 Gestion des manuels scolaires : amélioration des capacité de production et de gestion des manuels</v>
      </c>
      <c r="D215" s="325">
        <f>'PA-Synthèse'!L443/1000</f>
        <v>105.2</v>
      </c>
      <c r="E215" s="325">
        <f>'PA-Synthèse'!M443/1000</f>
        <v>25</v>
      </c>
      <c r="F215" s="325">
        <f>'PA-Synthèse'!N443/1000</f>
        <v>0</v>
      </c>
      <c r="G215" s="325">
        <f>'PA-Synthèse'!O443/1000</f>
        <v>0</v>
      </c>
      <c r="H215" s="325">
        <f>'PA-Synthèse'!P443/1000</f>
        <v>0</v>
      </c>
      <c r="I215" s="568">
        <f t="shared" si="29"/>
        <v>130.19999999999999</v>
      </c>
    </row>
    <row r="216" spans="3:9" x14ac:dyDescent="0.2">
      <c r="C216" s="531" t="str">
        <f>'PA-Synthèse'!A444</f>
        <v xml:space="preserve">8.9 Gestion décentralisée : Améliorer le cadre institutionnel pour une meilleure gestion décentralisée du secteur de l’éducation </v>
      </c>
      <c r="D216" s="325">
        <f>'PA-Synthèse'!L444/1000</f>
        <v>63.5</v>
      </c>
      <c r="E216" s="325">
        <f>'PA-Synthèse'!M444/1000</f>
        <v>175.4</v>
      </c>
      <c r="F216" s="325">
        <f>'PA-Synthèse'!N444/1000</f>
        <v>54</v>
      </c>
      <c r="G216" s="325">
        <f>'PA-Synthèse'!O444/1000</f>
        <v>0</v>
      </c>
      <c r="H216" s="325">
        <f>'PA-Synthèse'!P444/1000</f>
        <v>0</v>
      </c>
      <c r="I216" s="568">
        <f t="shared" si="29"/>
        <v>292.89999999999998</v>
      </c>
    </row>
    <row r="217" spans="3:9" x14ac:dyDescent="0.2">
      <c r="C217" s="531" t="str">
        <f>'PA-Synthèse'!A445</f>
        <v>8.10 Curricula et Méthodes pédagogiques innovantes : Réformer les programmes, harmoniser les référentiels de compétences et promouvoir des méthodes pédagogiques innovantes</v>
      </c>
      <c r="D217" s="325">
        <f>'PA-Synthèse'!L445/1000</f>
        <v>144.85</v>
      </c>
      <c r="E217" s="325">
        <f>'PA-Synthèse'!M445/1000</f>
        <v>45</v>
      </c>
      <c r="F217" s="325">
        <f>'PA-Synthèse'!N445/1000</f>
        <v>45</v>
      </c>
      <c r="G217" s="325">
        <f>'PA-Synthèse'!O445/1000</f>
        <v>45</v>
      </c>
      <c r="H217" s="325">
        <f>'PA-Synthèse'!P445/1000</f>
        <v>10</v>
      </c>
      <c r="I217" s="568">
        <f t="shared" si="29"/>
        <v>289.85000000000002</v>
      </c>
    </row>
    <row r="218" spans="3:9" x14ac:dyDescent="0.2">
      <c r="C218" s="531" t="str">
        <f>'PA-Synthèse'!A446</f>
        <v>8.11 Assurance qualité et Pilotage de la qualité : développer une culture et des mécanismes de suivi et évaluation et de pilotage de la qualité des apprentissages</v>
      </c>
      <c r="D218" s="325">
        <f>'PA-Synthèse'!L446/1000</f>
        <v>464.3</v>
      </c>
      <c r="E218" s="325">
        <f>'PA-Synthèse'!M446/1000</f>
        <v>835.3</v>
      </c>
      <c r="F218" s="325">
        <f>'PA-Synthèse'!N446/1000</f>
        <v>558</v>
      </c>
      <c r="G218" s="325">
        <f>'PA-Synthèse'!O446/1000</f>
        <v>613</v>
      </c>
      <c r="H218" s="325">
        <f>'PA-Synthèse'!P446/1000</f>
        <v>558</v>
      </c>
      <c r="I218" s="568">
        <f t="shared" si="29"/>
        <v>3028.6</v>
      </c>
    </row>
    <row r="219" spans="3:9" x14ac:dyDescent="0.2">
      <c r="C219" s="531" t="str">
        <f>'PA-Synthèse'!A447</f>
        <v xml:space="preserve">8.12 Gestion des flux d'élèves : améliorer les instruments de gestion des flux et mise en place de l’éducation de base </v>
      </c>
      <c r="D219" s="325">
        <f>'PA-Synthèse'!L447/1000</f>
        <v>0</v>
      </c>
      <c r="E219" s="325">
        <f>'PA-Synthèse'!M447/1000</f>
        <v>138.9</v>
      </c>
      <c r="F219" s="325">
        <f>'PA-Synthèse'!N447/1000</f>
        <v>61.25</v>
      </c>
      <c r="G219" s="325">
        <f>'PA-Synthèse'!O447/1000</f>
        <v>0</v>
      </c>
      <c r="H219" s="325">
        <f>'PA-Synthèse'!P447/1000</f>
        <v>0</v>
      </c>
      <c r="I219" s="568">
        <f t="shared" si="29"/>
        <v>200.15</v>
      </c>
    </row>
    <row r="220" spans="3:9" x14ac:dyDescent="0.2">
      <c r="C220" s="531" t="str">
        <f>'PA-Synthèse'!A448</f>
        <v>8.13 Redoublements: mettre en place une politique de réduction des redoublements au primaire et d'une nouvelle réglementation des redoublements au secondaire et au supérieur</v>
      </c>
      <c r="D220" s="325">
        <f>'PA-Synthèse'!L448/1000</f>
        <v>116.8</v>
      </c>
      <c r="E220" s="325">
        <f>'PA-Synthèse'!M448/1000</f>
        <v>127.3</v>
      </c>
      <c r="F220" s="325">
        <f>'PA-Synthèse'!N448/1000</f>
        <v>236.1</v>
      </c>
      <c r="G220" s="325">
        <f>'PA-Synthèse'!O448/1000</f>
        <v>0</v>
      </c>
      <c r="H220" s="325">
        <f>'PA-Synthèse'!P448/1000</f>
        <v>0</v>
      </c>
      <c r="I220" s="568">
        <f t="shared" si="29"/>
        <v>480.2</v>
      </c>
    </row>
    <row r="221" spans="3:9" x14ac:dyDescent="0.2">
      <c r="C221" s="531" t="str">
        <f>'PA-Synthèse'!A449</f>
        <v>8.14 Scolarisation des filles : Encourager la scolarisation des filles</v>
      </c>
      <c r="D221" s="325">
        <f>'PA-Synthèse'!L449/1000</f>
        <v>629.6</v>
      </c>
      <c r="E221" s="325">
        <f>'PA-Synthèse'!M449/1000</f>
        <v>585.31299999999999</v>
      </c>
      <c r="F221" s="325">
        <f>'PA-Synthèse'!N449/1000</f>
        <v>586.31299999999999</v>
      </c>
      <c r="G221" s="325">
        <f>'PA-Synthèse'!O449/1000</f>
        <v>482.25</v>
      </c>
      <c r="H221" s="325">
        <f>'PA-Synthèse'!P449/1000</f>
        <v>512.25</v>
      </c>
      <c r="I221" s="568">
        <f t="shared" si="29"/>
        <v>2795.7260000000001</v>
      </c>
    </row>
    <row r="222" spans="3:9" x14ac:dyDescent="0.2">
      <c r="C222" s="531" t="str">
        <f>'PA-Synthèse'!A450</f>
        <v>8.15 Préparation de rentrée : mettre en place un dispositif assurant le respect du temps scolaire et d’enseignement</v>
      </c>
      <c r="D222" s="325">
        <f>'PA-Synthèse'!L450/1000</f>
        <v>0</v>
      </c>
      <c r="E222" s="325">
        <f>'PA-Synthèse'!M450/1000</f>
        <v>10.9</v>
      </c>
      <c r="F222" s="325">
        <f>'PA-Synthèse'!N450/1000</f>
        <v>13</v>
      </c>
      <c r="G222" s="325">
        <f>'PA-Synthèse'!O450/1000</f>
        <v>0</v>
      </c>
      <c r="H222" s="325">
        <f>'PA-Synthèse'!P450/1000</f>
        <v>0</v>
      </c>
      <c r="I222" s="568">
        <f t="shared" si="29"/>
        <v>23.9</v>
      </c>
    </row>
    <row r="223" spans="3:9" x14ac:dyDescent="0.2">
      <c r="C223" s="531" t="str">
        <f>'PA-Synthèse'!A451</f>
        <v xml:space="preserve">8.16 Système d'information central et provincial : Renforcer le système d’information et de gestion de l’éducation (SIGE) et développer les outils et les initiatives d’exploitation locale des données </v>
      </c>
      <c r="D223" s="325">
        <f>'PA-Synthèse'!L451/1000</f>
        <v>754.83</v>
      </c>
      <c r="E223" s="325">
        <f>'PA-Synthèse'!M451/1000</f>
        <v>731.23</v>
      </c>
      <c r="F223" s="325">
        <f>'PA-Synthèse'!N451/1000</f>
        <v>763.23</v>
      </c>
      <c r="G223" s="325">
        <f>'PA-Synthèse'!O451/1000</f>
        <v>819.23</v>
      </c>
      <c r="H223" s="325">
        <f>'PA-Synthèse'!P451/1000</f>
        <v>875.23</v>
      </c>
      <c r="I223" s="568">
        <f t="shared" si="29"/>
        <v>3943.75</v>
      </c>
    </row>
    <row r="224" spans="3:9" x14ac:dyDescent="0.2">
      <c r="C224" s="531" t="str">
        <f>'PA-Synthèse'!A452</f>
        <v>8.17 Politique nationale Éducation en situation d’urgence, post-conflits &amp; post catastrophes : identifier les stratégies pour prévenir et atténuer les risques de conflits et de catastrophes et Renforcer des capacités institutionnelles et améliorer la gestion des risques</v>
      </c>
      <c r="D224" s="325">
        <f>'PA-Synthèse'!L452/1000</f>
        <v>4238.3500000000004</v>
      </c>
      <c r="E224" s="325">
        <f>'PA-Synthèse'!M452/1000</f>
        <v>4209.95</v>
      </c>
      <c r="F224" s="325">
        <f>'PA-Synthèse'!N452/1000</f>
        <v>4210.3500000000004</v>
      </c>
      <c r="G224" s="325">
        <f>'PA-Synthèse'!O452/1000</f>
        <v>4159.3500000000004</v>
      </c>
      <c r="H224" s="325">
        <f>'PA-Synthèse'!P452/1000</f>
        <v>4159.3500000000004</v>
      </c>
      <c r="I224" s="568">
        <f t="shared" si="29"/>
        <v>20977.35</v>
      </c>
    </row>
    <row r="225" spans="3:9" x14ac:dyDescent="0.2">
      <c r="C225" s="531" t="str">
        <f>'PA-Synthèse'!A453</f>
        <v>8.18 Éducation à la nouvelle citoyenneté et à la paix et Prévention des violences</v>
      </c>
      <c r="D225" s="325">
        <f>'PA-Synthèse'!L453/1000</f>
        <v>157.5</v>
      </c>
      <c r="E225" s="325">
        <f>'PA-Synthèse'!M453/1000</f>
        <v>510.3</v>
      </c>
      <c r="F225" s="325">
        <f>'PA-Synthèse'!N453/1000</f>
        <v>377.3</v>
      </c>
      <c r="G225" s="325">
        <f>'PA-Synthèse'!O453/1000</f>
        <v>278.8</v>
      </c>
      <c r="H225" s="325">
        <f>'PA-Synthèse'!P453/1000</f>
        <v>207</v>
      </c>
      <c r="I225" s="568">
        <f t="shared" si="29"/>
        <v>1530.8999999999999</v>
      </c>
    </row>
    <row r="226" spans="3:9" ht="12" thickBot="1" x14ac:dyDescent="0.25">
      <c r="C226" s="531" t="str">
        <f>'PA-Synthèse'!A454</f>
        <v>8.19 Pilotage et coordination du Plan sectoriel : Renforcement des structures, dispositifs et mesures institutionnels de pilotage, de coordination et de mise en œuvre et de suivi du Plan sectoriel</v>
      </c>
      <c r="D226" s="325">
        <f>'PA-Synthèse'!L454/1000</f>
        <v>4286.6000000000004</v>
      </c>
      <c r="E226" s="325">
        <f>'PA-Synthèse'!M454/1000</f>
        <v>4281.1000000000004</v>
      </c>
      <c r="F226" s="325">
        <f>'PA-Synthèse'!N454/1000</f>
        <v>3833.1</v>
      </c>
      <c r="G226" s="325">
        <f>'PA-Synthèse'!O454/1000</f>
        <v>4085.1</v>
      </c>
      <c r="H226" s="325">
        <f>'PA-Synthèse'!P454/1000</f>
        <v>4337.1000000000004</v>
      </c>
      <c r="I226" s="568">
        <f t="shared" si="29"/>
        <v>20823</v>
      </c>
    </row>
    <row r="227" spans="3:9" ht="12.75" thickTop="1" thickBot="1" x14ac:dyDescent="0.25">
      <c r="C227" s="561" t="s">
        <v>1588</v>
      </c>
      <c r="D227" s="562">
        <f>SUM(D208:D226)</f>
        <v>121076.20000000004</v>
      </c>
      <c r="E227" s="562">
        <f t="shared" ref="E227:I227" si="30">SUM(E208:E226)</f>
        <v>131917.95299999998</v>
      </c>
      <c r="F227" s="562">
        <f t="shared" si="30"/>
        <v>143217.31300000002</v>
      </c>
      <c r="G227" s="562">
        <f t="shared" si="30"/>
        <v>159198.63</v>
      </c>
      <c r="H227" s="563">
        <f t="shared" si="30"/>
        <v>178477.69</v>
      </c>
      <c r="I227" s="569">
        <f t="shared" si="30"/>
        <v>733887.78600000008</v>
      </c>
    </row>
    <row r="228" spans="3:9" ht="12" thickTop="1" x14ac:dyDescent="0.2"/>
    <row r="229" spans="3:9" x14ac:dyDescent="0.2">
      <c r="C229" s="1" t="s">
        <v>1589</v>
      </c>
      <c r="D229" s="148">
        <f t="shared" ref="D229:D244" si="31">AVERAGE(D208:F208)</f>
        <v>21032.199999999997</v>
      </c>
    </row>
    <row r="230" spans="3:9" x14ac:dyDescent="0.2">
      <c r="C230" s="1" t="s">
        <v>960</v>
      </c>
      <c r="D230" s="148">
        <f t="shared" si="31"/>
        <v>99385.566666666666</v>
      </c>
    </row>
    <row r="231" spans="3:9" x14ac:dyDescent="0.2">
      <c r="C231" s="1" t="s">
        <v>1590</v>
      </c>
      <c r="D231" s="148">
        <f t="shared" si="31"/>
        <v>53.666666666666664</v>
      </c>
    </row>
    <row r="232" spans="3:9" x14ac:dyDescent="0.2">
      <c r="C232" s="1" t="s">
        <v>1624</v>
      </c>
      <c r="D232" s="148">
        <f t="shared" si="31"/>
        <v>123.39999999999999</v>
      </c>
    </row>
    <row r="233" spans="3:9" x14ac:dyDescent="0.2">
      <c r="C233" s="1" t="s">
        <v>1625</v>
      </c>
      <c r="D233" s="148">
        <f t="shared" si="31"/>
        <v>47.70000000000001</v>
      </c>
    </row>
    <row r="234" spans="3:9" x14ac:dyDescent="0.2">
      <c r="C234" s="1" t="s">
        <v>1626</v>
      </c>
      <c r="D234" s="148">
        <f t="shared" si="31"/>
        <v>193.66666666666666</v>
      </c>
    </row>
    <row r="235" spans="3:9" x14ac:dyDescent="0.2">
      <c r="C235" s="1" t="s">
        <v>1627</v>
      </c>
      <c r="D235" s="148">
        <f t="shared" si="31"/>
        <v>109.33333333333333</v>
      </c>
    </row>
    <row r="236" spans="3:9" x14ac:dyDescent="0.2">
      <c r="C236" s="1" t="s">
        <v>1628</v>
      </c>
      <c r="D236" s="148">
        <f t="shared" si="31"/>
        <v>43.4</v>
      </c>
    </row>
    <row r="237" spans="3:9" x14ac:dyDescent="0.2">
      <c r="C237" s="1" t="s">
        <v>1629</v>
      </c>
      <c r="D237" s="148">
        <f t="shared" si="31"/>
        <v>97.633333333333326</v>
      </c>
    </row>
    <row r="238" spans="3:9" x14ac:dyDescent="0.2">
      <c r="C238" s="1" t="s">
        <v>1630</v>
      </c>
      <c r="D238" s="148">
        <f t="shared" si="31"/>
        <v>78.283333333333331</v>
      </c>
    </row>
    <row r="239" spans="3:9" x14ac:dyDescent="0.2">
      <c r="C239" s="1" t="s">
        <v>1631</v>
      </c>
      <c r="D239" s="148">
        <f t="shared" si="31"/>
        <v>619.19999999999993</v>
      </c>
    </row>
    <row r="240" spans="3:9" x14ac:dyDescent="0.2">
      <c r="C240" s="1" t="s">
        <v>1632</v>
      </c>
      <c r="D240" s="148">
        <f t="shared" si="31"/>
        <v>66.716666666666669</v>
      </c>
    </row>
    <row r="241" spans="3:9" x14ac:dyDescent="0.2">
      <c r="C241" s="1" t="s">
        <v>1633</v>
      </c>
      <c r="D241" s="148">
        <f t="shared" si="31"/>
        <v>160.06666666666666</v>
      </c>
    </row>
    <row r="242" spans="3:9" x14ac:dyDescent="0.2">
      <c r="C242" s="1" t="s">
        <v>1634</v>
      </c>
      <c r="D242" s="148">
        <f t="shared" si="31"/>
        <v>600.4086666666667</v>
      </c>
    </row>
    <row r="243" spans="3:9" x14ac:dyDescent="0.2">
      <c r="C243" s="1" t="s">
        <v>1635</v>
      </c>
      <c r="D243" s="148">
        <f t="shared" si="31"/>
        <v>7.9666666666666659</v>
      </c>
    </row>
    <row r="244" spans="3:9" x14ac:dyDescent="0.2">
      <c r="C244" s="1" t="s">
        <v>1636</v>
      </c>
      <c r="D244" s="148">
        <f t="shared" si="31"/>
        <v>749.76333333333332</v>
      </c>
    </row>
    <row r="245" spans="3:9" x14ac:dyDescent="0.2">
      <c r="C245" s="1" t="s">
        <v>1514</v>
      </c>
      <c r="D245" s="148">
        <f t="shared" ref="D245:D246" si="32">AVERAGE(D224:F224)</f>
        <v>4219.55</v>
      </c>
    </row>
    <row r="246" spans="3:9" x14ac:dyDescent="0.2">
      <c r="C246" s="1" t="str">
        <f>C225</f>
        <v>8.18 Éducation à la nouvelle citoyenneté et à la paix et Prévention des violences</v>
      </c>
      <c r="D246" s="148">
        <f t="shared" si="32"/>
        <v>348.36666666666662</v>
      </c>
    </row>
    <row r="247" spans="3:9" x14ac:dyDescent="0.2">
      <c r="C247" s="1" t="str">
        <f>C226</f>
        <v>8.19 Pilotage et coordination du Plan sectoriel : Renforcement des structures, dispositifs et mesures institutionnels de pilotage, de coordination et de mise en œuvre et de suivi du Plan sectoriel</v>
      </c>
      <c r="D247" s="148">
        <f>AVERAGE(D226:F226)</f>
        <v>4133.6000000000004</v>
      </c>
    </row>
    <row r="248" spans="3:9" x14ac:dyDescent="0.2">
      <c r="D248" s="148"/>
    </row>
    <row r="249" spans="3:9" ht="12" thickBot="1" x14ac:dyDescent="0.25"/>
    <row r="250" spans="3:9" ht="12" thickTop="1" x14ac:dyDescent="0.2">
      <c r="C250" s="528" t="s">
        <v>1024</v>
      </c>
      <c r="D250" s="530">
        <v>2016</v>
      </c>
      <c r="E250" s="530">
        <f>D250+1</f>
        <v>2017</v>
      </c>
      <c r="F250" s="530">
        <f>E250+1</f>
        <v>2018</v>
      </c>
      <c r="G250" s="530">
        <f>F250+1</f>
        <v>2019</v>
      </c>
      <c r="H250" s="553">
        <f>G250+1</f>
        <v>2020</v>
      </c>
      <c r="I250" s="566" t="s">
        <v>8</v>
      </c>
    </row>
    <row r="251" spans="3:9" x14ac:dyDescent="0.2">
      <c r="C251" s="437" t="str">
        <f>'PA-Synthèse'!A462</f>
        <v>1. Enseignement préscolaire : Développer une préscolarisation de qualité, particulièrement en milieu rural</v>
      </c>
      <c r="D251" s="325">
        <f>'PA-Synthèse'!L462</f>
        <v>11113.45</v>
      </c>
      <c r="E251" s="325">
        <f>'PA-Synthèse'!M462</f>
        <v>15231.4</v>
      </c>
      <c r="F251" s="325">
        <f>'PA-Synthèse'!N462</f>
        <v>32451.5</v>
      </c>
      <c r="G251" s="325">
        <f>'PA-Synthèse'!O462</f>
        <v>37042</v>
      </c>
      <c r="H251" s="325">
        <f>'PA-Synthèse'!P462</f>
        <v>41716.199999999997</v>
      </c>
      <c r="I251" s="568">
        <f>SUM(D251:H251)</f>
        <v>137554.54999999999</v>
      </c>
    </row>
    <row r="252" spans="3:9" x14ac:dyDescent="0.2">
      <c r="C252" s="437" t="str">
        <f>'PA-Synthèse'!A463</f>
        <v>2. Enseignement primaire : Un enseignement primaire de qualité pour apporter à tous les savoirs et compétences de base</v>
      </c>
      <c r="D252" s="325">
        <f>'PA-Synthèse'!L463</f>
        <v>505574.76501758053</v>
      </c>
      <c r="E252" s="325">
        <f>'PA-Synthèse'!M463</f>
        <v>586019.40016991762</v>
      </c>
      <c r="F252" s="325">
        <f>'PA-Synthèse'!N463</f>
        <v>656510.27783057222</v>
      </c>
      <c r="G252" s="325">
        <f>'PA-Synthèse'!O463</f>
        <v>706287.51795687142</v>
      </c>
      <c r="H252" s="325">
        <f>'PA-Synthèse'!P463</f>
        <v>753196.42996220419</v>
      </c>
      <c r="I252" s="568">
        <f t="shared" ref="I252:I258" si="33">SUM(D252:H252)</f>
        <v>3207588.3909371463</v>
      </c>
    </row>
    <row r="253" spans="3:9" x14ac:dyDescent="0.2">
      <c r="C253" s="437" t="str">
        <f>'PA-Synthèse'!A464</f>
        <v>3. Éducation non formelle : Permettre aux personnes non scolarisées d'acquérir les savoirs de base</v>
      </c>
      <c r="D253" s="325">
        <f>'PA-Synthèse'!L464</f>
        <v>10084.908015983425</v>
      </c>
      <c r="E253" s="325">
        <f>'PA-Synthèse'!M464</f>
        <v>11951.512872319972</v>
      </c>
      <c r="F253" s="325">
        <f>'PA-Synthèse'!N464</f>
        <v>15355.068047269218</v>
      </c>
      <c r="G253" s="325">
        <f>'PA-Synthèse'!O464</f>
        <v>16499.717302845682</v>
      </c>
      <c r="H253" s="325">
        <f>'PA-Synthèse'!P464</f>
        <v>16061.804711646975</v>
      </c>
      <c r="I253" s="568">
        <f t="shared" si="33"/>
        <v>69953.010950065276</v>
      </c>
    </row>
    <row r="254" spans="3:9" x14ac:dyDescent="0.2">
      <c r="C254" s="437" t="str">
        <f>'PA-Synthèse'!A465</f>
        <v>4. Enseignement du premier cycle secondaire : développer l'accès au premier cycle et préparer l'éducation de base de 8 ans</v>
      </c>
      <c r="D254" s="325">
        <f>'PA-Synthèse'!L465</f>
        <v>139466.76568139892</v>
      </c>
      <c r="E254" s="325">
        <f>'PA-Synthèse'!M465</f>
        <v>154901.79507845867</v>
      </c>
      <c r="F254" s="325">
        <f>'PA-Synthèse'!N465</f>
        <v>173486.11571463221</v>
      </c>
      <c r="G254" s="325">
        <f>'PA-Synthèse'!O465</f>
        <v>204836.2659192103</v>
      </c>
      <c r="H254" s="325">
        <f>'PA-Synthèse'!P465</f>
        <v>223015.02759026669</v>
      </c>
      <c r="I254" s="568">
        <f t="shared" si="33"/>
        <v>895705.96998396679</v>
      </c>
    </row>
    <row r="255" spans="3:9" x14ac:dyDescent="0.2">
      <c r="C255" s="437" t="str">
        <f>'PA-Synthèse'!A466</f>
        <v>5. Enseignement du second cycle secondaire : maitriser et diversifier l'accès et préparer les élèves aux études supérieures</v>
      </c>
      <c r="D255" s="325">
        <f>'PA-Synthèse'!L466</f>
        <v>144129.66024233619</v>
      </c>
      <c r="E255" s="325">
        <f>'PA-Synthèse'!M466</f>
        <v>179446.78911333758</v>
      </c>
      <c r="F255" s="325">
        <f>'PA-Synthèse'!N466</f>
        <v>192162.61850446844</v>
      </c>
      <c r="G255" s="325">
        <f>'PA-Synthèse'!O466</f>
        <v>200615.02158609108</v>
      </c>
      <c r="H255" s="325">
        <f>'PA-Synthèse'!P466</f>
        <v>214152.68103409512</v>
      </c>
      <c r="I255" s="568">
        <f t="shared" si="33"/>
        <v>930506.77048032847</v>
      </c>
    </row>
    <row r="256" spans="3:9" x14ac:dyDescent="0.2">
      <c r="C256" s="437" t="str">
        <f>'PA-Synthèse'!A467</f>
        <v>6. Enseignement technique et formation professionnelle : apporter les qualifications nécessaires à l'économie nationale</v>
      </c>
      <c r="D256" s="325">
        <f>'PA-Synthèse'!L467</f>
        <v>87653.27</v>
      </c>
      <c r="E256" s="325">
        <f>'PA-Synthèse'!M467</f>
        <v>80497.460000000006</v>
      </c>
      <c r="F256" s="325">
        <f>'PA-Synthèse'!N467</f>
        <v>96670.97</v>
      </c>
      <c r="G256" s="325">
        <f>'PA-Synthèse'!O467</f>
        <v>83354.429999999993</v>
      </c>
      <c r="H256" s="325">
        <f>'PA-Synthèse'!P467</f>
        <v>102857.3</v>
      </c>
      <c r="I256" s="568">
        <f t="shared" si="33"/>
        <v>451033.43</v>
      </c>
    </row>
    <row r="257" spans="3:9" x14ac:dyDescent="0.2">
      <c r="C257" s="437" t="str">
        <f>'PA-Synthèse'!A468</f>
        <v>7. Enseignement supérieur : Former les cadres qualifiés et ouverts aux technologies qui porteront le développement économique</v>
      </c>
      <c r="D257" s="325">
        <f>'PA-Synthèse'!L468</f>
        <v>220454.04368609143</v>
      </c>
      <c r="E257" s="325">
        <f>'PA-Synthèse'!M468</f>
        <v>301545.36468999629</v>
      </c>
      <c r="F257" s="325">
        <f>'PA-Synthèse'!N468</f>
        <v>326003.56076659355</v>
      </c>
      <c r="G257" s="325">
        <f>'PA-Synthèse'!O468</f>
        <v>335117.79454020696</v>
      </c>
      <c r="H257" s="325">
        <f>'PA-Synthèse'!P468</f>
        <v>353767.24899435451</v>
      </c>
      <c r="I257" s="568">
        <f t="shared" si="33"/>
        <v>1536888.0126772425</v>
      </c>
    </row>
    <row r="258" spans="3:9" ht="12" thickBot="1" x14ac:dyDescent="0.25">
      <c r="C258" s="437" t="str">
        <f>'PA-Synthèse'!A469</f>
        <v>8. Gestion, pilotage et évaluation du système éducatif : Renforcer les capacités de gestion des ministères en charge de l'éducation et assurer le pilotage et le suivi-évaluation du système</v>
      </c>
      <c r="D258" s="325">
        <f>'PA-Synthèse'!L469</f>
        <v>121076.2</v>
      </c>
      <c r="E258" s="325">
        <f>'PA-Synthèse'!M469</f>
        <v>131917.95300000001</v>
      </c>
      <c r="F258" s="325">
        <f>'PA-Synthèse'!N469</f>
        <v>143217.31299999999</v>
      </c>
      <c r="G258" s="325">
        <f>'PA-Synthèse'!O469</f>
        <v>159198.63</v>
      </c>
      <c r="H258" s="325">
        <f>'PA-Synthèse'!P469</f>
        <v>178477.69</v>
      </c>
      <c r="I258" s="568">
        <f t="shared" si="33"/>
        <v>733887.78600000008</v>
      </c>
    </row>
    <row r="259" spans="3:9" ht="12.75" thickTop="1" thickBot="1" x14ac:dyDescent="0.25">
      <c r="C259" s="561" t="s">
        <v>963</v>
      </c>
      <c r="D259" s="562">
        <f t="shared" ref="D259:I259" si="34">SUM(D251:D258)</f>
        <v>1239553.0626433904</v>
      </c>
      <c r="E259" s="562">
        <f t="shared" si="34"/>
        <v>1461511.6749240302</v>
      </c>
      <c r="F259" s="562">
        <f t="shared" si="34"/>
        <v>1635857.4238635357</v>
      </c>
      <c r="G259" s="562">
        <f t="shared" si="34"/>
        <v>1742951.3773052255</v>
      </c>
      <c r="H259" s="563">
        <f t="shared" si="34"/>
        <v>1883244.3822925673</v>
      </c>
      <c r="I259" s="569">
        <f t="shared" si="34"/>
        <v>7963117.9210287482</v>
      </c>
    </row>
    <row r="260" spans="3:9" ht="12" thickTop="1" x14ac:dyDescent="0.2"/>
    <row r="262" spans="3:9" x14ac:dyDescent="0.2">
      <c r="D262" s="1" t="e">
        <f>#REF!/1000</f>
        <v>#REF!</v>
      </c>
      <c r="E262" s="1" t="e">
        <f>#REF!/1000</f>
        <v>#REF!</v>
      </c>
      <c r="F262" s="1" t="e">
        <f>#REF!/1000</f>
        <v>#REF!</v>
      </c>
      <c r="G262" s="1" t="e">
        <f>#REF!/1000</f>
        <v>#REF!</v>
      </c>
      <c r="H262" s="1" t="e">
        <f>#REF!/1000</f>
        <v>#REF!</v>
      </c>
    </row>
    <row r="263" spans="3:9" x14ac:dyDescent="0.2">
      <c r="D263" s="1" t="e">
        <f>#REF!/1000</f>
        <v>#REF!</v>
      </c>
      <c r="E263" s="1" t="e">
        <f>#REF!/1000</f>
        <v>#REF!</v>
      </c>
      <c r="F263" s="1" t="e">
        <f>#REF!/1000</f>
        <v>#REF!</v>
      </c>
      <c r="G263" s="1" t="e">
        <f>#REF!/1000</f>
        <v>#REF!</v>
      </c>
      <c r="H263" s="1" t="e">
        <f>#REF!/1000</f>
        <v>#REF!</v>
      </c>
    </row>
    <row r="264" spans="3:9" x14ac:dyDescent="0.2">
      <c r="D264" s="1" t="e">
        <f>#REF!/1000</f>
        <v>#REF!</v>
      </c>
      <c r="E264" s="1" t="e">
        <f>#REF!/1000</f>
        <v>#REF!</v>
      </c>
      <c r="F264" s="1" t="e">
        <f>#REF!/1000</f>
        <v>#REF!</v>
      </c>
      <c r="G264" s="1" t="e">
        <f>#REF!/1000</f>
        <v>#REF!</v>
      </c>
      <c r="H264" s="1" t="e">
        <f>#REF!/1000</f>
        <v>#REF!</v>
      </c>
    </row>
    <row r="265" spans="3:9" x14ac:dyDescent="0.2">
      <c r="D265" s="1" t="e">
        <f>#REF!/1000</f>
        <v>#REF!</v>
      </c>
      <c r="E265" s="1" t="e">
        <f>#REF!/1000</f>
        <v>#REF!</v>
      </c>
      <c r="F265" s="1" t="e">
        <f>#REF!/1000</f>
        <v>#REF!</v>
      </c>
      <c r="G265" s="1" t="e">
        <f>#REF!/1000</f>
        <v>#REF!</v>
      </c>
      <c r="H265" s="1" t="e">
        <f>#REF!/1000</f>
        <v>#REF!</v>
      </c>
    </row>
    <row r="266" spans="3:9" x14ac:dyDescent="0.2">
      <c r="D266" s="1" t="e">
        <f>#REF!/1000</f>
        <v>#REF!</v>
      </c>
      <c r="E266" s="1" t="e">
        <f>#REF!/1000</f>
        <v>#REF!</v>
      </c>
      <c r="F266" s="1" t="e">
        <f>#REF!/1000</f>
        <v>#REF!</v>
      </c>
      <c r="G266" s="1" t="e">
        <f>#REF!/1000</f>
        <v>#REF!</v>
      </c>
      <c r="H266" s="1" t="e">
        <f>#REF!/1000</f>
        <v>#REF!</v>
      </c>
    </row>
    <row r="267" spans="3:9" x14ac:dyDescent="0.2">
      <c r="D267" s="1" t="e">
        <f>#REF!/1000</f>
        <v>#REF!</v>
      </c>
      <c r="E267" s="1" t="e">
        <f>#REF!/1000</f>
        <v>#REF!</v>
      </c>
      <c r="F267" s="1" t="e">
        <f>#REF!/1000</f>
        <v>#REF!</v>
      </c>
      <c r="G267" s="1" t="e">
        <f>#REF!/1000</f>
        <v>#REF!</v>
      </c>
      <c r="H267" s="1" t="e">
        <f>#REF!/1000</f>
        <v>#REF!</v>
      </c>
    </row>
    <row r="268" spans="3:9" x14ac:dyDescent="0.2">
      <c r="D268" s="1" t="e">
        <f>#REF!/1000</f>
        <v>#REF!</v>
      </c>
      <c r="E268" s="1" t="e">
        <f>#REF!/1000</f>
        <v>#REF!</v>
      </c>
      <c r="F268" s="1" t="e">
        <f>#REF!/1000</f>
        <v>#REF!</v>
      </c>
      <c r="G268" s="1" t="e">
        <f>#REF!/1000</f>
        <v>#REF!</v>
      </c>
      <c r="H268" s="1" t="e">
        <f>#REF!/1000</f>
        <v>#REF!</v>
      </c>
    </row>
    <row r="269" spans="3:9" x14ac:dyDescent="0.2">
      <c r="D269" s="1" t="e">
        <f>#REF!/1000</f>
        <v>#REF!</v>
      </c>
      <c r="E269" s="1" t="e">
        <f>#REF!/1000</f>
        <v>#REF!</v>
      </c>
      <c r="F269" s="1" t="e">
        <f>#REF!/1000</f>
        <v>#REF!</v>
      </c>
      <c r="G269" s="1" t="e">
        <f>#REF!/1000</f>
        <v>#REF!</v>
      </c>
      <c r="H269" s="1" t="e">
        <f>#REF!/1000</f>
        <v>#REF!</v>
      </c>
    </row>
    <row r="270" spans="3:9" x14ac:dyDescent="0.2">
      <c r="D270" s="1" t="e">
        <f>#REF!/1000</f>
        <v>#REF!</v>
      </c>
      <c r="E270" s="1" t="e">
        <f>#REF!/1000</f>
        <v>#REF!</v>
      </c>
      <c r="F270" s="1" t="e">
        <f>#REF!/1000</f>
        <v>#REF!</v>
      </c>
      <c r="G270" s="1" t="e">
        <f>#REF!/1000</f>
        <v>#REF!</v>
      </c>
      <c r="H270" s="1" t="e">
        <f>#REF!/1000</f>
        <v>#REF!</v>
      </c>
    </row>
    <row r="271" spans="3:9" x14ac:dyDescent="0.2">
      <c r="D271" s="1" t="e">
        <f>#REF!/1000</f>
        <v>#REF!</v>
      </c>
      <c r="E271" s="1" t="e">
        <f>#REF!/1000</f>
        <v>#REF!</v>
      </c>
      <c r="F271" s="1" t="e">
        <f>#REF!/1000</f>
        <v>#REF!</v>
      </c>
      <c r="G271" s="1" t="e">
        <f>#REF!/1000</f>
        <v>#REF!</v>
      </c>
      <c r="H271" s="1" t="e">
        <f>#REF!/1000</f>
        <v>#REF!</v>
      </c>
    </row>
    <row r="275" spans="3:4" x14ac:dyDescent="0.2">
      <c r="C275" s="1" t="s">
        <v>1025</v>
      </c>
      <c r="D275" s="1" t="s">
        <v>1591</v>
      </c>
    </row>
    <row r="276" spans="3:4" x14ac:dyDescent="0.2">
      <c r="C276" s="1" t="s">
        <v>1026</v>
      </c>
      <c r="D276" s="1" t="s">
        <v>1592</v>
      </c>
    </row>
    <row r="277" spans="3:4" x14ac:dyDescent="0.2">
      <c r="C277" s="1" t="s">
        <v>1027</v>
      </c>
      <c r="D277" s="1" t="s">
        <v>1593</v>
      </c>
    </row>
    <row r="278" spans="3:4" x14ac:dyDescent="0.2">
      <c r="C278" s="1" t="s">
        <v>1028</v>
      </c>
      <c r="D278" s="1" t="s">
        <v>1594</v>
      </c>
    </row>
    <row r="279" spans="3:4" x14ac:dyDescent="0.2">
      <c r="C279" s="1" t="s">
        <v>1029</v>
      </c>
      <c r="D279" s="1" t="s">
        <v>1595</v>
      </c>
    </row>
    <row r="280" spans="3:4" x14ac:dyDescent="0.2">
      <c r="C280" s="1" t="s">
        <v>1030</v>
      </c>
      <c r="D280" s="1" t="s">
        <v>1596</v>
      </c>
    </row>
    <row r="281" spans="3:4" x14ac:dyDescent="0.2">
      <c r="C281" s="1" t="s">
        <v>1031</v>
      </c>
      <c r="D281" s="1" t="s">
        <v>1597</v>
      </c>
    </row>
    <row r="282" spans="3:4" x14ac:dyDescent="0.2">
      <c r="C282" s="1" t="s">
        <v>1032</v>
      </c>
      <c r="D282" s="1" t="s">
        <v>1598</v>
      </c>
    </row>
    <row r="283" spans="3:4" x14ac:dyDescent="0.2">
      <c r="C283" s="1" t="s">
        <v>1033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57"/>
  <sheetViews>
    <sheetView topLeftCell="A145" workbookViewId="0">
      <selection activeCell="G158" sqref="G158"/>
    </sheetView>
  </sheetViews>
  <sheetFormatPr defaultColWidth="11" defaultRowHeight="15.75" x14ac:dyDescent="0.25"/>
  <cols>
    <col min="2" max="2" width="15.25" customWidth="1"/>
  </cols>
  <sheetData>
    <row r="6" spans="2:14" x14ac:dyDescent="0.25">
      <c r="B6" t="s">
        <v>363</v>
      </c>
      <c r="E6">
        <f>ROUND(N21/10,-3)</f>
        <v>6000</v>
      </c>
    </row>
    <row r="9" spans="2:14" x14ac:dyDescent="0.25">
      <c r="D9">
        <v>2015</v>
      </c>
      <c r="E9">
        <f>D9+1</f>
        <v>2016</v>
      </c>
      <c r="F9">
        <f t="shared" ref="F9:N9" si="0">E9+1</f>
        <v>2017</v>
      </c>
      <c r="G9">
        <f t="shared" si="0"/>
        <v>2018</v>
      </c>
      <c r="H9">
        <f t="shared" si="0"/>
        <v>2019</v>
      </c>
      <c r="I9">
        <f t="shared" si="0"/>
        <v>2020</v>
      </c>
      <c r="J9">
        <f t="shared" si="0"/>
        <v>2021</v>
      </c>
      <c r="K9">
        <f t="shared" si="0"/>
        <v>2022</v>
      </c>
      <c r="L9">
        <f t="shared" si="0"/>
        <v>2023</v>
      </c>
      <c r="M9">
        <f t="shared" si="0"/>
        <v>2024</v>
      </c>
      <c r="N9">
        <f t="shared" si="0"/>
        <v>2025</v>
      </c>
    </row>
    <row r="10" spans="2:14" x14ac:dyDescent="0.25">
      <c r="D10" s="124">
        <v>10800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2:14" x14ac:dyDescent="0.25">
      <c r="D11" s="125">
        <f>45%*D10</f>
        <v>4860</v>
      </c>
      <c r="E11" s="126">
        <v>4970</v>
      </c>
      <c r="F11" s="126">
        <v>5080</v>
      </c>
      <c r="G11" s="126">
        <v>5190</v>
      </c>
      <c r="H11" s="126">
        <v>5300</v>
      </c>
      <c r="I11" s="126">
        <v>5410</v>
      </c>
      <c r="J11" s="126">
        <v>5520</v>
      </c>
      <c r="K11" s="126">
        <v>5630</v>
      </c>
      <c r="L11" s="126">
        <v>5740</v>
      </c>
      <c r="M11" s="126">
        <v>5850</v>
      </c>
      <c r="N11" s="125">
        <f>D11+1100</f>
        <v>5960</v>
      </c>
    </row>
    <row r="12" spans="2:14" x14ac:dyDescent="0.25">
      <c r="B12" t="s">
        <v>364</v>
      </c>
      <c r="D12" s="124"/>
      <c r="E12" s="124">
        <f>ROUND(I11/5,-1)</f>
        <v>1080</v>
      </c>
      <c r="F12" s="124">
        <f>E12</f>
        <v>1080</v>
      </c>
      <c r="G12" s="124">
        <f>F12</f>
        <v>1080</v>
      </c>
      <c r="H12" s="124">
        <f>G12</f>
        <v>1080</v>
      </c>
      <c r="I12" s="124">
        <f>H12</f>
        <v>1080</v>
      </c>
      <c r="J12" s="124"/>
      <c r="K12" s="124"/>
      <c r="L12" s="124"/>
      <c r="M12" s="124"/>
      <c r="N12" s="124"/>
    </row>
    <row r="13" spans="2:14" x14ac:dyDescent="0.25">
      <c r="B13" t="s">
        <v>365</v>
      </c>
      <c r="D13" s="124"/>
      <c r="E13" s="124">
        <f>5800</f>
        <v>5800</v>
      </c>
      <c r="F13" s="124">
        <f>E13+E12</f>
        <v>6880</v>
      </c>
      <c r="G13" s="124">
        <f>F13+F12</f>
        <v>7960</v>
      </c>
      <c r="H13" s="124">
        <f>G13+G12</f>
        <v>9040</v>
      </c>
      <c r="I13" s="124">
        <f>H13+H12</f>
        <v>10120</v>
      </c>
      <c r="J13" s="124"/>
      <c r="K13" s="124"/>
      <c r="L13" s="124"/>
      <c r="M13" s="124"/>
      <c r="N13" s="124"/>
    </row>
    <row r="14" spans="2:14" x14ac:dyDescent="0.25">
      <c r="B14" t="s">
        <v>366</v>
      </c>
      <c r="C14" s="127">
        <v>369992</v>
      </c>
      <c r="D14" s="124"/>
      <c r="E14" s="124">
        <f>[5]Primaire!I$396</f>
        <v>370125.36846789642</v>
      </c>
      <c r="F14" s="124">
        <f>[5]Primaire!J$396</f>
        <v>380953.72213687783</v>
      </c>
      <c r="G14" s="124">
        <f>[5]Primaire!K$396</f>
        <v>389031.69847973814</v>
      </c>
      <c r="H14" s="124">
        <f>[5]Primaire!L$396</f>
        <v>393932.51772366592</v>
      </c>
      <c r="I14" s="124">
        <f>[5]Primaire!M$396</f>
        <v>404812.82078459801</v>
      </c>
      <c r="J14" s="124">
        <f>[5]Primaire!N$396</f>
        <v>412722.98057781055</v>
      </c>
      <c r="K14" s="124">
        <f>[5]Primaire!O$396</f>
        <v>419344.79632887465</v>
      </c>
      <c r="L14" s="124">
        <f>[5]Primaire!P$396</f>
        <v>425344.64576830156</v>
      </c>
      <c r="M14" s="124">
        <f>[5]Primaire!Q$396</f>
        <v>430908.58346986584</v>
      </c>
      <c r="N14" s="124">
        <f>[5]Primaire!R$396</f>
        <v>436050.98588855658</v>
      </c>
    </row>
    <row r="15" spans="2:14" x14ac:dyDescent="0.25">
      <c r="B15" t="s">
        <v>367</v>
      </c>
      <c r="C15" s="124">
        <f>C18*C16</f>
        <v>126464</v>
      </c>
      <c r="D15" s="124"/>
      <c r="E15" s="124">
        <f>ROUND(C15*1.05,-2)</f>
        <v>132800</v>
      </c>
      <c r="F15" s="124">
        <f>E15*1.05</f>
        <v>139440</v>
      </c>
      <c r="G15" s="124">
        <f t="shared" ref="G15:N15" si="1">F15*1.05</f>
        <v>146412</v>
      </c>
      <c r="H15" s="124">
        <f t="shared" si="1"/>
        <v>153732.6</v>
      </c>
      <c r="I15" s="124">
        <f t="shared" si="1"/>
        <v>161419.23000000001</v>
      </c>
      <c r="J15" s="124">
        <f t="shared" si="1"/>
        <v>169490.19150000002</v>
      </c>
      <c r="K15" s="124">
        <f t="shared" si="1"/>
        <v>177964.70107500002</v>
      </c>
      <c r="L15" s="124">
        <f t="shared" si="1"/>
        <v>186862.93612875004</v>
      </c>
      <c r="M15" s="124">
        <f t="shared" si="1"/>
        <v>196206.08293518756</v>
      </c>
      <c r="N15" s="124">
        <f t="shared" si="1"/>
        <v>206016.38708194694</v>
      </c>
    </row>
    <row r="16" spans="2:14" x14ac:dyDescent="0.25">
      <c r="B16" t="s">
        <v>368</v>
      </c>
      <c r="C16" s="128">
        <v>0.5</v>
      </c>
      <c r="D16" s="124"/>
      <c r="E16" s="124">
        <f>E15+E13</f>
        <v>138600</v>
      </c>
      <c r="F16" s="124"/>
      <c r="G16" s="124"/>
      <c r="H16" s="124"/>
      <c r="I16" s="124"/>
      <c r="J16" s="124"/>
      <c r="K16" s="124"/>
      <c r="L16" s="124"/>
      <c r="M16" s="124"/>
      <c r="N16" s="124">
        <f>N11+N15</f>
        <v>211976.38708194694</v>
      </c>
    </row>
    <row r="17" spans="2:15" x14ac:dyDescent="0.25">
      <c r="B17" t="s">
        <v>369</v>
      </c>
      <c r="C17" s="124">
        <f>C18-C15</f>
        <v>126464</v>
      </c>
      <c r="D17" s="124"/>
      <c r="E17" s="124">
        <f>ROUND(C17*1.05,-2)</f>
        <v>132800</v>
      </c>
      <c r="F17" s="124">
        <f>E17*1.05</f>
        <v>139440</v>
      </c>
      <c r="G17" s="124">
        <f t="shared" ref="G17:N17" si="2">F17*1.05</f>
        <v>146412</v>
      </c>
      <c r="H17" s="124">
        <f t="shared" si="2"/>
        <v>153732.6</v>
      </c>
      <c r="I17" s="124">
        <f t="shared" si="2"/>
        <v>161419.23000000001</v>
      </c>
      <c r="J17" s="124">
        <f t="shared" si="2"/>
        <v>169490.19150000002</v>
      </c>
      <c r="K17" s="124">
        <f t="shared" si="2"/>
        <v>177964.70107500002</v>
      </c>
      <c r="L17" s="124">
        <f t="shared" si="2"/>
        <v>186862.93612875004</v>
      </c>
      <c r="M17" s="124">
        <f t="shared" si="2"/>
        <v>196206.08293518756</v>
      </c>
      <c r="N17" s="124">
        <f t="shared" si="2"/>
        <v>206016.38708194694</v>
      </c>
    </row>
    <row r="18" spans="2:15" ht="16.5" thickBot="1" x14ac:dyDescent="0.3">
      <c r="B18" t="s">
        <v>370</v>
      </c>
      <c r="C18" s="129">
        <v>252928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2:15" x14ac:dyDescent="0.25">
      <c r="C19" s="130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2:15" x14ac:dyDescent="0.25">
      <c r="B20" t="s">
        <v>371</v>
      </c>
      <c r="D20" s="124"/>
      <c r="E20" s="124">
        <v>0</v>
      </c>
      <c r="F20" s="124">
        <v>40000</v>
      </c>
      <c r="G20" s="124">
        <f>F20</f>
        <v>40000</v>
      </c>
      <c r="H20" s="124">
        <f t="shared" ref="H20:M20" si="3">G20</f>
        <v>40000</v>
      </c>
      <c r="I20" s="124">
        <f t="shared" si="3"/>
        <v>40000</v>
      </c>
      <c r="J20" s="124">
        <f t="shared" si="3"/>
        <v>40000</v>
      </c>
      <c r="K20" s="124">
        <f t="shared" si="3"/>
        <v>40000</v>
      </c>
      <c r="L20" s="124">
        <f t="shared" si="3"/>
        <v>40000</v>
      </c>
      <c r="M20" s="124">
        <f t="shared" si="3"/>
        <v>40000</v>
      </c>
      <c r="N20" s="124">
        <v>400000</v>
      </c>
    </row>
    <row r="21" spans="2:15" x14ac:dyDescent="0.25">
      <c r="B21" t="s">
        <v>975</v>
      </c>
      <c r="D21" s="124">
        <f>[5]Primaire!H$392</f>
        <v>43957</v>
      </c>
      <c r="E21" s="124">
        <f>[5]Primaire!I$392</f>
        <v>46781</v>
      </c>
      <c r="F21" s="124">
        <f>[5]Primaire!J$392</f>
        <v>49308</v>
      </c>
      <c r="G21" s="124">
        <f>[5]Primaire!K$392</f>
        <v>51531</v>
      </c>
      <c r="H21" s="124">
        <f>[5]Primaire!L$392</f>
        <v>53366</v>
      </c>
      <c r="I21" s="124">
        <f>[5]Primaire!M$392</f>
        <v>54715</v>
      </c>
      <c r="J21" s="124">
        <f>[5]Primaire!N$392</f>
        <v>55657</v>
      </c>
      <c r="K21" s="124">
        <f>[5]Primaire!O$392</f>
        <v>56421</v>
      </c>
      <c r="L21" s="124">
        <f>[5]Primaire!P$392</f>
        <v>57099</v>
      </c>
      <c r="M21" s="124">
        <f>[5]Primaire!Q$392</f>
        <v>57715</v>
      </c>
      <c r="N21" s="124">
        <f>[5]Primaire!R$392</f>
        <v>58271</v>
      </c>
    </row>
    <row r="22" spans="2:15" x14ac:dyDescent="0.25">
      <c r="B22" t="s">
        <v>295</v>
      </c>
      <c r="D22" s="124"/>
      <c r="E22" s="124">
        <f>ROUND(I21/5,-1)</f>
        <v>10940</v>
      </c>
      <c r="F22" s="124">
        <f>E22</f>
        <v>10940</v>
      </c>
      <c r="G22" s="124">
        <f>F22</f>
        <v>10940</v>
      </c>
      <c r="H22" s="124">
        <f>G22</f>
        <v>10940</v>
      </c>
      <c r="I22" s="124">
        <f>H22</f>
        <v>10940</v>
      </c>
      <c r="J22" s="124"/>
      <c r="K22" s="124"/>
      <c r="L22" s="124"/>
      <c r="M22" s="124"/>
    </row>
    <row r="23" spans="2:15" x14ac:dyDescent="0.25">
      <c r="B23" t="s">
        <v>671</v>
      </c>
      <c r="D23" s="124"/>
      <c r="E23" s="124">
        <f>$N23/10</f>
        <v>1165.42</v>
      </c>
      <c r="F23" s="124">
        <f t="shared" ref="F23:M23" si="4">$N23/10</f>
        <v>1165.42</v>
      </c>
      <c r="G23" s="124">
        <f t="shared" si="4"/>
        <v>1165.42</v>
      </c>
      <c r="H23" s="124">
        <f t="shared" si="4"/>
        <v>1165.42</v>
      </c>
      <c r="I23" s="124">
        <f t="shared" si="4"/>
        <v>1165.42</v>
      </c>
      <c r="J23" s="124">
        <f t="shared" si="4"/>
        <v>1165.42</v>
      </c>
      <c r="K23" s="124">
        <f t="shared" si="4"/>
        <v>1165.42</v>
      </c>
      <c r="L23" s="124">
        <f t="shared" si="4"/>
        <v>1165.42</v>
      </c>
      <c r="M23" s="124">
        <f t="shared" si="4"/>
        <v>1165.42</v>
      </c>
      <c r="N23" s="124">
        <f>N21*(20/100)</f>
        <v>11654.2</v>
      </c>
    </row>
    <row r="24" spans="2:15" x14ac:dyDescent="0.25">
      <c r="B24" t="s">
        <v>678</v>
      </c>
      <c r="D24" s="124"/>
      <c r="E24" s="124"/>
      <c r="F24" s="124"/>
      <c r="G24" s="124">
        <f>$N24/6</f>
        <v>500</v>
      </c>
      <c r="H24" s="124">
        <f t="shared" ref="H24:M24" si="5">$N24/6</f>
        <v>500</v>
      </c>
      <c r="I24" s="124">
        <f t="shared" si="5"/>
        <v>500</v>
      </c>
      <c r="J24" s="124">
        <f t="shared" si="5"/>
        <v>500</v>
      </c>
      <c r="K24" s="124">
        <f t="shared" si="5"/>
        <v>500</v>
      </c>
      <c r="L24" s="124">
        <f t="shared" si="5"/>
        <v>500</v>
      </c>
      <c r="M24" s="124">
        <f t="shared" si="5"/>
        <v>500</v>
      </c>
      <c r="N24" s="124">
        <v>3000</v>
      </c>
    </row>
    <row r="25" spans="2:15" x14ac:dyDescent="0.25">
      <c r="B25" t="s">
        <v>701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>
        <f>M25*1.05</f>
        <v>0</v>
      </c>
    </row>
    <row r="26" spans="2:15" x14ac:dyDescent="0.25">
      <c r="B26" t="s">
        <v>822</v>
      </c>
      <c r="D26" s="124"/>
      <c r="E26" s="124">
        <f>$O26/10</f>
        <v>2280.4666666666667</v>
      </c>
      <c r="F26" s="124">
        <f t="shared" ref="F26:N26" si="6">$O26/10</f>
        <v>2280.4666666666667</v>
      </c>
      <c r="G26" s="124">
        <f t="shared" si="6"/>
        <v>2280.4666666666667</v>
      </c>
      <c r="H26" s="124">
        <f t="shared" si="6"/>
        <v>2280.4666666666667</v>
      </c>
      <c r="I26" s="124">
        <f t="shared" si="6"/>
        <v>2280.4666666666667</v>
      </c>
      <c r="J26" s="124">
        <f t="shared" si="6"/>
        <v>2280.4666666666667</v>
      </c>
      <c r="K26" s="124">
        <f t="shared" si="6"/>
        <v>2280.4666666666667</v>
      </c>
      <c r="L26" s="124">
        <f t="shared" si="6"/>
        <v>2280.4666666666667</v>
      </c>
      <c r="M26" s="124">
        <f t="shared" si="6"/>
        <v>2280.4666666666667</v>
      </c>
      <c r="N26" s="124">
        <f t="shared" si="6"/>
        <v>2280.4666666666667</v>
      </c>
      <c r="O26" s="124">
        <f>68414/3</f>
        <v>22804.666666666668</v>
      </c>
    </row>
    <row r="27" spans="2:15" x14ac:dyDescent="0.25"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2:15" ht="16.5" thickBot="1" x14ac:dyDescent="0.3">
      <c r="D28" s="124"/>
      <c r="E28" s="131" t="s">
        <v>373</v>
      </c>
      <c r="F28" s="131" t="s">
        <v>374</v>
      </c>
      <c r="G28" s="131" t="s">
        <v>375</v>
      </c>
      <c r="H28" s="131" t="s">
        <v>376</v>
      </c>
      <c r="I28" s="124"/>
      <c r="J28" s="124"/>
      <c r="K28" s="124"/>
      <c r="L28" s="124"/>
      <c r="M28" s="124"/>
      <c r="N28" s="124"/>
    </row>
    <row r="29" spans="2:15" ht="16.5" thickBot="1" x14ac:dyDescent="0.3">
      <c r="C29">
        <v>1</v>
      </c>
      <c r="D29" s="132">
        <v>3078424</v>
      </c>
      <c r="E29" s="133">
        <v>1</v>
      </c>
      <c r="F29" s="133">
        <v>1</v>
      </c>
      <c r="G29" s="124">
        <v>1</v>
      </c>
      <c r="H29" s="124">
        <v>1</v>
      </c>
      <c r="I29" s="124">
        <f t="shared" ref="I29:I34" si="7">SUM(E29:H29)</f>
        <v>4</v>
      </c>
      <c r="J29" s="124">
        <f t="shared" ref="J29:J34" si="8">I29*D29</f>
        <v>12313696</v>
      </c>
      <c r="K29" s="124">
        <f>SUM(G29:H29)*D29</f>
        <v>6156848</v>
      </c>
      <c r="L29" s="124"/>
      <c r="M29" s="124"/>
      <c r="N29" s="124"/>
    </row>
    <row r="30" spans="2:15" ht="16.5" thickBot="1" x14ac:dyDescent="0.3">
      <c r="C30">
        <f>C29+1</f>
        <v>2</v>
      </c>
      <c r="D30" s="132">
        <v>2209167</v>
      </c>
      <c r="E30" s="133">
        <v>1</v>
      </c>
      <c r="F30" s="133">
        <v>1</v>
      </c>
      <c r="G30" s="124">
        <v>1</v>
      </c>
      <c r="H30" s="124">
        <v>1</v>
      </c>
      <c r="I30" s="124">
        <f t="shared" si="7"/>
        <v>4</v>
      </c>
      <c r="J30" s="124">
        <f t="shared" si="8"/>
        <v>8836668</v>
      </c>
      <c r="K30" s="124">
        <f>SUM(G30:H30)*D30</f>
        <v>4418334</v>
      </c>
      <c r="L30" s="124"/>
      <c r="M30" s="124"/>
      <c r="N30" s="124"/>
    </row>
    <row r="31" spans="2:15" ht="16.5" thickBot="1" x14ac:dyDescent="0.3">
      <c r="C31">
        <f>C30+1</f>
        <v>3</v>
      </c>
      <c r="D31" s="132">
        <v>2018339</v>
      </c>
      <c r="E31" s="133">
        <v>1</v>
      </c>
      <c r="F31" s="133">
        <v>1</v>
      </c>
      <c r="G31" s="124">
        <v>1</v>
      </c>
      <c r="H31" s="124">
        <v>1</v>
      </c>
      <c r="I31" s="124">
        <f t="shared" si="7"/>
        <v>4</v>
      </c>
      <c r="J31" s="124">
        <f t="shared" si="8"/>
        <v>8073356</v>
      </c>
      <c r="K31" s="124">
        <f>SUM(G31:H31)*D31</f>
        <v>4036678</v>
      </c>
      <c r="L31" s="124"/>
      <c r="M31" s="124"/>
      <c r="N31" s="124"/>
    </row>
    <row r="32" spans="2:15" ht="16.5" thickBot="1" x14ac:dyDescent="0.3">
      <c r="C32">
        <f>C31+1</f>
        <v>4</v>
      </c>
      <c r="D32" s="132">
        <v>1820780</v>
      </c>
      <c r="E32" s="133">
        <v>1</v>
      </c>
      <c r="F32" s="133">
        <v>1</v>
      </c>
      <c r="G32" s="124">
        <v>1</v>
      </c>
      <c r="H32" s="124">
        <v>1</v>
      </c>
      <c r="I32" s="124">
        <f t="shared" si="7"/>
        <v>4</v>
      </c>
      <c r="J32" s="124">
        <f t="shared" si="8"/>
        <v>7283120</v>
      </c>
      <c r="K32" s="124">
        <f>SUM(G32:H32)*D32</f>
        <v>3641560</v>
      </c>
      <c r="L32" s="124"/>
      <c r="M32" s="124"/>
      <c r="N32" s="124"/>
    </row>
    <row r="33" spans="2:14" ht="16.5" thickBot="1" x14ac:dyDescent="0.3">
      <c r="C33">
        <f>C32+1</f>
        <v>5</v>
      </c>
      <c r="D33" s="132">
        <v>1616588</v>
      </c>
      <c r="E33" s="133">
        <v>1</v>
      </c>
      <c r="F33" s="133">
        <v>1</v>
      </c>
      <c r="G33" s="133">
        <v>1</v>
      </c>
      <c r="H33" s="133">
        <v>1</v>
      </c>
      <c r="I33" s="124">
        <f t="shared" si="7"/>
        <v>4</v>
      </c>
      <c r="J33" s="124">
        <f t="shared" si="8"/>
        <v>6466352</v>
      </c>
      <c r="K33" s="124"/>
      <c r="L33" s="124"/>
      <c r="M33" s="124"/>
      <c r="N33" s="124"/>
    </row>
    <row r="34" spans="2:14" x14ac:dyDescent="0.25">
      <c r="C34">
        <f>C33+1</f>
        <v>6</v>
      </c>
      <c r="D34" s="132">
        <v>1376287</v>
      </c>
      <c r="E34" s="133">
        <v>1</v>
      </c>
      <c r="F34" s="133">
        <v>1</v>
      </c>
      <c r="G34" s="133">
        <v>1</v>
      </c>
      <c r="H34" s="133">
        <v>1</v>
      </c>
      <c r="I34" s="124">
        <f t="shared" si="7"/>
        <v>4</v>
      </c>
      <c r="J34" s="124">
        <f t="shared" si="8"/>
        <v>5505148</v>
      </c>
      <c r="K34" s="124"/>
      <c r="L34" s="124"/>
      <c r="M34" s="124"/>
      <c r="N34" s="124"/>
    </row>
    <row r="35" spans="2:14" x14ac:dyDescent="0.25">
      <c r="D35" s="124"/>
      <c r="E35" s="124"/>
      <c r="F35" s="124"/>
      <c r="G35" s="124"/>
      <c r="H35" s="124"/>
      <c r="I35" s="124"/>
      <c r="J35" s="124">
        <f>SUM(J29:J34)</f>
        <v>48478340</v>
      </c>
      <c r="K35" s="124">
        <f>SUM(K29:K34)</f>
        <v>18253420</v>
      </c>
      <c r="L35" s="124"/>
      <c r="M35" s="124"/>
      <c r="N35" s="124"/>
    </row>
    <row r="36" spans="2:14" x14ac:dyDescent="0.25"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spans="2:14" x14ac:dyDescent="0.25"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2:14" x14ac:dyDescent="0.25">
      <c r="E38">
        <v>2014</v>
      </c>
      <c r="F38">
        <f t="shared" ref="F38:K38" si="9">E38+1</f>
        <v>2015</v>
      </c>
      <c r="G38">
        <f t="shared" si="9"/>
        <v>2016</v>
      </c>
      <c r="H38">
        <f t="shared" si="9"/>
        <v>2017</v>
      </c>
      <c r="I38">
        <f t="shared" si="9"/>
        <v>2018</v>
      </c>
      <c r="J38">
        <f t="shared" si="9"/>
        <v>2019</v>
      </c>
      <c r="K38">
        <f t="shared" si="9"/>
        <v>2020</v>
      </c>
    </row>
    <row r="39" spans="2:14" x14ac:dyDescent="0.25">
      <c r="C39" s="134" t="s">
        <v>377</v>
      </c>
      <c r="D39" s="124">
        <v>3</v>
      </c>
      <c r="E39" s="124">
        <v>165531</v>
      </c>
      <c r="F39" s="124">
        <f t="shared" ref="F39:K41" si="10">E39*1.05</f>
        <v>173807.55000000002</v>
      </c>
      <c r="G39" s="124">
        <f t="shared" si="10"/>
        <v>182497.92750000002</v>
      </c>
      <c r="H39" s="124">
        <f t="shared" si="10"/>
        <v>191622.82387500003</v>
      </c>
      <c r="I39" s="124">
        <f t="shared" si="10"/>
        <v>201203.96506875005</v>
      </c>
      <c r="J39" s="124">
        <f t="shared" si="10"/>
        <v>211264.16332218755</v>
      </c>
      <c r="K39" s="124">
        <f t="shared" si="10"/>
        <v>221827.37148829695</v>
      </c>
    </row>
    <row r="40" spans="2:14" x14ac:dyDescent="0.25">
      <c r="C40" s="134" t="s">
        <v>378</v>
      </c>
      <c r="D40" s="124">
        <v>4</v>
      </c>
      <c r="E40" s="124">
        <v>147308</v>
      </c>
      <c r="F40" s="124">
        <f t="shared" si="10"/>
        <v>154673.4</v>
      </c>
      <c r="G40" s="124">
        <f t="shared" si="10"/>
        <v>162407.07</v>
      </c>
      <c r="H40" s="124">
        <f t="shared" si="10"/>
        <v>170527.4235</v>
      </c>
      <c r="I40" s="124">
        <f t="shared" si="10"/>
        <v>179053.79467500001</v>
      </c>
      <c r="J40" s="124">
        <f t="shared" si="10"/>
        <v>188006.48440875002</v>
      </c>
      <c r="K40" s="124">
        <f t="shared" si="10"/>
        <v>197406.80862918752</v>
      </c>
    </row>
    <row r="41" spans="2:14" x14ac:dyDescent="0.25">
      <c r="C41" s="134" t="s">
        <v>379</v>
      </c>
      <c r="D41" s="124">
        <v>4</v>
      </c>
      <c r="E41" s="124">
        <v>168438</v>
      </c>
      <c r="F41" s="124">
        <f t="shared" si="10"/>
        <v>176859.9</v>
      </c>
      <c r="G41" s="124">
        <f t="shared" si="10"/>
        <v>185702.89499999999</v>
      </c>
      <c r="H41" s="124">
        <f t="shared" si="10"/>
        <v>194988.03975</v>
      </c>
      <c r="I41" s="124">
        <f t="shared" si="10"/>
        <v>204737.44173749999</v>
      </c>
      <c r="J41" s="124">
        <f t="shared" si="10"/>
        <v>214974.31382437499</v>
      </c>
      <c r="K41" s="124">
        <f t="shared" si="10"/>
        <v>225723.02951559375</v>
      </c>
    </row>
    <row r="42" spans="2:14" x14ac:dyDescent="0.25">
      <c r="D42" s="124"/>
      <c r="E42" s="124"/>
      <c r="F42" s="124"/>
      <c r="G42" s="124"/>
    </row>
    <row r="43" spans="2:14" x14ac:dyDescent="0.25">
      <c r="D43" s="124"/>
      <c r="E43" s="124"/>
      <c r="F43" s="124"/>
      <c r="G43" s="124"/>
      <c r="K43" s="124">
        <f>K39*D39</f>
        <v>665482.11446489091</v>
      </c>
    </row>
    <row r="44" spans="2:14" x14ac:dyDescent="0.25">
      <c r="K44" s="124">
        <f>K40*D40</f>
        <v>789627.23451675009</v>
      </c>
    </row>
    <row r="45" spans="2:14" x14ac:dyDescent="0.25">
      <c r="K45" s="124">
        <f>K41*D41</f>
        <v>902892.118062375</v>
      </c>
    </row>
    <row r="46" spans="2:14" x14ac:dyDescent="0.25">
      <c r="K46" s="124">
        <f>SUM(K43:K45)</f>
        <v>2358001.4670440159</v>
      </c>
    </row>
    <row r="47" spans="2:14" x14ac:dyDescent="0.25">
      <c r="K47" s="124">
        <f>K40</f>
        <v>197406.80862918752</v>
      </c>
      <c r="L47" t="s">
        <v>380</v>
      </c>
    </row>
    <row r="48" spans="2:14" x14ac:dyDescent="0.25">
      <c r="B48" t="s">
        <v>381</v>
      </c>
      <c r="E48" s="135">
        <v>2016</v>
      </c>
      <c r="F48" s="135">
        <f>E48+1</f>
        <v>2017</v>
      </c>
      <c r="G48" s="135">
        <f t="shared" ref="G48:N48" si="11">F48+1</f>
        <v>2018</v>
      </c>
      <c r="H48" s="135">
        <f t="shared" si="11"/>
        <v>2019</v>
      </c>
      <c r="I48" s="135">
        <f t="shared" si="11"/>
        <v>2020</v>
      </c>
      <c r="J48" s="135">
        <f t="shared" si="11"/>
        <v>2021</v>
      </c>
      <c r="K48" s="135">
        <f t="shared" si="11"/>
        <v>2022</v>
      </c>
      <c r="L48" s="135">
        <f t="shared" si="11"/>
        <v>2023</v>
      </c>
      <c r="M48" s="135">
        <f t="shared" si="11"/>
        <v>2024</v>
      </c>
      <c r="N48" s="135">
        <f t="shared" si="11"/>
        <v>2025</v>
      </c>
    </row>
    <row r="49" spans="2:14" x14ac:dyDescent="0.25">
      <c r="B49" s="238" t="s">
        <v>931</v>
      </c>
      <c r="D49">
        <v>20000</v>
      </c>
      <c r="E49" s="124">
        <f>D49*1.05</f>
        <v>21000</v>
      </c>
      <c r="F49" s="124">
        <f t="shared" ref="F49:N49" si="12">E49*1.05</f>
        <v>22050</v>
      </c>
      <c r="G49" s="124">
        <f t="shared" si="12"/>
        <v>23152.5</v>
      </c>
      <c r="H49" s="124">
        <f t="shared" si="12"/>
        <v>24310.125</v>
      </c>
      <c r="I49" s="124">
        <f t="shared" si="12"/>
        <v>25525.631250000002</v>
      </c>
      <c r="J49" s="124">
        <f t="shared" si="12"/>
        <v>26801.912812500002</v>
      </c>
      <c r="K49" s="124">
        <f t="shared" si="12"/>
        <v>28142.008453125003</v>
      </c>
      <c r="L49" s="124">
        <f t="shared" si="12"/>
        <v>29549.108875781254</v>
      </c>
      <c r="M49" s="124">
        <f t="shared" si="12"/>
        <v>31026.56431957032</v>
      </c>
      <c r="N49" s="124">
        <f t="shared" si="12"/>
        <v>32577.892535548835</v>
      </c>
    </row>
    <row r="50" spans="2:14" x14ac:dyDescent="0.25">
      <c r="B50" t="s">
        <v>382</v>
      </c>
      <c r="D50" s="136">
        <v>0.5</v>
      </c>
      <c r="E50" s="124">
        <f>$D50*E49</f>
        <v>10500</v>
      </c>
      <c r="F50" s="124">
        <f t="shared" ref="F50:N50" si="13">$D50*F49</f>
        <v>11025</v>
      </c>
      <c r="G50" s="124">
        <f t="shared" si="13"/>
        <v>11576.25</v>
      </c>
      <c r="H50" s="124">
        <f t="shared" si="13"/>
        <v>12155.0625</v>
      </c>
      <c r="I50" s="124">
        <f t="shared" si="13"/>
        <v>12762.815625000001</v>
      </c>
      <c r="J50" s="124">
        <f t="shared" si="13"/>
        <v>13400.956406250001</v>
      </c>
      <c r="K50" s="124">
        <f t="shared" si="13"/>
        <v>14071.004226562502</v>
      </c>
      <c r="L50" s="124">
        <f t="shared" si="13"/>
        <v>14774.554437890627</v>
      </c>
      <c r="M50" s="124">
        <f t="shared" si="13"/>
        <v>15513.28215978516</v>
      </c>
      <c r="N50" s="124">
        <f t="shared" si="13"/>
        <v>16288.946267774418</v>
      </c>
    </row>
    <row r="51" spans="2:14" x14ac:dyDescent="0.25">
      <c r="B51" t="s">
        <v>383</v>
      </c>
      <c r="E51">
        <f>ROUND(0.1*$N51,-1)</f>
        <v>1630</v>
      </c>
      <c r="F51">
        <f t="shared" ref="F51:M51" si="14">ROUND(0.1*$N51,-1)</f>
        <v>1630</v>
      </c>
      <c r="G51">
        <f t="shared" si="14"/>
        <v>1630</v>
      </c>
      <c r="H51">
        <f t="shared" si="14"/>
        <v>1630</v>
      </c>
      <c r="I51">
        <f t="shared" si="14"/>
        <v>1630</v>
      </c>
      <c r="J51">
        <f t="shared" si="14"/>
        <v>1630</v>
      </c>
      <c r="K51">
        <f t="shared" si="14"/>
        <v>1630</v>
      </c>
      <c r="L51">
        <f t="shared" si="14"/>
        <v>1630</v>
      </c>
      <c r="M51">
        <f t="shared" si="14"/>
        <v>1630</v>
      </c>
      <c r="N51">
        <f>ROUND(D50*N49,-1)</f>
        <v>16290</v>
      </c>
    </row>
    <row r="52" spans="2:14" x14ac:dyDescent="0.25">
      <c r="B52" t="s">
        <v>384</v>
      </c>
      <c r="D52">
        <f>(D58+D59)/2</f>
        <v>842352.5</v>
      </c>
      <c r="E52" s="124">
        <f t="shared" ref="E52:N52" si="15">(E58+E59)/2</f>
        <v>884470.125</v>
      </c>
      <c r="F52" s="124">
        <f t="shared" si="15"/>
        <v>928693.63125000009</v>
      </c>
      <c r="G52" s="124">
        <f t="shared" si="15"/>
        <v>975128.31281250017</v>
      </c>
      <c r="H52" s="124">
        <f>(H58+H59)/2</f>
        <v>1023884.7284531252</v>
      </c>
      <c r="I52" s="124">
        <f t="shared" si="15"/>
        <v>1075078.9648757814</v>
      </c>
      <c r="J52" s="124">
        <f t="shared" si="15"/>
        <v>1128832.9131195706</v>
      </c>
      <c r="K52" s="124">
        <f t="shared" si="15"/>
        <v>1185274.5587755493</v>
      </c>
      <c r="L52" s="124">
        <f t="shared" si="15"/>
        <v>1244538.2867143266</v>
      </c>
      <c r="M52" s="124">
        <f t="shared" si="15"/>
        <v>1306765.2010500431</v>
      </c>
      <c r="N52" s="124">
        <f t="shared" si="15"/>
        <v>1372103.4611025453</v>
      </c>
    </row>
    <row r="53" spans="2:14" x14ac:dyDescent="0.25">
      <c r="D53" s="136">
        <v>0.3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2:14" x14ac:dyDescent="0.25">
      <c r="B54" t="s">
        <v>385</v>
      </c>
      <c r="D54">
        <f>$D53*D52</f>
        <v>252705.75</v>
      </c>
      <c r="E54" s="124">
        <f t="shared" ref="E54:N54" si="16">$D53*E52</f>
        <v>265341.03749999998</v>
      </c>
      <c r="F54" s="124">
        <f t="shared" si="16"/>
        <v>278608.08937500004</v>
      </c>
      <c r="G54" s="124">
        <f t="shared" si="16"/>
        <v>292538.49384375004</v>
      </c>
      <c r="H54" s="124">
        <f t="shared" si="16"/>
        <v>307165.41853593756</v>
      </c>
      <c r="I54" s="124">
        <f t="shared" si="16"/>
        <v>322523.68946273444</v>
      </c>
      <c r="J54" s="124">
        <f t="shared" si="16"/>
        <v>338649.87393587118</v>
      </c>
      <c r="K54" s="124">
        <f t="shared" si="16"/>
        <v>355582.3676326648</v>
      </c>
      <c r="L54" s="124">
        <f t="shared" si="16"/>
        <v>373361.48601429799</v>
      </c>
      <c r="M54" s="124">
        <f t="shared" si="16"/>
        <v>392029.56031501293</v>
      </c>
      <c r="N54" s="124">
        <f t="shared" si="16"/>
        <v>411631.03833076358</v>
      </c>
    </row>
    <row r="55" spans="2:14" x14ac:dyDescent="0.25">
      <c r="E55" s="124"/>
      <c r="F55" s="124">
        <f>ROUND($N54/9,-1)</f>
        <v>45740</v>
      </c>
      <c r="G55" s="124">
        <f t="shared" ref="G55:N55" si="17">ROUND($N54/9,-1)</f>
        <v>45740</v>
      </c>
      <c r="H55" s="124">
        <f t="shared" si="17"/>
        <v>45740</v>
      </c>
      <c r="I55" s="124">
        <f t="shared" si="17"/>
        <v>45740</v>
      </c>
      <c r="J55" s="124">
        <f t="shared" si="17"/>
        <v>45740</v>
      </c>
      <c r="K55" s="124">
        <f t="shared" si="17"/>
        <v>45740</v>
      </c>
      <c r="L55" s="124">
        <f t="shared" si="17"/>
        <v>45740</v>
      </c>
      <c r="M55" s="124">
        <f t="shared" si="17"/>
        <v>45740</v>
      </c>
      <c r="N55" s="124">
        <f t="shared" si="17"/>
        <v>45740</v>
      </c>
    </row>
    <row r="56" spans="2:14" x14ac:dyDescent="0.25">
      <c r="B56" t="s">
        <v>927</v>
      </c>
      <c r="E56">
        <f>ROUND(N50/10,-1)</f>
        <v>1630</v>
      </c>
      <c r="F56" s="124">
        <f>E56</f>
        <v>1630</v>
      </c>
      <c r="G56" s="124">
        <f t="shared" ref="G56:N56" si="18">F56</f>
        <v>1630</v>
      </c>
      <c r="H56" s="124">
        <f t="shared" si="18"/>
        <v>1630</v>
      </c>
      <c r="I56" s="124">
        <f t="shared" si="18"/>
        <v>1630</v>
      </c>
      <c r="J56" s="124">
        <f t="shared" si="18"/>
        <v>1630</v>
      </c>
      <c r="K56" s="124">
        <f t="shared" si="18"/>
        <v>1630</v>
      </c>
      <c r="L56" s="124">
        <f t="shared" si="18"/>
        <v>1630</v>
      </c>
      <c r="M56" s="124">
        <f t="shared" si="18"/>
        <v>1630</v>
      </c>
      <c r="N56" s="124">
        <f t="shared" si="18"/>
        <v>1630</v>
      </c>
    </row>
    <row r="58" spans="2:14" x14ac:dyDescent="0.25">
      <c r="C58">
        <v>1</v>
      </c>
      <c r="D58" s="137">
        <v>872913</v>
      </c>
      <c r="E58" s="124">
        <f t="shared" ref="E58:N63" si="19">D58*1.05</f>
        <v>916558.65</v>
      </c>
      <c r="F58" s="124">
        <f t="shared" si="19"/>
        <v>962386.58250000002</v>
      </c>
      <c r="G58" s="124">
        <f t="shared" si="19"/>
        <v>1010505.9116250001</v>
      </c>
      <c r="H58" s="124">
        <f t="shared" si="19"/>
        <v>1061031.2072062502</v>
      </c>
      <c r="I58" s="124">
        <f t="shared" si="19"/>
        <v>1114082.7675665626</v>
      </c>
      <c r="J58" s="124">
        <f t="shared" si="19"/>
        <v>1169786.9059448908</v>
      </c>
      <c r="K58" s="124">
        <f t="shared" si="19"/>
        <v>1228276.2512421354</v>
      </c>
      <c r="L58" s="124">
        <f t="shared" si="19"/>
        <v>1289690.0638042423</v>
      </c>
      <c r="M58" s="124">
        <f t="shared" si="19"/>
        <v>1354174.5669944545</v>
      </c>
      <c r="N58" s="124">
        <f t="shared" si="19"/>
        <v>1421883.2953441772</v>
      </c>
    </row>
    <row r="59" spans="2:14" x14ac:dyDescent="0.25">
      <c r="C59">
        <f>C58+1</f>
        <v>2</v>
      </c>
      <c r="D59" s="137">
        <v>811792</v>
      </c>
      <c r="E59" s="124">
        <f t="shared" si="19"/>
        <v>852381.60000000009</v>
      </c>
      <c r="F59" s="124">
        <f t="shared" si="19"/>
        <v>895000.68000000017</v>
      </c>
      <c r="G59" s="124">
        <f t="shared" si="19"/>
        <v>939750.71400000027</v>
      </c>
      <c r="H59" s="124">
        <f t="shared" si="19"/>
        <v>986738.24970000028</v>
      </c>
      <c r="I59" s="124">
        <f t="shared" si="19"/>
        <v>1036075.1621850004</v>
      </c>
      <c r="J59" s="124">
        <f t="shared" si="19"/>
        <v>1087878.9202942504</v>
      </c>
      <c r="K59" s="124">
        <f t="shared" si="19"/>
        <v>1142272.8663089629</v>
      </c>
      <c r="L59" s="124">
        <f t="shared" si="19"/>
        <v>1199386.5096244111</v>
      </c>
      <c r="M59" s="124">
        <f t="shared" si="19"/>
        <v>1259355.8351056317</v>
      </c>
      <c r="N59" s="124">
        <f t="shared" si="19"/>
        <v>1322323.6268609134</v>
      </c>
    </row>
    <row r="60" spans="2:14" x14ac:dyDescent="0.25">
      <c r="C60">
        <f>C59+1</f>
        <v>3</v>
      </c>
      <c r="D60" s="137">
        <v>601021</v>
      </c>
      <c r="E60" s="124">
        <f t="shared" si="19"/>
        <v>631072.05000000005</v>
      </c>
      <c r="F60" s="124">
        <f t="shared" si="19"/>
        <v>662625.65250000008</v>
      </c>
      <c r="G60" s="124">
        <f t="shared" si="19"/>
        <v>695756.93512500008</v>
      </c>
      <c r="H60" s="124">
        <f t="shared" si="19"/>
        <v>730544.78188125009</v>
      </c>
      <c r="I60" s="124">
        <f t="shared" si="19"/>
        <v>767072.02097531268</v>
      </c>
      <c r="J60" s="124">
        <f t="shared" si="19"/>
        <v>805425.62202407839</v>
      </c>
      <c r="K60" s="124">
        <f t="shared" si="19"/>
        <v>845696.90312528238</v>
      </c>
      <c r="L60" s="124">
        <f t="shared" si="19"/>
        <v>887981.74828154652</v>
      </c>
      <c r="M60" s="124">
        <f t="shared" si="19"/>
        <v>932380.83569562389</v>
      </c>
      <c r="N60" s="124">
        <f t="shared" si="19"/>
        <v>978999.87748040515</v>
      </c>
    </row>
    <row r="61" spans="2:14" x14ac:dyDescent="0.25">
      <c r="C61">
        <f>C60+1</f>
        <v>4</v>
      </c>
      <c r="D61" s="137">
        <v>486454</v>
      </c>
      <c r="E61" s="124">
        <f t="shared" si="19"/>
        <v>510776.7</v>
      </c>
      <c r="F61" s="124">
        <f t="shared" si="19"/>
        <v>536315.53500000003</v>
      </c>
      <c r="G61" s="124">
        <f t="shared" si="19"/>
        <v>563131.31175000011</v>
      </c>
      <c r="H61" s="124">
        <f t="shared" si="19"/>
        <v>591287.8773375001</v>
      </c>
      <c r="I61" s="124">
        <f t="shared" si="19"/>
        <v>620852.27120437508</v>
      </c>
      <c r="J61" s="124">
        <f t="shared" si="19"/>
        <v>651894.88476459391</v>
      </c>
      <c r="K61" s="124">
        <f t="shared" si="19"/>
        <v>684489.62900282361</v>
      </c>
      <c r="L61" s="124">
        <f t="shared" si="19"/>
        <v>718714.11045296479</v>
      </c>
      <c r="M61" s="124">
        <f t="shared" si="19"/>
        <v>754649.81597561308</v>
      </c>
      <c r="N61" s="124">
        <f t="shared" si="19"/>
        <v>792382.30677439377</v>
      </c>
    </row>
    <row r="62" spans="2:14" x14ac:dyDescent="0.25">
      <c r="C62">
        <f>C61+1</f>
        <v>5</v>
      </c>
      <c r="D62" s="137">
        <v>398688</v>
      </c>
      <c r="E62" s="124">
        <f t="shared" si="19"/>
        <v>418622.4</v>
      </c>
      <c r="F62" s="124">
        <f t="shared" si="19"/>
        <v>439553.52</v>
      </c>
      <c r="G62" s="124">
        <f t="shared" si="19"/>
        <v>461531.19600000005</v>
      </c>
      <c r="H62" s="124">
        <f t="shared" si="19"/>
        <v>484607.7558000001</v>
      </c>
      <c r="I62" s="124">
        <f t="shared" si="19"/>
        <v>508838.14359000011</v>
      </c>
      <c r="J62" s="124">
        <f t="shared" si="19"/>
        <v>534280.05076950009</v>
      </c>
      <c r="K62" s="124">
        <f t="shared" si="19"/>
        <v>560994.05330797506</v>
      </c>
      <c r="L62" s="124">
        <f t="shared" si="19"/>
        <v>589043.75597337389</v>
      </c>
      <c r="M62" s="124">
        <f t="shared" si="19"/>
        <v>618495.94377204264</v>
      </c>
      <c r="N62" s="124">
        <f t="shared" si="19"/>
        <v>649420.74096064479</v>
      </c>
    </row>
    <row r="63" spans="2:14" x14ac:dyDescent="0.25">
      <c r="C63">
        <f>C62+1</f>
        <v>6</v>
      </c>
      <c r="D63" s="137">
        <v>407029</v>
      </c>
      <c r="E63" s="124">
        <f t="shared" si="19"/>
        <v>427380.45</v>
      </c>
      <c r="F63" s="124">
        <f t="shared" si="19"/>
        <v>448749.47250000003</v>
      </c>
      <c r="G63" s="124">
        <f t="shared" si="19"/>
        <v>471186.94612500007</v>
      </c>
      <c r="H63" s="124">
        <f t="shared" si="19"/>
        <v>494746.29343125009</v>
      </c>
      <c r="I63" s="124">
        <f t="shared" si="19"/>
        <v>519483.60810281261</v>
      </c>
      <c r="J63" s="124">
        <f t="shared" si="19"/>
        <v>545457.78850795329</v>
      </c>
      <c r="K63" s="124">
        <f t="shared" si="19"/>
        <v>572730.67793335102</v>
      </c>
      <c r="L63" s="124">
        <f t="shared" si="19"/>
        <v>601367.21183001855</v>
      </c>
      <c r="M63" s="124">
        <f t="shared" si="19"/>
        <v>631435.57242151955</v>
      </c>
      <c r="N63" s="124">
        <f t="shared" si="19"/>
        <v>663007.35104259558</v>
      </c>
    </row>
    <row r="64" spans="2:14" x14ac:dyDescent="0.25">
      <c r="D64" s="138">
        <v>3577897</v>
      </c>
    </row>
    <row r="65" spans="2:14" x14ac:dyDescent="0.25">
      <c r="N65" s="124">
        <f>N58+N59</f>
        <v>2744206.9222050905</v>
      </c>
    </row>
    <row r="66" spans="2:14" x14ac:dyDescent="0.25">
      <c r="E66" s="124">
        <f>ROUND($N66/10,-2)</f>
        <v>823300</v>
      </c>
      <c r="F66" s="124">
        <f t="shared" ref="F66:M66" si="20">ROUND($N66/10,-2)</f>
        <v>823300</v>
      </c>
      <c r="G66" s="124">
        <f t="shared" si="20"/>
        <v>823300</v>
      </c>
      <c r="H66" s="124">
        <f t="shared" si="20"/>
        <v>823300</v>
      </c>
      <c r="I66" s="124">
        <f t="shared" si="20"/>
        <v>823300</v>
      </c>
      <c r="J66" s="124">
        <f t="shared" si="20"/>
        <v>823300</v>
      </c>
      <c r="K66" s="124">
        <f t="shared" si="20"/>
        <v>823300</v>
      </c>
      <c r="L66" s="124">
        <f t="shared" si="20"/>
        <v>823300</v>
      </c>
      <c r="M66" s="124">
        <f t="shared" si="20"/>
        <v>823300</v>
      </c>
      <c r="N66">
        <f>3*N65</f>
        <v>8232620.7666152716</v>
      </c>
    </row>
    <row r="68" spans="2:14" x14ac:dyDescent="0.25">
      <c r="B68" t="s">
        <v>386</v>
      </c>
    </row>
    <row r="69" spans="2:14" x14ac:dyDescent="0.25">
      <c r="B69" t="s">
        <v>372</v>
      </c>
      <c r="E69">
        <f t="shared" ref="E69:N69" si="21">(1-$D50)*E49</f>
        <v>10500</v>
      </c>
      <c r="F69">
        <f t="shared" si="21"/>
        <v>11025</v>
      </c>
      <c r="G69">
        <f t="shared" si="21"/>
        <v>11576.25</v>
      </c>
      <c r="H69">
        <f t="shared" si="21"/>
        <v>12155.0625</v>
      </c>
      <c r="I69">
        <f t="shared" si="21"/>
        <v>12762.815625000001</v>
      </c>
      <c r="J69">
        <f t="shared" si="21"/>
        <v>13400.956406250001</v>
      </c>
      <c r="K69">
        <f t="shared" si="21"/>
        <v>14071.004226562502</v>
      </c>
      <c r="L69">
        <f t="shared" si="21"/>
        <v>14774.554437890627</v>
      </c>
      <c r="M69">
        <f t="shared" si="21"/>
        <v>15513.28215978516</v>
      </c>
      <c r="N69">
        <f t="shared" si="21"/>
        <v>16288.946267774418</v>
      </c>
    </row>
    <row r="70" spans="2:14" x14ac:dyDescent="0.25">
      <c r="B70" t="s">
        <v>387</v>
      </c>
      <c r="E70" s="124">
        <f>E17</f>
        <v>132800</v>
      </c>
      <c r="F70" s="124">
        <f t="shared" ref="F70:N70" si="22">F17</f>
        <v>139440</v>
      </c>
      <c r="G70" s="124">
        <f t="shared" si="22"/>
        <v>146412</v>
      </c>
      <c r="H70" s="124">
        <f t="shared" si="22"/>
        <v>153732.6</v>
      </c>
      <c r="I70" s="124">
        <f t="shared" si="22"/>
        <v>161419.23000000001</v>
      </c>
      <c r="J70" s="124">
        <f t="shared" si="22"/>
        <v>169490.19150000002</v>
      </c>
      <c r="K70" s="124">
        <f t="shared" si="22"/>
        <v>177964.70107500002</v>
      </c>
      <c r="L70" s="124">
        <f t="shared" si="22"/>
        <v>186862.93612875004</v>
      </c>
      <c r="M70" s="124">
        <f t="shared" si="22"/>
        <v>196206.08293518756</v>
      </c>
      <c r="N70" s="124">
        <f t="shared" si="22"/>
        <v>206016.38708194694</v>
      </c>
    </row>
    <row r="71" spans="2:14" x14ac:dyDescent="0.25">
      <c r="B71" t="s">
        <v>388</v>
      </c>
      <c r="E71" s="124">
        <f>SUM(E60:E63)</f>
        <v>1987851.5999999999</v>
      </c>
      <c r="F71" s="124">
        <f t="shared" ref="F71:M71" si="23">SUM(F60:F63)</f>
        <v>2087244.1800000002</v>
      </c>
      <c r="G71" s="124">
        <f t="shared" si="23"/>
        <v>2191606.3890000004</v>
      </c>
      <c r="H71" s="124">
        <f t="shared" si="23"/>
        <v>2301186.7084500003</v>
      </c>
      <c r="I71" s="124">
        <f t="shared" si="23"/>
        <v>2416246.0438725003</v>
      </c>
      <c r="J71" s="124">
        <f t="shared" si="23"/>
        <v>2537058.3460661257</v>
      </c>
      <c r="K71" s="124">
        <f t="shared" si="23"/>
        <v>2663911.2633694322</v>
      </c>
      <c r="L71" s="124">
        <f t="shared" si="23"/>
        <v>2797106.8265379039</v>
      </c>
      <c r="M71" s="124">
        <f t="shared" si="23"/>
        <v>2936962.167864799</v>
      </c>
      <c r="N71" s="124">
        <f>SUM(N60:N63)</f>
        <v>3083810.2762580393</v>
      </c>
    </row>
    <row r="72" spans="2:14" x14ac:dyDescent="0.25">
      <c r="B72" t="s">
        <v>681</v>
      </c>
      <c r="E72" s="124"/>
      <c r="F72" s="124"/>
      <c r="G72" s="124"/>
      <c r="H72" s="124"/>
      <c r="I72" s="124"/>
      <c r="J72" s="124"/>
      <c r="K72" s="124"/>
      <c r="L72" s="124"/>
      <c r="M72" s="124"/>
      <c r="N72" s="124"/>
    </row>
    <row r="73" spans="2:14" x14ac:dyDescent="0.25">
      <c r="B73" t="s">
        <v>791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5" spans="2:14" x14ac:dyDescent="0.25">
      <c r="B75" t="s">
        <v>389</v>
      </c>
      <c r="E75">
        <f>ROUND($N75/10,-2)</f>
        <v>925100</v>
      </c>
      <c r="F75">
        <f t="shared" ref="F75:M75" si="24">ROUND($N75/10,-2)</f>
        <v>925100</v>
      </c>
      <c r="G75">
        <f t="shared" si="24"/>
        <v>925100</v>
      </c>
      <c r="H75">
        <f t="shared" si="24"/>
        <v>925100</v>
      </c>
      <c r="I75">
        <f t="shared" si="24"/>
        <v>925100</v>
      </c>
      <c r="J75">
        <f t="shared" si="24"/>
        <v>925100</v>
      </c>
      <c r="K75">
        <f t="shared" si="24"/>
        <v>925100</v>
      </c>
      <c r="L75">
        <f t="shared" si="24"/>
        <v>925100</v>
      </c>
      <c r="M75">
        <f t="shared" si="24"/>
        <v>925100</v>
      </c>
      <c r="N75">
        <f>N71*3</f>
        <v>9251430.8287741169</v>
      </c>
    </row>
    <row r="77" spans="2:14" x14ac:dyDescent="0.25">
      <c r="B77" t="s">
        <v>390</v>
      </c>
      <c r="E77">
        <f>ROUND($N70/10,-1)</f>
        <v>20600</v>
      </c>
      <c r="F77">
        <f t="shared" ref="F77:N77" si="25">ROUND($N70/10,-1)</f>
        <v>20600</v>
      </c>
      <c r="G77">
        <f t="shared" si="25"/>
        <v>20600</v>
      </c>
      <c r="H77">
        <f t="shared" si="25"/>
        <v>20600</v>
      </c>
      <c r="I77">
        <f t="shared" si="25"/>
        <v>20600</v>
      </c>
      <c r="J77">
        <f t="shared" si="25"/>
        <v>20600</v>
      </c>
      <c r="K77">
        <f t="shared" si="25"/>
        <v>20600</v>
      </c>
      <c r="L77">
        <f t="shared" si="25"/>
        <v>20600</v>
      </c>
      <c r="M77">
        <f t="shared" si="25"/>
        <v>20600</v>
      </c>
      <c r="N77">
        <f t="shared" si="25"/>
        <v>20600</v>
      </c>
    </row>
    <row r="78" spans="2:14" x14ac:dyDescent="0.25">
      <c r="B78" t="s">
        <v>391</v>
      </c>
      <c r="E78">
        <f>ROUND($N69/10,-1)</f>
        <v>1630</v>
      </c>
      <c r="F78">
        <f>E78</f>
        <v>1630</v>
      </c>
      <c r="G78">
        <f t="shared" ref="G78:N78" si="26">F78</f>
        <v>1630</v>
      </c>
      <c r="H78">
        <f t="shared" si="26"/>
        <v>1630</v>
      </c>
      <c r="I78">
        <f t="shared" si="26"/>
        <v>1630</v>
      </c>
      <c r="J78">
        <f t="shared" si="26"/>
        <v>1630</v>
      </c>
      <c r="K78">
        <f t="shared" si="26"/>
        <v>1630</v>
      </c>
      <c r="L78">
        <f t="shared" si="26"/>
        <v>1630</v>
      </c>
      <c r="M78">
        <f t="shared" si="26"/>
        <v>1630</v>
      </c>
      <c r="N78">
        <f t="shared" si="26"/>
        <v>1630</v>
      </c>
    </row>
    <row r="79" spans="2:14" x14ac:dyDescent="0.25">
      <c r="F79" s="195">
        <v>33333.333333333336</v>
      </c>
      <c r="G79" s="195">
        <f>F79+F79</f>
        <v>66666.666666666672</v>
      </c>
      <c r="H79" s="195">
        <f>$F79+G79</f>
        <v>100000</v>
      </c>
      <c r="I79" s="195">
        <f t="shared" ref="I79:N79" si="27">$F79+H79</f>
        <v>133333.33333333334</v>
      </c>
      <c r="J79" s="195">
        <f t="shared" si="27"/>
        <v>166666.66666666669</v>
      </c>
      <c r="K79" s="195">
        <f t="shared" si="27"/>
        <v>200000.00000000003</v>
      </c>
      <c r="L79" s="195">
        <f t="shared" si="27"/>
        <v>233333.33333333337</v>
      </c>
      <c r="M79" s="195">
        <f t="shared" si="27"/>
        <v>266666.66666666669</v>
      </c>
      <c r="N79" s="195">
        <f t="shared" si="27"/>
        <v>300000</v>
      </c>
    </row>
    <row r="80" spans="2:14" x14ac:dyDescent="0.25">
      <c r="B80" t="s">
        <v>927</v>
      </c>
      <c r="E80">
        <f>ROUND(N69/10,-1)</f>
        <v>1630</v>
      </c>
      <c r="F80" s="124">
        <f>E80</f>
        <v>1630</v>
      </c>
      <c r="G80" s="124">
        <f t="shared" ref="G80:N80" si="28">F80</f>
        <v>1630</v>
      </c>
      <c r="H80" s="124">
        <f t="shared" si="28"/>
        <v>1630</v>
      </c>
      <c r="I80" s="124">
        <f t="shared" si="28"/>
        <v>1630</v>
      </c>
      <c r="J80" s="124">
        <f t="shared" si="28"/>
        <v>1630</v>
      </c>
      <c r="K80" s="124">
        <f t="shared" si="28"/>
        <v>1630</v>
      </c>
      <c r="L80" s="124">
        <f t="shared" si="28"/>
        <v>1630</v>
      </c>
      <c r="M80" s="124">
        <f t="shared" si="28"/>
        <v>1630</v>
      </c>
      <c r="N80" s="124">
        <f t="shared" si="28"/>
        <v>1630</v>
      </c>
    </row>
    <row r="82" spans="1:14" x14ac:dyDescent="0.25">
      <c r="E82" s="124">
        <f>E71/2</f>
        <v>993925.79999999993</v>
      </c>
      <c r="F82" s="124">
        <f t="shared" ref="F82:N82" si="29">F71/2</f>
        <v>1043622.0900000001</v>
      </c>
      <c r="G82" s="124">
        <f t="shared" si="29"/>
        <v>1095803.1945000002</v>
      </c>
      <c r="H82" s="124">
        <f t="shared" si="29"/>
        <v>1150593.3542250001</v>
      </c>
      <c r="I82" s="124">
        <f t="shared" si="29"/>
        <v>1208123.0219362502</v>
      </c>
      <c r="J82" s="124">
        <f t="shared" si="29"/>
        <v>1268529.1730330628</v>
      </c>
      <c r="K82" s="124">
        <f t="shared" si="29"/>
        <v>1331955.6316847161</v>
      </c>
      <c r="L82" s="124">
        <f t="shared" si="29"/>
        <v>1398553.4132689519</v>
      </c>
      <c r="M82" s="124">
        <f t="shared" si="29"/>
        <v>1468481.0839323995</v>
      </c>
      <c r="N82" s="124">
        <f t="shared" si="29"/>
        <v>1541905.1381290196</v>
      </c>
    </row>
    <row r="83" spans="1:14" x14ac:dyDescent="0.25">
      <c r="D83" s="136">
        <v>0.5</v>
      </c>
      <c r="E83" s="124">
        <f>E82*$D83</f>
        <v>496962.89999999997</v>
      </c>
      <c r="F83" s="124">
        <f t="shared" ref="F83:N83" si="30">F82*$D83</f>
        <v>521811.04500000004</v>
      </c>
      <c r="G83" s="124">
        <f t="shared" si="30"/>
        <v>547901.59725000011</v>
      </c>
      <c r="H83" s="124">
        <f t="shared" si="30"/>
        <v>575296.67711250007</v>
      </c>
      <c r="I83" s="124">
        <f t="shared" si="30"/>
        <v>604061.51096812508</v>
      </c>
      <c r="J83" s="124">
        <f t="shared" si="30"/>
        <v>634264.58651653142</v>
      </c>
      <c r="K83" s="124">
        <f t="shared" si="30"/>
        <v>665977.81584235805</v>
      </c>
      <c r="L83" s="124">
        <f t="shared" si="30"/>
        <v>699276.70663447597</v>
      </c>
      <c r="M83" s="124">
        <f t="shared" si="30"/>
        <v>734240.54196619976</v>
      </c>
      <c r="N83" s="124">
        <f t="shared" si="30"/>
        <v>770952.56906450982</v>
      </c>
    </row>
    <row r="84" spans="1:14" x14ac:dyDescent="0.25">
      <c r="E84" s="124">
        <f>N83/10</f>
        <v>77095.256906450988</v>
      </c>
    </row>
    <row r="85" spans="1:14" x14ac:dyDescent="0.25">
      <c r="B85" t="s">
        <v>392</v>
      </c>
      <c r="E85" s="124">
        <f>ROUND(E84,-4)</f>
        <v>80000</v>
      </c>
    </row>
    <row r="87" spans="1:14" x14ac:dyDescent="0.25">
      <c r="A87" t="s">
        <v>393</v>
      </c>
    </row>
    <row r="88" spans="1:14" x14ac:dyDescent="0.25">
      <c r="A88" t="s">
        <v>372</v>
      </c>
      <c r="B88">
        <v>7641</v>
      </c>
      <c r="E88">
        <f>ROUND(B88*1.1,-1)</f>
        <v>8410</v>
      </c>
      <c r="F88" s="124">
        <f t="shared" ref="F88:N88" si="31">E88*1.05</f>
        <v>8830.5</v>
      </c>
      <c r="G88" s="124">
        <f t="shared" si="31"/>
        <v>9272.0249999999996</v>
      </c>
      <c r="H88" s="124">
        <f t="shared" si="31"/>
        <v>9735.6262499999993</v>
      </c>
      <c r="I88" s="124">
        <f t="shared" si="31"/>
        <v>10222.4075625</v>
      </c>
      <c r="J88" s="124">
        <f t="shared" si="31"/>
        <v>10733.527940625001</v>
      </c>
      <c r="K88" s="124">
        <f t="shared" si="31"/>
        <v>11270.204337656252</v>
      </c>
      <c r="L88" s="124">
        <f t="shared" si="31"/>
        <v>11833.714554539065</v>
      </c>
      <c r="M88" s="124">
        <f t="shared" si="31"/>
        <v>12425.400282266019</v>
      </c>
      <c r="N88" s="124">
        <f t="shared" si="31"/>
        <v>13046.67029637932</v>
      </c>
    </row>
    <row r="90" spans="1:14" x14ac:dyDescent="0.25">
      <c r="B90">
        <v>551698</v>
      </c>
      <c r="E90">
        <f>ROUND(B90*1.1,-1)</f>
        <v>606870</v>
      </c>
      <c r="F90" s="124">
        <f t="shared" ref="F90:N90" si="32">E90*1.05</f>
        <v>637213.5</v>
      </c>
      <c r="G90" s="124">
        <f t="shared" si="32"/>
        <v>669074.17500000005</v>
      </c>
      <c r="H90" s="124">
        <f t="shared" si="32"/>
        <v>702527.88375000004</v>
      </c>
      <c r="I90" s="124">
        <f t="shared" si="32"/>
        <v>737654.27793750004</v>
      </c>
      <c r="J90" s="124">
        <f t="shared" si="32"/>
        <v>774536.99183437508</v>
      </c>
      <c r="K90" s="124">
        <f t="shared" si="32"/>
        <v>813263.84142609383</v>
      </c>
      <c r="L90" s="124">
        <f t="shared" si="32"/>
        <v>853927.0334973986</v>
      </c>
      <c r="M90" s="124">
        <f t="shared" si="32"/>
        <v>896623.38517226861</v>
      </c>
      <c r="N90" s="124">
        <f t="shared" si="32"/>
        <v>941454.5544308821</v>
      </c>
    </row>
    <row r="91" spans="1:14" x14ac:dyDescent="0.25">
      <c r="D91" t="s">
        <v>394</v>
      </c>
      <c r="E91">
        <f>ROUND(N88/10,-1)</f>
        <v>1300</v>
      </c>
      <c r="F91">
        <f>E91</f>
        <v>1300</v>
      </c>
      <c r="G91">
        <f t="shared" ref="G91:N91" si="33">F91</f>
        <v>1300</v>
      </c>
      <c r="H91">
        <f t="shared" si="33"/>
        <v>1300</v>
      </c>
      <c r="I91">
        <f t="shared" si="33"/>
        <v>1300</v>
      </c>
      <c r="J91">
        <f t="shared" si="33"/>
        <v>1300</v>
      </c>
      <c r="K91">
        <f t="shared" si="33"/>
        <v>1300</v>
      </c>
      <c r="L91">
        <f t="shared" si="33"/>
        <v>1300</v>
      </c>
      <c r="M91">
        <f t="shared" si="33"/>
        <v>1300</v>
      </c>
      <c r="N91">
        <f t="shared" si="33"/>
        <v>1300</v>
      </c>
    </row>
    <row r="93" spans="1:14" x14ac:dyDescent="0.25">
      <c r="B93" t="s">
        <v>395</v>
      </c>
      <c r="C93">
        <v>5</v>
      </c>
      <c r="E93" s="124">
        <f>$C93*E90</f>
        <v>3034350</v>
      </c>
      <c r="F93" s="124">
        <f t="shared" ref="F93:N93" si="34">$C93*F90</f>
        <v>3186067.5</v>
      </c>
      <c r="G93" s="124">
        <f t="shared" si="34"/>
        <v>3345370.875</v>
      </c>
      <c r="H93" s="124">
        <f t="shared" si="34"/>
        <v>3512639.4187500002</v>
      </c>
      <c r="I93" s="124">
        <f t="shared" si="34"/>
        <v>3688271.3896875</v>
      </c>
      <c r="J93" s="124">
        <f t="shared" si="34"/>
        <v>3872684.9591718754</v>
      </c>
      <c r="K93" s="124">
        <f t="shared" si="34"/>
        <v>4066319.2071304694</v>
      </c>
      <c r="L93" s="124">
        <f t="shared" si="34"/>
        <v>4269635.1674869927</v>
      </c>
      <c r="M93" s="124">
        <f t="shared" si="34"/>
        <v>4483116.9258613428</v>
      </c>
      <c r="N93" s="124">
        <f t="shared" si="34"/>
        <v>4707272.7721544104</v>
      </c>
    </row>
    <row r="94" spans="1:14" x14ac:dyDescent="0.25">
      <c r="E94" s="124">
        <f>ROUND(N93/10,-2)</f>
        <v>470700</v>
      </c>
      <c r="F94" s="124">
        <f>E94</f>
        <v>470700</v>
      </c>
      <c r="G94" s="124">
        <f t="shared" ref="G94:N94" si="35">F94</f>
        <v>470700</v>
      </c>
      <c r="H94" s="124">
        <f t="shared" si="35"/>
        <v>470700</v>
      </c>
      <c r="I94" s="124">
        <f t="shared" si="35"/>
        <v>470700</v>
      </c>
      <c r="J94" s="124">
        <f t="shared" si="35"/>
        <v>470700</v>
      </c>
      <c r="K94" s="124">
        <f t="shared" si="35"/>
        <v>470700</v>
      </c>
      <c r="L94" s="124">
        <f t="shared" si="35"/>
        <v>470700</v>
      </c>
      <c r="M94" s="124">
        <f t="shared" si="35"/>
        <v>470700</v>
      </c>
      <c r="N94" s="124">
        <f t="shared" si="35"/>
        <v>470700</v>
      </c>
    </row>
    <row r="96" spans="1:14" x14ac:dyDescent="0.25">
      <c r="B96" t="s">
        <v>396</v>
      </c>
      <c r="E96">
        <f>E90</f>
        <v>606870</v>
      </c>
      <c r="F96">
        <f t="shared" ref="F96:N96" si="36">F90</f>
        <v>637213.5</v>
      </c>
      <c r="G96">
        <f t="shared" si="36"/>
        <v>669074.17500000005</v>
      </c>
      <c r="H96">
        <f t="shared" si="36"/>
        <v>702527.88375000004</v>
      </c>
      <c r="I96">
        <f t="shared" si="36"/>
        <v>737654.27793750004</v>
      </c>
      <c r="J96">
        <f t="shared" si="36"/>
        <v>774536.99183437508</v>
      </c>
      <c r="K96">
        <f t="shared" si="36"/>
        <v>813263.84142609383</v>
      </c>
      <c r="L96">
        <f t="shared" si="36"/>
        <v>853927.0334973986</v>
      </c>
      <c r="M96">
        <f t="shared" si="36"/>
        <v>896623.38517226861</v>
      </c>
      <c r="N96">
        <f t="shared" si="36"/>
        <v>941454.5544308821</v>
      </c>
    </row>
    <row r="97" spans="2:14" x14ac:dyDescent="0.25">
      <c r="D97" s="136">
        <v>0.5</v>
      </c>
    </row>
    <row r="98" spans="2:14" x14ac:dyDescent="0.25">
      <c r="E98" s="124">
        <f>$D97*E96</f>
        <v>303435</v>
      </c>
      <c r="F98" s="124">
        <f t="shared" ref="F98:N98" si="37">$D97*F96</f>
        <v>318606.75</v>
      </c>
      <c r="G98" s="124">
        <f t="shared" si="37"/>
        <v>334537.08750000002</v>
      </c>
      <c r="H98" s="124">
        <f t="shared" si="37"/>
        <v>351263.94187500002</v>
      </c>
      <c r="I98" s="124">
        <f t="shared" si="37"/>
        <v>368827.13896875002</v>
      </c>
      <c r="J98" s="124">
        <f t="shared" si="37"/>
        <v>387268.49591718754</v>
      </c>
      <c r="K98" s="124">
        <f t="shared" si="37"/>
        <v>406631.92071304691</v>
      </c>
      <c r="L98" s="124">
        <f t="shared" si="37"/>
        <v>426963.5167486993</v>
      </c>
      <c r="M98" s="124">
        <f t="shared" si="37"/>
        <v>448311.6925861343</v>
      </c>
      <c r="N98" s="124">
        <f t="shared" si="37"/>
        <v>470727.27721544105</v>
      </c>
    </row>
    <row r="99" spans="2:14" x14ac:dyDescent="0.25">
      <c r="E99">
        <f>ROUND(I98/5,-2)</f>
        <v>73800</v>
      </c>
    </row>
    <row r="100" spans="2:14" x14ac:dyDescent="0.25">
      <c r="B100" t="s">
        <v>397</v>
      </c>
      <c r="E100">
        <f>ROUND(I88/5,-2)</f>
        <v>2000</v>
      </c>
    </row>
    <row r="102" spans="2:14" x14ac:dyDescent="0.25">
      <c r="E102" s="139">
        <f>E90/30</f>
        <v>20229</v>
      </c>
      <c r="F102" s="139">
        <f t="shared" ref="F102:N102" si="38">F90/30</f>
        <v>21240.45</v>
      </c>
      <c r="G102" s="139">
        <f t="shared" si="38"/>
        <v>22302.4725</v>
      </c>
      <c r="H102" s="139">
        <f t="shared" si="38"/>
        <v>23417.596125</v>
      </c>
      <c r="I102" s="139">
        <f t="shared" si="38"/>
        <v>24588.475931250003</v>
      </c>
      <c r="J102" s="139">
        <f t="shared" si="38"/>
        <v>25817.899727812503</v>
      </c>
      <c r="K102" s="139">
        <f t="shared" si="38"/>
        <v>27108.794714203126</v>
      </c>
      <c r="L102" s="139">
        <f t="shared" si="38"/>
        <v>28464.234449913285</v>
      </c>
      <c r="M102" s="139">
        <f t="shared" si="38"/>
        <v>29887.446172408952</v>
      </c>
      <c r="N102" s="139">
        <f t="shared" si="38"/>
        <v>31381.818481029404</v>
      </c>
    </row>
    <row r="106" spans="2:14" x14ac:dyDescent="0.25">
      <c r="N106" s="207">
        <v>1083851.154695841</v>
      </c>
    </row>
    <row r="107" spans="2:14" x14ac:dyDescent="0.25">
      <c r="E107">
        <v>10838.511546958411</v>
      </c>
      <c r="F107">
        <f>E107+$E107</f>
        <v>21677.023093916821</v>
      </c>
      <c r="G107">
        <f t="shared" ref="G107:N107" si="39">F107+$E107</f>
        <v>32515.53464087523</v>
      </c>
      <c r="H107">
        <f t="shared" si="39"/>
        <v>43354.046187833643</v>
      </c>
      <c r="I107">
        <f t="shared" si="39"/>
        <v>54192.557734792055</v>
      </c>
      <c r="J107">
        <f t="shared" si="39"/>
        <v>65031.069281750468</v>
      </c>
      <c r="K107">
        <f t="shared" si="39"/>
        <v>75869.580828708873</v>
      </c>
      <c r="L107">
        <f t="shared" si="39"/>
        <v>86708.092375667286</v>
      </c>
      <c r="M107">
        <f t="shared" si="39"/>
        <v>97546.603922625698</v>
      </c>
      <c r="N107">
        <f t="shared" si="39"/>
        <v>108385.11546958411</v>
      </c>
    </row>
    <row r="108" spans="2:14" x14ac:dyDescent="0.25">
      <c r="N108">
        <f>N107/10</f>
        <v>10838.511546958411</v>
      </c>
    </row>
    <row r="109" spans="2:14" x14ac:dyDescent="0.25">
      <c r="G109">
        <f>125/9</f>
        <v>13.888888888888889</v>
      </c>
    </row>
    <row r="112" spans="2:14" x14ac:dyDescent="0.25">
      <c r="N112">
        <v>15060135</v>
      </c>
    </row>
    <row r="113" spans="2:14" x14ac:dyDescent="0.25">
      <c r="N113">
        <f>N112*10%</f>
        <v>1506013.5</v>
      </c>
    </row>
    <row r="114" spans="2:14" x14ac:dyDescent="0.25">
      <c r="F114" s="195">
        <f>N113/9</f>
        <v>167334.83333333334</v>
      </c>
      <c r="G114" s="195">
        <f>F114+F114</f>
        <v>334669.66666666669</v>
      </c>
      <c r="H114" s="195">
        <f>F114+G114</f>
        <v>502004.5</v>
      </c>
      <c r="I114" s="195">
        <f t="shared" ref="I114:N114" si="40">$F114+H114</f>
        <v>669339.33333333337</v>
      </c>
      <c r="J114" s="195">
        <f t="shared" si="40"/>
        <v>836674.16666666674</v>
      </c>
      <c r="K114" s="195">
        <f t="shared" si="40"/>
        <v>1004009.0000000001</v>
      </c>
      <c r="L114" s="195">
        <f t="shared" si="40"/>
        <v>1171343.8333333335</v>
      </c>
      <c r="M114" s="195">
        <f t="shared" si="40"/>
        <v>1338678.6666666667</v>
      </c>
      <c r="N114" s="195">
        <f t="shared" si="40"/>
        <v>1506013.5</v>
      </c>
    </row>
    <row r="117" spans="2:14" x14ac:dyDescent="0.25">
      <c r="B117" t="s">
        <v>701</v>
      </c>
    </row>
    <row r="118" spans="2:14" x14ac:dyDescent="0.25">
      <c r="B118" s="225" t="s">
        <v>890</v>
      </c>
      <c r="C118" s="136">
        <v>0.7</v>
      </c>
      <c r="D118">
        <f>(C118)*D$21</f>
        <v>30769.899999999998</v>
      </c>
    </row>
    <row r="119" spans="2:14" x14ac:dyDescent="0.25">
      <c r="B119" s="225" t="s">
        <v>892</v>
      </c>
      <c r="C119" s="136">
        <v>1</v>
      </c>
      <c r="D119" s="124">
        <f>D$21-D118</f>
        <v>13187.100000000002</v>
      </c>
      <c r="F119">
        <f>ROUND($D119*$C119/9,-2)</f>
        <v>1500</v>
      </c>
      <c r="G119">
        <f t="shared" ref="G119:M119" si="41">ROUND($D119*$C119/9,-2)</f>
        <v>1500</v>
      </c>
      <c r="H119">
        <f t="shared" si="41"/>
        <v>1500</v>
      </c>
      <c r="I119">
        <f t="shared" si="41"/>
        <v>1500</v>
      </c>
      <c r="J119">
        <f t="shared" si="41"/>
        <v>1500</v>
      </c>
      <c r="K119">
        <f t="shared" si="41"/>
        <v>1500</v>
      </c>
      <c r="L119">
        <f t="shared" si="41"/>
        <v>1500</v>
      </c>
      <c r="M119">
        <f t="shared" si="41"/>
        <v>1500</v>
      </c>
    </row>
    <row r="120" spans="2:14" x14ac:dyDescent="0.25">
      <c r="B120" t="s">
        <v>891</v>
      </c>
    </row>
    <row r="121" spans="2:14" x14ac:dyDescent="0.25">
      <c r="B121" s="225" t="s">
        <v>890</v>
      </c>
      <c r="C121" s="136">
        <v>0.1</v>
      </c>
      <c r="D121">
        <f>(C121)*D$21</f>
        <v>4395.7</v>
      </c>
    </row>
    <row r="122" spans="2:14" x14ac:dyDescent="0.25">
      <c r="B122" s="225" t="s">
        <v>892</v>
      </c>
      <c r="C122" s="136">
        <v>0.5</v>
      </c>
      <c r="D122" s="124">
        <f>D$21-D121</f>
        <v>39561.300000000003</v>
      </c>
      <c r="F122">
        <f>ROUND($D122*$C122/9,-2)</f>
        <v>2200</v>
      </c>
      <c r="G122">
        <f t="shared" ref="G122:M122" si="42">ROUND($D122*$C122/9,-2)</f>
        <v>2200</v>
      </c>
      <c r="H122">
        <f t="shared" si="42"/>
        <v>2200</v>
      </c>
      <c r="I122">
        <f t="shared" si="42"/>
        <v>2200</v>
      </c>
      <c r="J122">
        <f t="shared" si="42"/>
        <v>2200</v>
      </c>
      <c r="K122">
        <f t="shared" si="42"/>
        <v>2200</v>
      </c>
      <c r="L122">
        <f t="shared" si="42"/>
        <v>2200</v>
      </c>
      <c r="M122">
        <f t="shared" si="42"/>
        <v>2200</v>
      </c>
    </row>
    <row r="123" spans="2:14" x14ac:dyDescent="0.25">
      <c r="B123" t="s">
        <v>893</v>
      </c>
    </row>
    <row r="124" spans="2:14" x14ac:dyDescent="0.25">
      <c r="B124" s="225" t="s">
        <v>890</v>
      </c>
      <c r="C124" s="136">
        <v>0.42</v>
      </c>
      <c r="D124">
        <f>(C124)*D$21</f>
        <v>18461.939999999999</v>
      </c>
    </row>
    <row r="125" spans="2:14" x14ac:dyDescent="0.25">
      <c r="B125" s="225" t="s">
        <v>892</v>
      </c>
      <c r="C125" s="136">
        <v>1</v>
      </c>
      <c r="D125" s="124">
        <f>D$21-D124</f>
        <v>25495.06</v>
      </c>
      <c r="F125">
        <f>ROUND($D125*$C125/9,-2)</f>
        <v>2800</v>
      </c>
      <c r="G125">
        <f t="shared" ref="G125:M125" si="43">ROUND($D125*$C125/9,-2)</f>
        <v>2800</v>
      </c>
      <c r="H125">
        <f t="shared" si="43"/>
        <v>2800</v>
      </c>
      <c r="I125">
        <f t="shared" si="43"/>
        <v>2800</v>
      </c>
      <c r="J125">
        <f t="shared" si="43"/>
        <v>2800</v>
      </c>
      <c r="K125">
        <f t="shared" si="43"/>
        <v>2800</v>
      </c>
      <c r="L125">
        <f t="shared" si="43"/>
        <v>2800</v>
      </c>
      <c r="M125">
        <f t="shared" si="43"/>
        <v>2800</v>
      </c>
    </row>
    <row r="126" spans="2:14" x14ac:dyDescent="0.25">
      <c r="B126" t="s">
        <v>894</v>
      </c>
    </row>
    <row r="127" spans="2:14" x14ac:dyDescent="0.25">
      <c r="B127" s="225" t="s">
        <v>890</v>
      </c>
      <c r="C127" s="136">
        <v>0.5</v>
      </c>
      <c r="D127">
        <f>(C127)*D$21</f>
        <v>21978.5</v>
      </c>
    </row>
    <row r="128" spans="2:14" x14ac:dyDescent="0.25">
      <c r="B128" s="225" t="s">
        <v>892</v>
      </c>
      <c r="C128" s="136">
        <v>1</v>
      </c>
      <c r="D128" s="124">
        <f>D$21-D127</f>
        <v>21978.5</v>
      </c>
      <c r="F128">
        <f>ROUND($D128*$C128/9,-2)</f>
        <v>2400</v>
      </c>
      <c r="G128">
        <f t="shared" ref="G128:M128" si="44">ROUND($D128*$C128/9,-2)</f>
        <v>2400</v>
      </c>
      <c r="H128">
        <f t="shared" si="44"/>
        <v>2400</v>
      </c>
      <c r="I128">
        <f t="shared" si="44"/>
        <v>2400</v>
      </c>
      <c r="J128">
        <f t="shared" si="44"/>
        <v>2400</v>
      </c>
      <c r="K128">
        <f t="shared" si="44"/>
        <v>2400</v>
      </c>
      <c r="L128">
        <f t="shared" si="44"/>
        <v>2400</v>
      </c>
      <c r="M128">
        <f t="shared" si="44"/>
        <v>2400</v>
      </c>
    </row>
    <row r="132" spans="2:3" x14ac:dyDescent="0.25">
      <c r="B132" t="s">
        <v>897</v>
      </c>
      <c r="C132">
        <v>1500</v>
      </c>
    </row>
    <row r="133" spans="2:3" x14ac:dyDescent="0.25">
      <c r="B133" t="s">
        <v>898</v>
      </c>
      <c r="C133">
        <v>1000</v>
      </c>
    </row>
    <row r="134" spans="2:3" x14ac:dyDescent="0.25">
      <c r="B134" t="s">
        <v>899</v>
      </c>
      <c r="C134">
        <v>1000</v>
      </c>
    </row>
    <row r="135" spans="2:3" x14ac:dyDescent="0.25">
      <c r="B135" t="s">
        <v>900</v>
      </c>
      <c r="C135">
        <v>1500</v>
      </c>
    </row>
    <row r="138" spans="2:3" x14ac:dyDescent="0.25">
      <c r="B138" s="239" t="s">
        <v>922</v>
      </c>
    </row>
    <row r="139" spans="2:3" x14ac:dyDescent="0.25">
      <c r="B139" t="s">
        <v>1013</v>
      </c>
      <c r="C139">
        <v>150</v>
      </c>
    </row>
    <row r="140" spans="2:3" x14ac:dyDescent="0.25">
      <c r="B140" t="s">
        <v>923</v>
      </c>
      <c r="C140">
        <v>2500</v>
      </c>
    </row>
    <row r="141" spans="2:3" x14ac:dyDescent="0.25">
      <c r="B141" t="s">
        <v>924</v>
      </c>
      <c r="C141">
        <v>3500</v>
      </c>
    </row>
    <row r="142" spans="2:3" x14ac:dyDescent="0.25">
      <c r="B142" t="s">
        <v>925</v>
      </c>
      <c r="C142">
        <f>C141/2</f>
        <v>1750</v>
      </c>
    </row>
    <row r="143" spans="2:3" x14ac:dyDescent="0.25">
      <c r="B143" t="s">
        <v>926</v>
      </c>
      <c r="C143">
        <f>C141-C142</f>
        <v>1750</v>
      </c>
    </row>
    <row r="146" spans="2:7" x14ac:dyDescent="0.25">
      <c r="B146" s="513" t="s">
        <v>1405</v>
      </c>
    </row>
    <row r="147" spans="2:7" x14ac:dyDescent="0.25">
      <c r="C147" t="s">
        <v>1406</v>
      </c>
    </row>
    <row r="149" spans="2:7" x14ac:dyDescent="0.25">
      <c r="B149">
        <f>C149*D149</f>
        <v>720</v>
      </c>
      <c r="C149">
        <v>12</v>
      </c>
      <c r="D149" s="124">
        <f>2*30</f>
        <v>60</v>
      </c>
      <c r="E149" s="124">
        <v>800</v>
      </c>
      <c r="F149" s="124">
        <f>E149*D149</f>
        <v>48000</v>
      </c>
      <c r="G149" s="124">
        <f>F149*C149</f>
        <v>576000</v>
      </c>
    </row>
    <row r="150" spans="2:7" x14ac:dyDescent="0.25">
      <c r="C150">
        <v>1</v>
      </c>
      <c r="F150">
        <f>F149*2</f>
        <v>96000</v>
      </c>
      <c r="G150" s="124">
        <f t="shared" ref="G150:G153" si="45">F150*C150</f>
        <v>96000</v>
      </c>
    </row>
    <row r="151" spans="2:7" x14ac:dyDescent="0.25">
      <c r="C151">
        <v>1</v>
      </c>
      <c r="F151">
        <f>F150</f>
        <v>96000</v>
      </c>
      <c r="G151" s="124">
        <f t="shared" si="45"/>
        <v>96000</v>
      </c>
    </row>
    <row r="152" spans="2:7" x14ac:dyDescent="0.25">
      <c r="C152">
        <v>1</v>
      </c>
      <c r="F152" s="124">
        <f>F149</f>
        <v>48000</v>
      </c>
      <c r="G152" s="124">
        <f t="shared" si="45"/>
        <v>48000</v>
      </c>
    </row>
    <row r="153" spans="2:7" x14ac:dyDescent="0.25">
      <c r="C153">
        <v>1</v>
      </c>
      <c r="D153">
        <f>200*4</f>
        <v>800</v>
      </c>
      <c r="E153" s="124">
        <f>E149</f>
        <v>800</v>
      </c>
      <c r="F153" s="124">
        <f>E153*D153</f>
        <v>640000</v>
      </c>
      <c r="G153" s="124">
        <f t="shared" si="45"/>
        <v>640000</v>
      </c>
    </row>
    <row r="154" spans="2:7" x14ac:dyDescent="0.25">
      <c r="G154" s="124">
        <f>SUM(G149:G153)</f>
        <v>1456000</v>
      </c>
    </row>
    <row r="155" spans="2:7" x14ac:dyDescent="0.25">
      <c r="G155" s="124">
        <f>1.3*G154</f>
        <v>1892800</v>
      </c>
    </row>
    <row r="156" spans="2:7" x14ac:dyDescent="0.25">
      <c r="G156" s="124">
        <f>G155*1.05</f>
        <v>1987440</v>
      </c>
    </row>
    <row r="157" spans="2:7" x14ac:dyDescent="0.25">
      <c r="G157" s="124">
        <f>ROUND(G156,-5)</f>
        <v>2000000</v>
      </c>
    </row>
  </sheetData>
  <customSheetViews>
    <customSheetView guid="{16F311FB-A03A-407C-98DE-A6C8D1A31210}" topLeftCell="D97">
      <selection activeCell="F113" sqref="F113:I113"/>
      <pageMargins left="0.7" right="0.7" top="0.75" bottom="0.75" header="0.3" footer="0.3"/>
      <pageSetup paperSize="9" orientation="portrait" horizontalDpi="1200" verticalDpi="1200" r:id="rId1"/>
    </customSheetView>
    <customSheetView guid="{7DCFC24B-AE2D-4244-9FC9-42CB2B15C505}" topLeftCell="A13">
      <selection activeCell="B25" sqref="B25"/>
      <pageMargins left="0.7" right="0.7" top="0.75" bottom="0.75" header="0.3" footer="0.3"/>
      <pageSetup paperSize="9" orientation="portrait" horizontalDpi="1200" verticalDpi="1200" r:id="rId2"/>
    </customSheetView>
    <customSheetView guid="{78FB95F1-5BFE-4EBA-A03F-865E18F9C8C8}" topLeftCell="D97">
      <selection activeCell="F113" sqref="F113:I113"/>
      <pageMargins left="0.7" right="0.7" top="0.75" bottom="0.75" header="0.3" footer="0.3"/>
      <pageSetup paperSize="9" orientation="portrait" horizontalDpi="1200" verticalDpi="1200" r:id="rId3"/>
    </customSheetView>
  </customSheetViews>
  <pageMargins left="0.7" right="0.7" top="0.75" bottom="0.75" header="0.3" footer="0.3"/>
  <pageSetup paperSize="9" orientation="portrait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Hypothèses</vt:lpstr>
      <vt:lpstr>PA-Détails</vt:lpstr>
      <vt:lpstr>Capacités</vt:lpstr>
      <vt:lpstr>PA-Synthèse</vt:lpstr>
      <vt:lpstr>Editions</vt:lpstr>
      <vt:lpstr>H</vt:lpstr>
      <vt:lpstr>Cinternational</vt:lpstr>
      <vt:lpstr>Construction_Cantine_au_Primaire</vt:lpstr>
      <vt:lpstr>Construction_Salle_de_classe_au_Primaire</vt:lpstr>
      <vt:lpstr>Coûts</vt:lpstr>
      <vt:lpstr>Équipement_Cantine_au_Primaire</vt:lpstr>
      <vt:lpstr>Équipement_Salle_de_classe_au_Primaire</vt:lpstr>
      <vt:lpstr>Études_et_supervision</vt:lpstr>
      <vt:lpstr>Hypothèses!Print_Area</vt:lpstr>
      <vt:lpstr>Hypothèses!Print_Titles</vt:lpstr>
      <vt:lpstr>Rapports</vt:lpstr>
      <vt:lpstr>Séminaire</vt:lpstr>
      <vt:lpstr>Hypothèses!Tchange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hafedh@zaafrane.com</dc:creator>
  <cp:lastModifiedBy>Chantal Rigaud</cp:lastModifiedBy>
  <dcterms:created xsi:type="dcterms:W3CDTF">2015-10-13T16:59:24Z</dcterms:created>
  <dcterms:modified xsi:type="dcterms:W3CDTF">2016-06-17T15:41:11Z</dcterms:modified>
</cp:coreProperties>
</file>